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calcChain.xml" ContentType="application/vnd.openxmlformats-officedocument.spreadsheetml.calcChain+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Αυτό_το_βιβλίο_εργασίας" defaultThemeVersion="166925"/>
  <mc:AlternateContent xmlns:mc="http://schemas.openxmlformats.org/markup-compatibility/2006">
    <mc:Choice Requires="x15">
      <x15ac:absPath xmlns:x15ac="http://schemas.microsoft.com/office/spreadsheetml/2010/11/ac" url="C:\Users\Kourtii\Documents\Working documents\Consultancy assignments\AA-011420_Sectoral guidance climate change adaptation\Task 2\Final Excel files_Nov2024 after testing\ES version\"/>
    </mc:Choice>
  </mc:AlternateContent>
  <xr:revisionPtr revIDLastSave="0" documentId="13_ncr:1_{C2FD145A-9172-4E40-830D-74332271F73F}" xr6:coauthVersionLast="47" xr6:coauthVersionMax="47" xr10:uidLastSave="{00000000-0000-0000-0000-000000000000}"/>
  <bookViews>
    <workbookView xWindow="-120" yWindow="-120" windowWidth="29040" windowHeight="17520" tabRatio="959" xr2:uid="{B9BEBDCD-1230-400E-8746-701B147C7924}"/>
  </bookViews>
  <sheets>
    <sheet name="Disclaimer" sheetId="25" r:id="rId1"/>
    <sheet name="Intro" sheetId="22" r:id="rId2"/>
    <sheet name="Water_Soil-Step 1" sheetId="1" r:id="rId3"/>
    <sheet name="Φύλλο1" sheetId="14" state="hidden" r:id="rId4"/>
    <sheet name="Water_Soil-Step 2" sheetId="24" r:id="rId5"/>
    <sheet name="Water_Soil-Step 3" sheetId="16" r:id="rId6"/>
    <sheet name="Water_Soil-Step 4" sheetId="17" r:id="rId7"/>
    <sheet name="Temperature-Step 1" sheetId="5" r:id="rId8"/>
    <sheet name="Temperature-Step 2" sheetId="23" r:id="rId9"/>
    <sheet name="Temperature-Step 3" sheetId="19" r:id="rId10"/>
    <sheet name="Temperature-Step 4" sheetId="20" r:id="rId11"/>
    <sheet name="Wind-Step 1" sheetId="9" r:id="rId12"/>
    <sheet name="Wind-Step 2" sheetId="10" r:id="rId13"/>
    <sheet name="Wind-Step 3" sheetId="12" r:id="rId14"/>
    <sheet name="Wind-Step 4" sheetId="13" r:id="rId15"/>
    <sheet name="Φύλλο2" sheetId="11" state="hidden" r:id="rId16"/>
    <sheet name="Output" sheetId="21"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1" l="1"/>
  <c r="H8" i="21"/>
  <c r="G8" i="21"/>
  <c r="F8" i="21"/>
  <c r="E8" i="21"/>
  <c r="D8" i="21"/>
  <c r="L23" i="10" l="1"/>
  <c r="L24" i="10"/>
  <c r="J11" i="24"/>
  <c r="E19" i="24"/>
  <c r="P29" i="1"/>
  <c r="O29" i="1"/>
  <c r="N29" i="1"/>
  <c r="L29" i="1"/>
  <c r="Q31" i="1"/>
  <c r="J29" i="1"/>
  <c r="D29" i="1"/>
  <c r="O38" i="23"/>
  <c r="D13" i="24"/>
  <c r="D18" i="1" l="1"/>
  <c r="D17" i="1"/>
  <c r="O12" i="23"/>
  <c r="Q19" i="1"/>
  <c r="Q45" i="1" s="1"/>
  <c r="G5" i="23"/>
  <c r="D13" i="23" s="1"/>
  <c r="G5" i="10"/>
  <c r="I11" i="23" l="1"/>
  <c r="F35" i="21" a="1"/>
  <c r="F35" i="21" s="1"/>
  <c r="I35" i="21" a="1"/>
  <c r="I35" i="21" s="1"/>
  <c r="H35" i="21" a="1"/>
  <c r="H35" i="21" s="1"/>
  <c r="G35" i="21" a="1"/>
  <c r="G35" i="21" s="1"/>
  <c r="O11" i="24"/>
  <c r="J12" i="1"/>
  <c r="H5" i="10"/>
  <c r="O12" i="24"/>
  <c r="J38" i="23" l="1"/>
  <c r="G11" i="10"/>
  <c r="J12" i="10"/>
  <c r="J11" i="10"/>
  <c r="I11" i="10"/>
  <c r="J11" i="23"/>
  <c r="H11" i="23"/>
  <c r="I11" i="24"/>
  <c r="H11" i="24"/>
  <c r="G11" i="24"/>
  <c r="K16" i="19"/>
  <c r="K17" i="19"/>
  <c r="K18" i="19"/>
  <c r="G16" i="19"/>
  <c r="G17" i="19"/>
  <c r="G18" i="19"/>
  <c r="H5" i="23"/>
  <c r="J13" i="1"/>
  <c r="J14" i="1"/>
  <c r="J15" i="1"/>
  <c r="J16" i="1"/>
  <c r="D12" i="1"/>
  <c r="D13" i="1"/>
  <c r="D14" i="1"/>
  <c r="D15" i="1"/>
  <c r="D16" i="1"/>
  <c r="Q21" i="1"/>
  <c r="D35" i="21" a="1"/>
  <c r="D35" i="21" s="1"/>
  <c r="Q19" i="5"/>
  <c r="Q57" i="5" s="1"/>
  <c r="S57" i="5" s="1"/>
  <c r="Q17" i="5"/>
  <c r="Q33" i="1" l="1"/>
  <c r="Q49" i="1"/>
  <c r="Q23" i="5"/>
  <c r="F88" i="20"/>
  <c r="R93" i="20"/>
  <c r="G93" i="20"/>
  <c r="J66" i="20"/>
  <c r="I66" i="20"/>
  <c r="M66" i="20"/>
  <c r="N66" i="20"/>
  <c r="Q7" i="20"/>
  <c r="Q6" i="17"/>
  <c r="Q29" i="17" s="1"/>
  <c r="H5" i="24"/>
  <c r="P11" i="24"/>
  <c r="P12" i="24"/>
  <c r="E14" i="24"/>
  <c r="E15" i="24"/>
  <c r="E16" i="24"/>
  <c r="E17" i="24"/>
  <c r="E18" i="24"/>
  <c r="E20" i="24"/>
  <c r="E21" i="24"/>
  <c r="E22" i="24"/>
  <c r="E23" i="24"/>
  <c r="E24" i="24"/>
  <c r="E25" i="24"/>
  <c r="E26" i="24"/>
  <c r="E27" i="24"/>
  <c r="E28" i="24"/>
  <c r="E29" i="24"/>
  <c r="E30" i="24"/>
  <c r="J12" i="24"/>
  <c r="E13" i="24"/>
  <c r="E13" i="23"/>
  <c r="C30" i="24"/>
  <c r="C29" i="24"/>
  <c r="C28" i="24"/>
  <c r="C27" i="24"/>
  <c r="C26" i="24"/>
  <c r="C25" i="24"/>
  <c r="C24" i="24"/>
  <c r="C23" i="24"/>
  <c r="C22" i="24"/>
  <c r="C21" i="24"/>
  <c r="C20" i="24"/>
  <c r="K20" i="24" s="1"/>
  <c r="C19" i="24"/>
  <c r="C18" i="24"/>
  <c r="C17" i="24"/>
  <c r="C16" i="24"/>
  <c r="C15" i="24"/>
  <c r="C14" i="24"/>
  <c r="C13" i="24"/>
  <c r="O11" i="23"/>
  <c r="E57" i="23"/>
  <c r="C57" i="23"/>
  <c r="I38" i="23"/>
  <c r="H38" i="23"/>
  <c r="G38" i="23"/>
  <c r="E41" i="23"/>
  <c r="E42" i="23"/>
  <c r="E43" i="23"/>
  <c r="E44" i="23"/>
  <c r="E45" i="23"/>
  <c r="E46" i="23"/>
  <c r="E47" i="23"/>
  <c r="E48" i="23"/>
  <c r="E49" i="23"/>
  <c r="E50" i="23"/>
  <c r="E51" i="23"/>
  <c r="E52" i="23"/>
  <c r="E53" i="23"/>
  <c r="E54" i="23"/>
  <c r="E55" i="23"/>
  <c r="E56" i="23"/>
  <c r="E40" i="23"/>
  <c r="C41" i="23"/>
  <c r="C42" i="23"/>
  <c r="C43" i="23"/>
  <c r="C44" i="23"/>
  <c r="C45" i="23"/>
  <c r="C46" i="23"/>
  <c r="C47" i="23"/>
  <c r="C48" i="23"/>
  <c r="C49" i="23"/>
  <c r="K49" i="23" s="1"/>
  <c r="C50" i="23"/>
  <c r="K50" i="23" s="1"/>
  <c r="C51" i="23"/>
  <c r="K51" i="23" s="1"/>
  <c r="C52" i="23"/>
  <c r="C53" i="23"/>
  <c r="C54" i="23"/>
  <c r="C55" i="23"/>
  <c r="C56" i="23"/>
  <c r="C40" i="23"/>
  <c r="E14" i="23"/>
  <c r="E15" i="23"/>
  <c r="E16" i="23"/>
  <c r="E17" i="23"/>
  <c r="E18" i="23"/>
  <c r="E19" i="23"/>
  <c r="E20" i="23"/>
  <c r="E21" i="23"/>
  <c r="E22" i="23"/>
  <c r="E23" i="23"/>
  <c r="E24" i="23"/>
  <c r="E25" i="23"/>
  <c r="E26" i="23"/>
  <c r="E27" i="23"/>
  <c r="E28" i="23"/>
  <c r="E29" i="23"/>
  <c r="E30" i="23"/>
  <c r="E15" i="10"/>
  <c r="E16" i="10"/>
  <c r="E17" i="10"/>
  <c r="E18" i="10"/>
  <c r="E19" i="10"/>
  <c r="E20" i="10"/>
  <c r="E21" i="10"/>
  <c r="E22" i="10"/>
  <c r="E23" i="10"/>
  <c r="E24" i="10"/>
  <c r="E25" i="10"/>
  <c r="E26" i="10"/>
  <c r="E27" i="10"/>
  <c r="E28" i="10"/>
  <c r="E29" i="10"/>
  <c r="E30" i="10"/>
  <c r="E14" i="10"/>
  <c r="E13" i="10"/>
  <c r="G11" i="23"/>
  <c r="C30" i="23"/>
  <c r="C29" i="23"/>
  <c r="C28" i="23"/>
  <c r="C27" i="23"/>
  <c r="C26" i="23"/>
  <c r="C25" i="23"/>
  <c r="C24" i="23"/>
  <c r="C23" i="23"/>
  <c r="C22" i="23"/>
  <c r="C21" i="23"/>
  <c r="K21" i="23" s="1"/>
  <c r="Q21" i="23" s="1"/>
  <c r="C20" i="23"/>
  <c r="C19" i="23"/>
  <c r="C18" i="23"/>
  <c r="C17" i="23"/>
  <c r="C16" i="23"/>
  <c r="C15" i="23"/>
  <c r="C14" i="23"/>
  <c r="C13" i="23"/>
  <c r="H11" i="10"/>
  <c r="K11" i="10"/>
  <c r="C30" i="10"/>
  <c r="L30" i="10" s="1"/>
  <c r="R30" i="10" s="1"/>
  <c r="C15" i="10"/>
  <c r="C16" i="10"/>
  <c r="C17" i="10"/>
  <c r="C18" i="10"/>
  <c r="C19" i="10"/>
  <c r="L19" i="10" s="1"/>
  <c r="C20" i="10"/>
  <c r="C21" i="10"/>
  <c r="C22" i="10"/>
  <c r="L22" i="10" s="1"/>
  <c r="C23" i="10"/>
  <c r="C24" i="10"/>
  <c r="C25" i="10"/>
  <c r="C26" i="10"/>
  <c r="C27" i="10"/>
  <c r="L27" i="10" s="1"/>
  <c r="R27" i="10" s="1"/>
  <c r="C28" i="10"/>
  <c r="L28" i="10" s="1"/>
  <c r="R28" i="10" s="1"/>
  <c r="C29" i="10"/>
  <c r="L29" i="10" s="1"/>
  <c r="R29" i="10" s="1"/>
  <c r="C14" i="10"/>
  <c r="C13" i="10"/>
  <c r="E9" i="12" s="1"/>
  <c r="H30" i="12" s="1"/>
  <c r="D11" i="19" l="1" a="1"/>
  <c r="D11" i="19" s="1"/>
  <c r="K28" i="24"/>
  <c r="L28" i="24" s="1"/>
  <c r="K13" i="23"/>
  <c r="Q13" i="23" s="1"/>
  <c r="D10" i="16"/>
  <c r="K13" i="24"/>
  <c r="R13" i="24" s="1"/>
  <c r="K18" i="24"/>
  <c r="L18" i="24" s="1"/>
  <c r="D19" i="16" a="1"/>
  <c r="D19" i="16" s="1"/>
  <c r="K40" i="23"/>
  <c r="K14" i="24"/>
  <c r="L14" i="24" s="1"/>
  <c r="K22" i="24"/>
  <c r="L22" i="24" s="1"/>
  <c r="K57" i="23"/>
  <c r="Q57" i="23" s="1"/>
  <c r="R57" i="23" s="1"/>
  <c r="L21" i="10"/>
  <c r="M21" i="10" s="1"/>
  <c r="L17" i="10"/>
  <c r="R17" i="10" s="1"/>
  <c r="S17" i="10" s="1"/>
  <c r="K52" i="23"/>
  <c r="Q52" i="23" s="1"/>
  <c r="K44" i="23"/>
  <c r="Q44" i="23" s="1"/>
  <c r="R44" i="23" s="1"/>
  <c r="L20" i="24"/>
  <c r="L14" i="10"/>
  <c r="S29" i="10"/>
  <c r="S28" i="10"/>
  <c r="L20" i="10"/>
  <c r="M20" i="10" s="1"/>
  <c r="L26" i="10"/>
  <c r="R26" i="10" s="1"/>
  <c r="S26" i="10" s="1"/>
  <c r="L18" i="10"/>
  <c r="M18" i="10" s="1"/>
  <c r="L25" i="10"/>
  <c r="R25" i="10" s="1"/>
  <c r="R24" i="10"/>
  <c r="S24" i="10" s="1"/>
  <c r="L16" i="10"/>
  <c r="R16" i="10" s="1"/>
  <c r="S16" i="10" s="1"/>
  <c r="L15" i="10"/>
  <c r="E10" i="12" a="1"/>
  <c r="E18" i="12" a="1"/>
  <c r="L13" i="10"/>
  <c r="E21" i="12" a="1"/>
  <c r="K29" i="23"/>
  <c r="Q29" i="23" s="1"/>
  <c r="R29" i="23" s="1"/>
  <c r="K26" i="23"/>
  <c r="Q26" i="23" s="1"/>
  <c r="R26" i="23" s="1"/>
  <c r="K56" i="23"/>
  <c r="Q56" i="23" s="1"/>
  <c r="R56" i="23" s="1"/>
  <c r="K48" i="23"/>
  <c r="Q48" i="23" s="1"/>
  <c r="R48" i="23" s="1"/>
  <c r="P30" i="24"/>
  <c r="D11" i="16" a="1"/>
  <c r="D22" i="16" a="1"/>
  <c r="F27" i="16" s="1"/>
  <c r="K17" i="23"/>
  <c r="L17" i="23" s="1"/>
  <c r="K41" i="23"/>
  <c r="Q41" i="23" s="1"/>
  <c r="K55" i="23"/>
  <c r="K25" i="23"/>
  <c r="Q25" i="23" s="1"/>
  <c r="D22" i="19" a="1"/>
  <c r="K30" i="23"/>
  <c r="L30" i="23" s="1"/>
  <c r="D10" i="19"/>
  <c r="G30" i="19" s="1"/>
  <c r="K14" i="23"/>
  <c r="Q14" i="23" s="1"/>
  <c r="K22" i="23"/>
  <c r="D19" i="19" a="1"/>
  <c r="K21" i="24"/>
  <c r="K29" i="24"/>
  <c r="K45" i="23"/>
  <c r="L45" i="23" s="1"/>
  <c r="K19" i="23"/>
  <c r="K27" i="23"/>
  <c r="L51" i="23"/>
  <c r="K43" i="23"/>
  <c r="K20" i="23"/>
  <c r="L50" i="23"/>
  <c r="L49" i="23"/>
  <c r="K47" i="23"/>
  <c r="Q47" i="23" s="1"/>
  <c r="R47" i="23" s="1"/>
  <c r="K18" i="23"/>
  <c r="K16" i="23"/>
  <c r="K42" i="23"/>
  <c r="K28" i="23"/>
  <c r="K23" i="23"/>
  <c r="K15" i="23"/>
  <c r="K46" i="23"/>
  <c r="Q46" i="23" s="1"/>
  <c r="R46" i="23" s="1"/>
  <c r="K54" i="23"/>
  <c r="K24" i="23"/>
  <c r="K53" i="23"/>
  <c r="K15" i="24"/>
  <c r="K23" i="24"/>
  <c r="K19" i="24"/>
  <c r="K27" i="24"/>
  <c r="K16" i="24"/>
  <c r="K24" i="24"/>
  <c r="K25" i="24"/>
  <c r="K26" i="24"/>
  <c r="K17" i="24"/>
  <c r="K30" i="24"/>
  <c r="R21" i="23"/>
  <c r="L21" i="23"/>
  <c r="S27" i="10"/>
  <c r="M19" i="10"/>
  <c r="R19" i="10"/>
  <c r="S19" i="10" s="1"/>
  <c r="S30" i="10"/>
  <c r="M30" i="10"/>
  <c r="G30" i="16" l="1"/>
  <c r="Q40" i="23"/>
  <c r="I10" i="19" s="1"/>
  <c r="R28" i="24"/>
  <c r="S28" i="24" s="1"/>
  <c r="F17" i="16"/>
  <c r="F18" i="16"/>
  <c r="R15" i="24"/>
  <c r="S15" i="24" s="1"/>
  <c r="L57" i="23"/>
  <c r="R18" i="24"/>
  <c r="S18" i="24" s="1"/>
  <c r="L40" i="23"/>
  <c r="R22" i="24"/>
  <c r="S22" i="24" s="1"/>
  <c r="R21" i="10"/>
  <c r="S21" i="10" s="1"/>
  <c r="R14" i="24"/>
  <c r="S14" i="24" s="1"/>
  <c r="R30" i="24"/>
  <c r="S30" i="24" s="1"/>
  <c r="R23" i="24"/>
  <c r="S23" i="24" s="1"/>
  <c r="L52" i="23"/>
  <c r="L56" i="23"/>
  <c r="L48" i="23"/>
  <c r="R17" i="24"/>
  <c r="S17" i="24" s="1"/>
  <c r="L41" i="23"/>
  <c r="R25" i="24"/>
  <c r="S25" i="24" s="1"/>
  <c r="L44" i="23"/>
  <c r="D11" i="16"/>
  <c r="F16" i="16"/>
  <c r="L26" i="23"/>
  <c r="R20" i="10"/>
  <c r="S20" i="10" s="1"/>
  <c r="M17" i="10"/>
  <c r="M16" i="10"/>
  <c r="Q53" i="23"/>
  <c r="R53" i="23" s="1"/>
  <c r="Q42" i="23"/>
  <c r="R42" i="23" s="1"/>
  <c r="Q43" i="23"/>
  <c r="R43" i="23" s="1"/>
  <c r="Q24" i="23"/>
  <c r="R24" i="23" s="1"/>
  <c r="Q16" i="23"/>
  <c r="R16" i="23" s="1"/>
  <c r="L22" i="23"/>
  <c r="Q22" i="23"/>
  <c r="R22" i="23" s="1"/>
  <c r="Q54" i="23"/>
  <c r="R54" i="23" s="1"/>
  <c r="L18" i="23"/>
  <c r="Q18" i="23"/>
  <c r="R18" i="23" s="1"/>
  <c r="Q27" i="23"/>
  <c r="R27" i="23" s="1"/>
  <c r="Q19" i="23"/>
  <c r="R19" i="23" s="1"/>
  <c r="Q17" i="23"/>
  <c r="R17" i="23" s="1"/>
  <c r="L29" i="23"/>
  <c r="Q15" i="23"/>
  <c r="R15" i="23" s="1"/>
  <c r="Q55" i="23"/>
  <c r="R55" i="23" s="1"/>
  <c r="Q23" i="23"/>
  <c r="R23" i="23" s="1"/>
  <c r="Q28" i="23"/>
  <c r="R28" i="23" s="1"/>
  <c r="Q20" i="23"/>
  <c r="R20" i="23" s="1"/>
  <c r="M29" i="10"/>
  <c r="R15" i="10"/>
  <c r="S15" i="10" s="1"/>
  <c r="M14" i="10"/>
  <c r="R14" i="10"/>
  <c r="S14" i="10" s="1"/>
  <c r="L23" i="24"/>
  <c r="R18" i="10"/>
  <c r="S18" i="10" s="1"/>
  <c r="M15" i="10"/>
  <c r="S25" i="10"/>
  <c r="F21" i="12" a="1"/>
  <c r="F21" i="12" s="1"/>
  <c r="E21" i="12"/>
  <c r="G26" i="12"/>
  <c r="E18" i="12"/>
  <c r="E10" i="12"/>
  <c r="L16" i="23"/>
  <c r="Q51" i="23"/>
  <c r="R51" i="23" s="1"/>
  <c r="L55" i="23"/>
  <c r="Q30" i="23"/>
  <c r="R30" i="23" s="1"/>
  <c r="L23" i="23"/>
  <c r="Q50" i="23"/>
  <c r="R50" i="23" s="1"/>
  <c r="L13" i="23"/>
  <c r="E10" i="19"/>
  <c r="L26" i="24"/>
  <c r="R26" i="24"/>
  <c r="L21" i="24"/>
  <c r="R21" i="24"/>
  <c r="S21" i="24" s="1"/>
  <c r="L24" i="24"/>
  <c r="R24" i="24"/>
  <c r="S24" i="24" s="1"/>
  <c r="L16" i="24"/>
  <c r="R16" i="24"/>
  <c r="S16" i="24" s="1"/>
  <c r="L15" i="24"/>
  <c r="R27" i="24"/>
  <c r="S27" i="24" s="1"/>
  <c r="R20" i="24"/>
  <c r="S20" i="24" s="1"/>
  <c r="R29" i="24"/>
  <c r="S29" i="24" s="1"/>
  <c r="R19" i="24"/>
  <c r="S19" i="24" s="1"/>
  <c r="L29" i="24"/>
  <c r="E10" i="16"/>
  <c r="D22" i="16"/>
  <c r="R14" i="23"/>
  <c r="D22" i="19"/>
  <c r="R52" i="23"/>
  <c r="D19" i="19"/>
  <c r="R25" i="23"/>
  <c r="L14" i="23"/>
  <c r="L47" i="23"/>
  <c r="L19" i="23"/>
  <c r="L27" i="23"/>
  <c r="L25" i="23"/>
  <c r="L19" i="24"/>
  <c r="L13" i="24"/>
  <c r="L27" i="24"/>
  <c r="Q49" i="23"/>
  <c r="L28" i="23"/>
  <c r="L24" i="23"/>
  <c r="L42" i="23"/>
  <c r="L43" i="23"/>
  <c r="Q45" i="23"/>
  <c r="R45" i="23" s="1"/>
  <c r="L20" i="23"/>
  <c r="L46" i="23"/>
  <c r="L15" i="23"/>
  <c r="L54" i="23"/>
  <c r="L53" i="23"/>
  <c r="L25" i="24"/>
  <c r="L30" i="24"/>
  <c r="L17" i="24"/>
  <c r="R41" i="23"/>
  <c r="J18" i="19"/>
  <c r="J26" i="19"/>
  <c r="S13" i="24"/>
  <c r="M13" i="10"/>
  <c r="R13" i="10"/>
  <c r="F9" i="12" s="1"/>
  <c r="R40" i="23" l="1"/>
  <c r="I22" i="19" a="1"/>
  <c r="I22" i="19" s="1"/>
  <c r="E22" i="19" a="1"/>
  <c r="E22" i="19" s="1"/>
  <c r="H26" i="12"/>
  <c r="E19" i="19" a="1"/>
  <c r="F10" i="12" a="1"/>
  <c r="F10" i="12" s="1"/>
  <c r="E9" i="13" a="1"/>
  <c r="E11" i="16" a="1"/>
  <c r="S26" i="24"/>
  <c r="E22" i="16" a="1"/>
  <c r="G27" i="16" s="1"/>
  <c r="H27" i="16" s="1"/>
  <c r="E19" i="16" a="1"/>
  <c r="G21" i="16" s="1"/>
  <c r="H21" i="16" s="1"/>
  <c r="R49" i="23"/>
  <c r="I19" i="19" a="1"/>
  <c r="K21" i="19" s="1"/>
  <c r="I11" i="19" a="1"/>
  <c r="E11" i="19" a="1"/>
  <c r="R13" i="23"/>
  <c r="S28" i="23"/>
  <c r="T28" i="24"/>
  <c r="E9" i="17" a="1"/>
  <c r="M32" i="17" s="1"/>
  <c r="E10" i="20" a="1"/>
  <c r="S13" i="10"/>
  <c r="E19" i="19" l="1"/>
  <c r="G17" i="16"/>
  <c r="H17" i="16" s="1"/>
  <c r="G18" i="16"/>
  <c r="H18" i="16" s="1"/>
  <c r="E11" i="16"/>
  <c r="G16" i="16"/>
  <c r="H16" i="16" s="1"/>
  <c r="K25" i="19"/>
  <c r="K26" i="19"/>
  <c r="E9" i="13"/>
  <c r="E32" i="13" s="1"/>
  <c r="H32" i="13"/>
  <c r="H37" i="13" s="1"/>
  <c r="S32" i="13"/>
  <c r="U32" i="13"/>
  <c r="K32" i="13"/>
  <c r="R32" i="13"/>
  <c r="J32" i="13"/>
  <c r="J37" i="13" s="1"/>
  <c r="V32" i="13"/>
  <c r="V57" i="13" s="1"/>
  <c r="T32" i="13"/>
  <c r="T37" i="13" s="1"/>
  <c r="L32" i="13"/>
  <c r="Q32" i="13"/>
  <c r="I32" i="13"/>
  <c r="P32" i="13"/>
  <c r="O32" i="13"/>
  <c r="N32" i="13"/>
  <c r="N43" i="13" s="1"/>
  <c r="G32" i="13"/>
  <c r="M32" i="13"/>
  <c r="F32" i="13"/>
  <c r="I11" i="19"/>
  <c r="I19" i="19"/>
  <c r="E11" i="19"/>
  <c r="E5" i="19" s="1"/>
  <c r="G24" i="16"/>
  <c r="H24" i="16" s="1"/>
  <c r="G25" i="16"/>
  <c r="H25" i="16" s="1"/>
  <c r="E19" i="16"/>
  <c r="E22" i="16"/>
  <c r="G26" i="16"/>
  <c r="H26" i="16" s="1"/>
  <c r="Q32" i="17"/>
  <c r="F32" i="17"/>
  <c r="I32" i="17"/>
  <c r="I66" i="17" s="1"/>
  <c r="J32" i="17"/>
  <c r="J66" i="17" s="1"/>
  <c r="K32" i="17"/>
  <c r="K65" i="17" s="1"/>
  <c r="N32" i="17"/>
  <c r="O32" i="17"/>
  <c r="U32" i="17"/>
  <c r="R32" i="17"/>
  <c r="T32" i="17"/>
  <c r="E9" i="17"/>
  <c r="E32" i="17" s="1"/>
  <c r="E39" i="17" s="1"/>
  <c r="S32" i="17"/>
  <c r="P32" i="17"/>
  <c r="H32" i="17"/>
  <c r="H65" i="17" s="1"/>
  <c r="V32" i="17"/>
  <c r="L32" i="17"/>
  <c r="L65" i="17" s="1"/>
  <c r="G32" i="17"/>
  <c r="G62" i="17" s="1"/>
  <c r="M62" i="17"/>
  <c r="M65" i="17"/>
  <c r="E10" i="20"/>
  <c r="E49" i="20" s="1"/>
  <c r="I49" i="20"/>
  <c r="Q49" i="20"/>
  <c r="J49" i="20"/>
  <c r="R49" i="20"/>
  <c r="K49" i="20"/>
  <c r="S49" i="20"/>
  <c r="L49" i="20"/>
  <c r="T49" i="20"/>
  <c r="T75" i="20" s="1"/>
  <c r="N49" i="20"/>
  <c r="M49" i="20"/>
  <c r="U49" i="20"/>
  <c r="F49" i="20"/>
  <c r="V49" i="20"/>
  <c r="G49" i="20"/>
  <c r="O49" i="20"/>
  <c r="H49" i="20"/>
  <c r="P49" i="20"/>
  <c r="E6" i="16" l="1"/>
  <c r="E29" i="16"/>
  <c r="I5" i="19"/>
  <c r="Q54" i="13"/>
  <c r="R56" i="13"/>
  <c r="R37" i="13"/>
  <c r="R38" i="13"/>
  <c r="K42" i="13"/>
  <c r="K37" i="13"/>
  <c r="K55" i="13"/>
  <c r="G36" i="13"/>
  <c r="G43" i="13"/>
  <c r="G37" i="13"/>
  <c r="G35" i="13"/>
  <c r="G39" i="13"/>
  <c r="G54" i="13"/>
  <c r="G38" i="13"/>
  <c r="G55" i="13"/>
  <c r="G56" i="13"/>
  <c r="G41" i="13"/>
  <c r="G34" i="13"/>
  <c r="I37" i="13"/>
  <c r="I44" i="13"/>
  <c r="Q56" i="13"/>
  <c r="Q38" i="13"/>
  <c r="S55" i="13"/>
  <c r="R54" i="13"/>
  <c r="F54" i="13"/>
  <c r="F56" i="13"/>
  <c r="F51" i="13"/>
  <c r="F37" i="13"/>
  <c r="F41" i="13"/>
  <c r="F34" i="13"/>
  <c r="F57" i="13"/>
  <c r="F40" i="13"/>
  <c r="F55" i="13"/>
  <c r="F43" i="13"/>
  <c r="F36" i="13"/>
  <c r="L37" i="13"/>
  <c r="L44" i="13"/>
  <c r="M44" i="13"/>
  <c r="M37" i="13"/>
  <c r="E43" i="13"/>
  <c r="E35" i="13"/>
  <c r="E38" i="13"/>
  <c r="E53" i="13"/>
  <c r="E37" i="13"/>
  <c r="E41" i="13"/>
  <c r="E29" i="19"/>
  <c r="G67" i="17"/>
  <c r="I65" i="17"/>
  <c r="J65" i="17"/>
  <c r="E38" i="17"/>
  <c r="E46" i="17"/>
  <c r="E48" i="17"/>
  <c r="F67" i="17"/>
  <c r="E44" i="17"/>
  <c r="E53" i="17"/>
  <c r="E35" i="17"/>
  <c r="E42" i="17"/>
  <c r="E57" i="17"/>
  <c r="E34" i="17"/>
  <c r="E65" i="17"/>
  <c r="E51" i="17"/>
  <c r="E45" i="17"/>
  <c r="K66" i="17"/>
  <c r="O64" i="17"/>
  <c r="F63" i="17"/>
  <c r="G63" i="17"/>
  <c r="F62" i="17"/>
  <c r="L86" i="20"/>
  <c r="G95" i="20"/>
  <c r="G79" i="20"/>
  <c r="G82" i="20"/>
  <c r="G71" i="20"/>
  <c r="G73" i="20"/>
  <c r="G96" i="20"/>
  <c r="G80" i="20"/>
  <c r="G72" i="20"/>
  <c r="F72" i="20"/>
  <c r="F84" i="20"/>
  <c r="F90" i="20"/>
  <c r="F96" i="20"/>
  <c r="R75" i="20"/>
  <c r="V88" i="20"/>
  <c r="V90" i="20"/>
  <c r="Q75" i="20"/>
  <c r="E96" i="20"/>
  <c r="E95" i="20"/>
  <c r="Q55" i="20"/>
  <c r="E73" i="20"/>
  <c r="E60" i="20"/>
  <c r="E76" i="20"/>
  <c r="E90" i="20"/>
  <c r="E58" i="20"/>
  <c r="E74" i="20"/>
  <c r="E84" i="20"/>
  <c r="E56" i="20"/>
  <c r="E52" i="20"/>
  <c r="E82" i="20"/>
  <c r="E53" i="20"/>
  <c r="E79" i="20"/>
  <c r="M53" i="20"/>
  <c r="M87" i="20"/>
  <c r="M81" i="20"/>
  <c r="M76" i="20"/>
  <c r="M62" i="20"/>
  <c r="N84" i="20"/>
  <c r="N61" i="20"/>
  <c r="L62" i="20"/>
  <c r="L53" i="20"/>
  <c r="L81" i="20"/>
  <c r="L76" i="20"/>
  <c r="L67" i="20"/>
  <c r="K53" i="20"/>
  <c r="K76" i="20"/>
  <c r="F81" i="20"/>
  <c r="F57" i="20"/>
  <c r="F54" i="20"/>
  <c r="G52" i="20"/>
  <c r="G78" i="20"/>
  <c r="G74" i="20"/>
  <c r="G75" i="20"/>
  <c r="G58" i="20"/>
  <c r="G60" i="20"/>
  <c r="G81" i="20"/>
  <c r="G62" i="20"/>
  <c r="G59" i="20"/>
  <c r="G57" i="20"/>
  <c r="G54" i="20"/>
  <c r="J81" i="20"/>
  <c r="J61" i="20"/>
  <c r="J53" i="20"/>
  <c r="J76" i="20"/>
  <c r="I76" i="20"/>
  <c r="I62" i="20"/>
  <c r="I81" i="20"/>
  <c r="I53" i="20"/>
  <c r="H76" i="20"/>
  <c r="H53" i="20"/>
  <c r="E78" i="20"/>
  <c r="E75" i="20"/>
  <c r="E63" i="20"/>
  <c r="E57" i="20"/>
  <c r="E80" i="20"/>
  <c r="O10" i="19" l="1"/>
  <c r="O11" i="19"/>
  <c r="R23" i="10"/>
  <c r="S23" i="10" s="1"/>
  <c r="M22" i="10"/>
  <c r="R22" i="10"/>
  <c r="Q34" i="5"/>
  <c r="V14" i="9"/>
  <c r="F18" i="12" l="1" a="1"/>
  <c r="F18" i="12" s="1"/>
  <c r="F5" i="12" s="1"/>
  <c r="Q62" i="5"/>
  <c r="J19" i="19" s="1"/>
  <c r="K19" i="19" s="1"/>
  <c r="S22" i="10"/>
  <c r="E35" i="21" a="1"/>
  <c r="E35" i="21" s="1"/>
  <c r="Q6" i="13"/>
  <c r="Q46" i="20"/>
  <c r="J14" i="19"/>
  <c r="K14" i="19" s="1"/>
  <c r="J15" i="19"/>
  <c r="K15" i="19" s="1"/>
  <c r="J16" i="19"/>
  <c r="J17" i="19"/>
  <c r="P53" i="17"/>
  <c r="P50" i="17"/>
  <c r="P49" i="17"/>
  <c r="N52" i="17"/>
  <c r="N41" i="17"/>
  <c r="M60" i="17"/>
  <c r="M59" i="17"/>
  <c r="M58" i="17"/>
  <c r="M52" i="17"/>
  <c r="M51" i="17"/>
  <c r="M40" i="17"/>
  <c r="M39" i="17"/>
  <c r="M38" i="17"/>
  <c r="L51" i="17"/>
  <c r="L38" i="17"/>
  <c r="L36" i="17"/>
  <c r="K55" i="17"/>
  <c r="K54" i="17"/>
  <c r="K52" i="17"/>
  <c r="K51" i="17"/>
  <c r="K40" i="17"/>
  <c r="K39" i="17"/>
  <c r="K38" i="17"/>
  <c r="K37" i="17"/>
  <c r="J60" i="17"/>
  <c r="J58" i="17"/>
  <c r="J52" i="17"/>
  <c r="J51" i="17"/>
  <c r="J42" i="17"/>
  <c r="J40" i="17"/>
  <c r="J39" i="17"/>
  <c r="J38" i="17"/>
  <c r="J37" i="17"/>
  <c r="I60" i="17"/>
  <c r="I59" i="17"/>
  <c r="I58" i="17"/>
  <c r="I52" i="17"/>
  <c r="I51" i="17"/>
  <c r="I40" i="17"/>
  <c r="I39" i="17"/>
  <c r="I38" i="17"/>
  <c r="I37" i="17"/>
  <c r="H49" i="17"/>
  <c r="H46" i="17"/>
  <c r="H38" i="17"/>
  <c r="H36" i="17"/>
  <c r="G53" i="17"/>
  <c r="G50" i="17"/>
  <c r="G49" i="17"/>
  <c r="G48" i="17"/>
  <c r="G46" i="17"/>
  <c r="G45" i="17"/>
  <c r="G44" i="17"/>
  <c r="G43" i="17"/>
  <c r="G42" i="17"/>
  <c r="G39" i="17"/>
  <c r="G36" i="17"/>
  <c r="G35" i="17"/>
  <c r="F47" i="17"/>
  <c r="F39" i="17"/>
  <c r="F34" i="17"/>
  <c r="K30" i="19" l="1"/>
  <c r="J10" i="19"/>
  <c r="K10" i="19" s="1"/>
  <c r="J21" i="19"/>
  <c r="J22" i="19"/>
  <c r="K22" i="19" s="1"/>
  <c r="S62" i="5"/>
  <c r="J25" i="19"/>
  <c r="H20" i="12"/>
  <c r="I20" i="12" s="1"/>
  <c r="S45" i="1"/>
  <c r="J27" i="19"/>
  <c r="K27" i="19" s="1"/>
  <c r="J23" i="19"/>
  <c r="K23" i="19" s="1"/>
  <c r="J20" i="19"/>
  <c r="K20" i="19" s="1"/>
  <c r="J11" i="19"/>
  <c r="K11" i="19" s="1"/>
  <c r="J24" i="19"/>
  <c r="K24" i="19" s="1"/>
  <c r="N98" i="20"/>
  <c r="F99" i="20"/>
  <c r="J97" i="20"/>
  <c r="G99" i="20"/>
  <c r="Q99" i="20"/>
  <c r="K97" i="20"/>
  <c r="H77" i="20"/>
  <c r="R99" i="20"/>
  <c r="O94" i="20"/>
  <c r="L89" i="20"/>
  <c r="I97" i="20"/>
  <c r="R97" i="20"/>
  <c r="Q97" i="20"/>
  <c r="K85" i="20"/>
  <c r="G92" i="20"/>
  <c r="I64" i="20"/>
  <c r="K64" i="20"/>
  <c r="N64" i="20"/>
  <c r="J85" i="20"/>
  <c r="N85" i="20"/>
  <c r="M64" i="20"/>
  <c r="Q93" i="20"/>
  <c r="J64" i="20"/>
  <c r="I85" i="20"/>
  <c r="M85" i="20"/>
  <c r="F92" i="20"/>
  <c r="M69" i="20"/>
  <c r="M68" i="20"/>
  <c r="I68" i="20"/>
  <c r="R68" i="20"/>
  <c r="I26" i="12"/>
  <c r="L10" i="19" l="1"/>
  <c r="K29" i="19"/>
  <c r="F7" i="21" s="1"/>
  <c r="I10" i="16"/>
  <c r="I11" i="16"/>
  <c r="N10" i="19"/>
  <c r="N11" i="19"/>
  <c r="M27" i="10"/>
  <c r="M26" i="10"/>
  <c r="M25" i="10"/>
  <c r="M24" i="10"/>
  <c r="V16" i="9" l="1"/>
  <c r="V26" i="9"/>
  <c r="Q52" i="5"/>
  <c r="Q59" i="5"/>
  <c r="J28" i="1"/>
  <c r="Q47" i="1"/>
  <c r="D28" i="1"/>
  <c r="Q54" i="5" l="1"/>
  <c r="S52" i="5"/>
  <c r="S17" i="5"/>
  <c r="X26" i="9"/>
  <c r="G9" i="12"/>
  <c r="H9" i="12" s="1"/>
  <c r="H29" i="12" s="1"/>
  <c r="I7" i="21" s="1"/>
  <c r="G25" i="12"/>
  <c r="H25" i="12" s="1"/>
  <c r="I25" i="12" s="1"/>
  <c r="G20" i="12"/>
  <c r="G14" i="12"/>
  <c r="H14" i="12" s="1"/>
  <c r="I14" i="12" s="1"/>
  <c r="G12" i="12"/>
  <c r="H12" i="12" s="1"/>
  <c r="I12" i="12" s="1"/>
  <c r="G17" i="12"/>
  <c r="H17" i="12" s="1"/>
  <c r="I17" i="12" s="1"/>
  <c r="G19" i="12"/>
  <c r="H19" i="12" s="1"/>
  <c r="I19" i="12" s="1"/>
  <c r="G13" i="12"/>
  <c r="H13" i="12" s="1"/>
  <c r="I13" i="12" s="1"/>
  <c r="G24" i="12"/>
  <c r="H24" i="12" s="1"/>
  <c r="I24" i="12" s="1"/>
  <c r="G15" i="12"/>
  <c r="H15" i="12" s="1"/>
  <c r="I15" i="12" s="1"/>
  <c r="G11" i="12"/>
  <c r="H11" i="12" s="1"/>
  <c r="I11" i="12" s="1"/>
  <c r="G23" i="12"/>
  <c r="H23" i="12" s="1"/>
  <c r="I23" i="12" s="1"/>
  <c r="G16" i="12"/>
  <c r="H16" i="12" s="1"/>
  <c r="I16" i="12" s="1"/>
  <c r="G22" i="12"/>
  <c r="H22" i="12" s="1"/>
  <c r="I22" i="12" s="1"/>
  <c r="G18" i="12"/>
  <c r="H18" i="12" s="1"/>
  <c r="G21" i="12"/>
  <c r="H21" i="12" s="1"/>
  <c r="I21" i="12" s="1"/>
  <c r="G10" i="12"/>
  <c r="H10" i="12" s="1"/>
  <c r="I10" i="12" s="1"/>
  <c r="F17" i="19"/>
  <c r="F15" i="19"/>
  <c r="G15" i="19" s="1"/>
  <c r="F16" i="19"/>
  <c r="F14" i="19"/>
  <c r="G14" i="19" s="1"/>
  <c r="F18" i="19"/>
  <c r="L18" i="19" s="1"/>
  <c r="F26" i="19"/>
  <c r="G26" i="19" s="1"/>
  <c r="F25" i="19"/>
  <c r="G25" i="19" s="1"/>
  <c r="F24" i="19"/>
  <c r="G24" i="19" s="1"/>
  <c r="F21" i="19"/>
  <c r="G21" i="19" s="1"/>
  <c r="F20" i="19"/>
  <c r="G20" i="19" s="1"/>
  <c r="M28" i="10"/>
  <c r="M23" i="10"/>
  <c r="V28" i="9"/>
  <c r="F10" i="19"/>
  <c r="G10" i="19" s="1"/>
  <c r="G29" i="19" s="1"/>
  <c r="F19" i="19"/>
  <c r="G19" i="19" s="1"/>
  <c r="F11" i="19"/>
  <c r="G11" i="19" s="1"/>
  <c r="F12" i="19"/>
  <c r="G12" i="19" s="1"/>
  <c r="F13" i="19"/>
  <c r="G13" i="19" s="1"/>
  <c r="F23" i="19"/>
  <c r="G23" i="19" s="1"/>
  <c r="F27" i="19"/>
  <c r="G27" i="19" s="1"/>
  <c r="Q37" i="5"/>
  <c r="E7" i="21" l="1"/>
  <c r="D7" i="21"/>
  <c r="I18" i="12"/>
  <c r="J10" i="12"/>
  <c r="J11" i="12"/>
  <c r="M10" i="19"/>
  <c r="M11" i="19"/>
  <c r="F26" i="16"/>
  <c r="F21" i="16"/>
  <c r="F23" i="16"/>
  <c r="G23" i="16" s="1"/>
  <c r="H23" i="16" s="1"/>
  <c r="F25" i="16"/>
  <c r="F24" i="16"/>
  <c r="F10" i="16"/>
  <c r="G10" i="16" s="1"/>
  <c r="G29" i="16" s="1"/>
  <c r="F14" i="16"/>
  <c r="G14" i="16" s="1"/>
  <c r="F13" i="16"/>
  <c r="G13" i="16" s="1"/>
  <c r="F19" i="16"/>
  <c r="G19" i="16" s="1"/>
  <c r="H19" i="16" s="1"/>
  <c r="F20" i="16"/>
  <c r="G20" i="16" s="1"/>
  <c r="H20" i="16" s="1"/>
  <c r="F12" i="16"/>
  <c r="G12" i="16" s="1"/>
  <c r="F22" i="16"/>
  <c r="G22" i="16" s="1"/>
  <c r="H22" i="16" s="1"/>
  <c r="F15" i="16"/>
  <c r="G15" i="16" s="1"/>
  <c r="F11" i="16"/>
  <c r="G11" i="16" s="1"/>
  <c r="S49" i="1"/>
  <c r="H18" i="19"/>
  <c r="H26" i="19"/>
  <c r="S37" i="13"/>
  <c r="T61" i="20"/>
  <c r="T59" i="20"/>
  <c r="T68" i="20"/>
  <c r="T56" i="20"/>
  <c r="T63" i="20"/>
  <c r="T55" i="20"/>
  <c r="T62" i="20"/>
  <c r="T60" i="20"/>
  <c r="T85" i="20"/>
  <c r="T58" i="20"/>
  <c r="T82" i="20"/>
  <c r="T64" i="20"/>
  <c r="Q51" i="1"/>
  <c r="J13" i="19"/>
  <c r="K13" i="19" s="1"/>
  <c r="J12" i="19"/>
  <c r="K12" i="19" s="1"/>
  <c r="U58" i="17"/>
  <c r="U55" i="17"/>
  <c r="U52" i="17"/>
  <c r="U51" i="17"/>
  <c r="U43" i="17"/>
  <c r="U37" i="17"/>
  <c r="S43" i="17"/>
  <c r="S38" i="17"/>
  <c r="S51" i="17"/>
  <c r="H27" i="19"/>
  <c r="F22" i="19"/>
  <c r="G22" i="19" s="1"/>
  <c r="U39" i="17"/>
  <c r="S39" i="17"/>
  <c r="S37" i="17"/>
  <c r="R40" i="17"/>
  <c r="Q64" i="5"/>
  <c r="Q21" i="5"/>
  <c r="T55" i="17"/>
  <c r="R51" i="17"/>
  <c r="Q30" i="17" a="1"/>
  <c r="Q30" i="17" s="1"/>
  <c r="U40" i="17"/>
  <c r="U41" i="17"/>
  <c r="S40" i="17"/>
  <c r="V47" i="17"/>
  <c r="H7" i="21" l="1"/>
  <c r="G7" i="21"/>
  <c r="J11" i="16"/>
  <c r="J10" i="16"/>
  <c r="U49" i="13"/>
  <c r="V43" i="13"/>
  <c r="R47" i="13"/>
  <c r="S38" i="13"/>
  <c r="S48" i="13"/>
  <c r="S46" i="13"/>
  <c r="U48" i="13"/>
  <c r="R48" i="13"/>
  <c r="V37" i="13"/>
  <c r="U64" i="20"/>
  <c r="U85" i="20"/>
  <c r="S85" i="20"/>
  <c r="S64" i="20"/>
  <c r="V39" i="17"/>
  <c r="H12" i="16"/>
  <c r="H13" i="16"/>
  <c r="H14" i="16"/>
  <c r="H11" i="16"/>
  <c r="Q78" i="20"/>
  <c r="Q85" i="20"/>
  <c r="Q81" i="20"/>
  <c r="Q82" i="20"/>
  <c r="Q83" i="20"/>
  <c r="R82" i="20"/>
  <c r="R78" i="20"/>
  <c r="R85" i="20"/>
  <c r="R81" i="20"/>
  <c r="R83" i="20"/>
  <c r="V63" i="20"/>
  <c r="V57" i="20"/>
  <c r="R58" i="20"/>
  <c r="R64" i="20"/>
  <c r="R56" i="20"/>
  <c r="R61" i="20"/>
  <c r="R65" i="20"/>
  <c r="R60" i="20"/>
  <c r="R59" i="20"/>
  <c r="R63" i="20"/>
  <c r="R55" i="20"/>
  <c r="R62" i="20"/>
  <c r="H22" i="19"/>
  <c r="Q62" i="20"/>
  <c r="Q64" i="20"/>
  <c r="Q63" i="20"/>
  <c r="Q60" i="20"/>
  <c r="Q58" i="20"/>
  <c r="Q68" i="20"/>
  <c r="Q56" i="20"/>
  <c r="Q61" i="20"/>
  <c r="Q65" i="20"/>
  <c r="Q59" i="20"/>
  <c r="Q39" i="17"/>
  <c r="Q43" i="17"/>
  <c r="R37" i="17"/>
  <c r="R43" i="17"/>
  <c r="T52" i="17"/>
  <c r="T43" i="17"/>
  <c r="T39" i="17"/>
  <c r="T37" i="17"/>
  <c r="R39" i="17"/>
  <c r="S52" i="17"/>
  <c r="R52" i="17"/>
  <c r="Q52" i="17"/>
  <c r="Q37" i="17"/>
  <c r="L24" i="19"/>
  <c r="L16" i="19"/>
  <c r="H25" i="19"/>
  <c r="H15" i="16"/>
  <c r="H10" i="19"/>
  <c r="H15" i="19"/>
  <c r="H17" i="19"/>
  <c r="H13" i="19"/>
  <c r="H20" i="19"/>
  <c r="H16" i="19"/>
  <c r="H11" i="19"/>
  <c r="H21" i="19"/>
  <c r="L13" i="19"/>
  <c r="L20" i="19"/>
  <c r="L15" i="19"/>
  <c r="L11" i="19"/>
  <c r="L17" i="19"/>
  <c r="L21" i="19"/>
  <c r="L12" i="19"/>
  <c r="L19" i="19"/>
  <c r="L14" i="19"/>
  <c r="L27" i="19"/>
  <c r="H24" i="19"/>
  <c r="H23" i="19"/>
  <c r="V80" i="20"/>
  <c r="V72" i="20"/>
  <c r="Q47" i="20" a="1"/>
  <c r="Q47" i="20" s="1"/>
  <c r="Q29" i="13"/>
  <c r="G5" i="19" l="1"/>
  <c r="H10" i="16"/>
  <c r="E10" i="17" s="1" a="1"/>
  <c r="H12" i="19"/>
  <c r="H14" i="19"/>
  <c r="H19" i="19"/>
  <c r="L26" i="19"/>
  <c r="L22" i="19"/>
  <c r="L23" i="19"/>
  <c r="L25" i="19"/>
  <c r="E10" i="17" l="1"/>
  <c r="E25" i="17" s="1"/>
  <c r="H25" i="17"/>
  <c r="P25" i="17"/>
  <c r="L25" i="17"/>
  <c r="U25" i="17"/>
  <c r="N25" i="17"/>
  <c r="G25" i="17"/>
  <c r="I25" i="17"/>
  <c r="Q25" i="17"/>
  <c r="M25" i="17"/>
  <c r="V25" i="17"/>
  <c r="O25" i="17"/>
  <c r="J25" i="17"/>
  <c r="R25" i="17"/>
  <c r="T25" i="17"/>
  <c r="F25" i="17"/>
  <c r="K25" i="17"/>
  <c r="S25" i="17"/>
  <c r="E28" i="20" a="1"/>
  <c r="E11" i="20" a="1"/>
  <c r="I9" i="12"/>
  <c r="E10" i="13" s="1" a="1"/>
  <c r="N25" i="13" l="1"/>
  <c r="V25" i="13"/>
  <c r="F25" i="13"/>
  <c r="G25" i="13"/>
  <c r="O25" i="13"/>
  <c r="H25" i="13"/>
  <c r="P25" i="13"/>
  <c r="I25" i="13"/>
  <c r="Q25" i="13"/>
  <c r="L25" i="13"/>
  <c r="U25" i="13"/>
  <c r="J25" i="13"/>
  <c r="R25" i="13"/>
  <c r="S25" i="13"/>
  <c r="T25" i="13"/>
  <c r="M25" i="13"/>
  <c r="K25" i="13"/>
  <c r="E28" i="20"/>
  <c r="E43" i="20" s="1"/>
  <c r="M43" i="20"/>
  <c r="U43" i="20"/>
  <c r="F43" i="20"/>
  <c r="N43" i="20"/>
  <c r="V43" i="20"/>
  <c r="G43" i="20"/>
  <c r="O43" i="20"/>
  <c r="I43" i="20"/>
  <c r="J43" i="20"/>
  <c r="H43" i="20"/>
  <c r="P43" i="20"/>
  <c r="Q43" i="20"/>
  <c r="R43" i="20"/>
  <c r="K43" i="20"/>
  <c r="S43" i="20"/>
  <c r="L43" i="20"/>
  <c r="T43" i="20"/>
  <c r="E11" i="20"/>
  <c r="E26" i="20" s="1"/>
  <c r="K26" i="20"/>
  <c r="S26" i="20"/>
  <c r="H26" i="20"/>
  <c r="L26" i="20"/>
  <c r="T26" i="20"/>
  <c r="Q26" i="20"/>
  <c r="M26" i="20"/>
  <c r="U26" i="20"/>
  <c r="G26" i="20"/>
  <c r="P26" i="20"/>
  <c r="I26" i="20"/>
  <c r="R26" i="20"/>
  <c r="F26" i="20"/>
  <c r="N26" i="20"/>
  <c r="V26" i="20"/>
  <c r="O26" i="20"/>
  <c r="J26" i="20"/>
  <c r="E10" i="13"/>
  <c r="E25" i="13" s="1"/>
  <c r="E10" i="21" l="1" a="1"/>
  <c r="E10" i="21" s="1"/>
  <c r="D10" i="21" a="1"/>
  <c r="D10" i="21" s="1"/>
  <c r="F10" i="21" a="1"/>
  <c r="F10" i="21" s="1"/>
  <c r="Y27" i="20"/>
  <c r="Y26" i="20"/>
  <c r="Y25" i="20"/>
  <c r="Y26" i="13"/>
  <c r="Y27" i="17"/>
  <c r="Y26" i="17"/>
  <c r="Y25" i="17"/>
  <c r="Y25" i="13"/>
  <c r="Y24" i="13"/>
  <c r="Y23" i="13"/>
  <c r="Y44" i="20"/>
  <c r="Y43" i="20"/>
  <c r="Y42" i="20"/>
  <c r="Y46" i="20"/>
  <c r="I10" i="21" a="1"/>
  <c r="I10" i="21" s="1"/>
  <c r="G10" i="21" a="1"/>
  <c r="G10" i="21" s="1"/>
  <c r="H10" i="21" a="1"/>
  <c r="H10" i="21" s="1"/>
  <c r="Z25" i="20" l="1"/>
  <c r="Z24" i="20" s="1" a="1"/>
  <c r="Z24" i="20" s="1"/>
  <c r="Z25" i="17"/>
  <c r="Z24" i="17" s="1" a="1"/>
  <c r="Z24" i="17" s="1"/>
  <c r="Z23" i="13"/>
  <c r="AA23" i="13" s="1"/>
  <c r="Z42" i="20"/>
  <c r="Z41" i="20" s="1" a="1"/>
  <c r="Z41" i="20" s="1"/>
  <c r="F31" i="21" s="1"/>
  <c r="Z22" i="13" l="1" a="1"/>
  <c r="Z22" i="13" s="1"/>
  <c r="I31" i="21" s="1"/>
  <c r="H31" i="21"/>
  <c r="G31" i="21" l="1"/>
  <c r="D31" i="21" l="1"/>
  <c r="E31"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<sst xmlns="http://schemas.openxmlformats.org/spreadsheetml/2006/main" count="1369" uniqueCount="555">
  <si>
    <t>Climate-proofing of buildings against water- and soil-related hazards</t>
  </si>
  <si>
    <r>
      <rPr>
        <b/>
        <sz val="24"/>
        <rFont val="Roboto"/>
      </rPr>
      <t>STEP 1.</t>
    </r>
    <r>
      <rPr>
        <sz val="24"/>
        <rFont val="Roboto"/>
      </rPr>
      <t xml:space="preserve"> RATE EXPOSURE combined with likelihood of occurrence</t>
    </r>
  </si>
  <si>
    <r>
      <t xml:space="preserve">Table 1.1. </t>
    </r>
    <r>
      <rPr>
        <sz val="13"/>
        <color theme="1"/>
        <rFont val="Roboto"/>
      </rPr>
      <t>Exposure to (river, pluvial, coastal) Flooding</t>
    </r>
  </si>
  <si>
    <t>Flood exposure describes the proneness of a region to experience fluvial, pluvial, or coastal flooding. To determine flood exposure users may contact national databases and advise flood hazard maps or flood risk maps for the area of interest.  If such maps are not available, the exposure to flood events is determined by means of empirical indicators.</t>
  </si>
  <si>
    <t xml:space="preserve">Select one option from the drop-down menu.  </t>
  </si>
  <si>
    <t xml:space="preserve">How will the assessment be performed? </t>
  </si>
  <si>
    <t>Empirical Indicators</t>
  </si>
  <si>
    <t>Fill-in the white cells</t>
  </si>
  <si>
    <t>Question</t>
  </si>
  <si>
    <t>Instructions</t>
  </si>
  <si>
    <t>[0]</t>
  </si>
  <si>
    <t>[1]</t>
  </si>
  <si>
    <t>[2]</t>
  </si>
  <si>
    <t>[3]</t>
  </si>
  <si>
    <t>[0-3]</t>
  </si>
  <si>
    <t>NO</t>
  </si>
  <si>
    <t>LIKELY</t>
  </si>
  <si>
    <t>MOST LIKELY</t>
  </si>
  <si>
    <t>YES</t>
  </si>
  <si>
    <t>Provide Score</t>
  </si>
  <si>
    <t>Q1.1</t>
  </si>
  <si>
    <t>Q1.2</t>
  </si>
  <si>
    <t>Q1.3</t>
  </si>
  <si>
    <t>Q1.4</t>
  </si>
  <si>
    <t xml:space="preserve">Current Flood Exposure Score: </t>
  </si>
  <si>
    <t>Current Flood Risk:</t>
  </si>
  <si>
    <r>
      <t xml:space="preserve">Table 1.2. </t>
    </r>
    <r>
      <rPr>
        <sz val="13"/>
        <color theme="1"/>
        <rFont val="Roboto"/>
      </rPr>
      <t xml:space="preserve"> Exposure to soil-related hazards (landslides, soil-erosion and subsidence)</t>
    </r>
  </si>
  <si>
    <t xml:space="preserve">How will the assessment be performed?    </t>
  </si>
  <si>
    <t>Q1.5</t>
  </si>
  <si>
    <t>Q1.6</t>
  </si>
  <si>
    <t xml:space="preserve">Current Score: </t>
  </si>
  <si>
    <t>Current Soil Risk:</t>
  </si>
  <si>
    <t>Climate Change Projections</t>
  </si>
  <si>
    <t>`</t>
  </si>
  <si>
    <t xml:space="preserve">Consult the regional climate projections IPCC Interactive Atlas (https://interactive-atlas.ipcc.ch) to determine how flood and landslide exposure will change due to climate change and define a climate-change multiplier that will be used for the estimation of future exposure levels. Where available, consult downscaled climate projections to refine your answer. </t>
  </si>
  <si>
    <r>
      <rPr>
        <b/>
        <sz val="13"/>
        <rFont val="Roboto"/>
      </rPr>
      <t>Table 1.3</t>
    </r>
    <r>
      <rPr>
        <sz val="13"/>
        <rFont val="Roboto"/>
      </rPr>
      <t>. Climate projections</t>
    </r>
  </si>
  <si>
    <t>Decreasing trend</t>
  </si>
  <si>
    <t>Increasing trend</t>
  </si>
  <si>
    <t>Climate-change multiplier</t>
  </si>
  <si>
    <t xml:space="preserve">Low Confidence </t>
  </si>
  <si>
    <t xml:space="preserve">Medium Confidence </t>
  </si>
  <si>
    <t xml:space="preserve">High Confidence </t>
  </si>
  <si>
    <t>Q1.7</t>
  </si>
  <si>
    <r>
      <rPr>
        <sz val="9"/>
        <color rgb="FFC50DAB"/>
        <rFont val="Roboto"/>
      </rPr>
      <t xml:space="preserve">All sites: </t>
    </r>
    <r>
      <rPr>
        <sz val="9"/>
        <color theme="1" tint="0.249977111117893"/>
        <rFont val="Roboto"/>
      </rPr>
      <t>Will the region experience heavier and more frequent storms in the future? Are the trends increasing or decreasing?</t>
    </r>
  </si>
  <si>
    <r>
      <t xml:space="preserve">Obtain the regional projections by IPCC for </t>
    </r>
    <r>
      <rPr>
        <b/>
        <sz val="8"/>
        <color theme="1" tint="0.249977111117893"/>
        <rFont val="Roboto"/>
      </rPr>
      <t>heavy precipitation</t>
    </r>
    <r>
      <rPr>
        <sz val="8"/>
        <color theme="1" tint="0.249977111117893"/>
        <rFont val="Roboto"/>
      </rPr>
      <t>.  Give your score by combining information on the direction of change (either decreasing or increasing) and the associated confidence level (Low or High).</t>
    </r>
  </si>
  <si>
    <t>Q1.8</t>
  </si>
  <si>
    <r>
      <rPr>
        <sz val="9"/>
        <color rgb="FFC50DAB"/>
        <rFont val="Roboto"/>
      </rPr>
      <t>Low-lying regions closed to river and lakes:</t>
    </r>
    <r>
      <rPr>
        <sz val="9"/>
        <color theme="1" tint="0.249977111117893"/>
        <rFont val="Roboto"/>
      </rPr>
      <t xml:space="preserve"> Is the risk of river flooding expected to increase? </t>
    </r>
  </si>
  <si>
    <r>
      <t xml:space="preserve">Obtain the regional projections by IPCC for </t>
    </r>
    <r>
      <rPr>
        <b/>
        <sz val="8"/>
        <color theme="1" tint="0.249977111117893"/>
        <rFont val="Roboto"/>
      </rPr>
      <t xml:space="preserve">river flooding.  </t>
    </r>
    <r>
      <rPr>
        <sz val="8"/>
        <color theme="1" tint="0.249977111117893"/>
        <rFont val="Roboto"/>
      </rPr>
      <t>Give a score by combining information on the direction of change (either decreasing or increasing) and the associated confidence level (Low or High).</t>
    </r>
  </si>
  <si>
    <t>Q1.9</t>
  </si>
  <si>
    <r>
      <rPr>
        <sz val="9"/>
        <color rgb="FFC50DAB"/>
        <rFont val="Roboto"/>
      </rPr>
      <t>Coastal sites:</t>
    </r>
    <r>
      <rPr>
        <sz val="9"/>
        <color theme="1"/>
        <rFont val="Roboto"/>
      </rPr>
      <t xml:space="preserve"> Is the risk of coastal flooding expected to increase?</t>
    </r>
  </si>
  <si>
    <r>
      <t xml:space="preserve">Obtain the regional projections by IPCC for </t>
    </r>
    <r>
      <rPr>
        <b/>
        <sz val="8"/>
        <color theme="1" tint="0.249977111117893"/>
        <rFont val="Roboto"/>
      </rPr>
      <t xml:space="preserve">coastal flooding. </t>
    </r>
    <r>
      <rPr>
        <sz val="8"/>
        <color theme="1" tint="0.249977111117893"/>
        <rFont val="Roboto"/>
      </rPr>
      <t>Give a score by  combining information on the direction of change (either decreasing or increasing) and the associated confidence level (Low or High).</t>
    </r>
  </si>
  <si>
    <t xml:space="preserve">Future Flood Exposure Score: </t>
  </si>
  <si>
    <t xml:space="preserve">Future Flood Exposure Level: </t>
  </si>
  <si>
    <t xml:space="preserve">Future Soil Score: </t>
  </si>
  <si>
    <t xml:space="preserve">Future Soil Risk Level: </t>
  </si>
  <si>
    <t>Flood Hazard Maps</t>
  </si>
  <si>
    <t>Obtain the 50-year, the 100-year, the 200-year  flood map for the area of interest.</t>
  </si>
  <si>
    <t>For areas that are impacted by river floods, experienced users may refer to the 'River Flood Hazard Maps at European and Global Scale'. Resources to consider: https://data.jrc.ec.europa.eu/collection/id-0054 ; https://inundatii.ro/en/maps-portal/</t>
  </si>
  <si>
    <t xml:space="preserve">Is the facility located within the flood impact zone of the 50-year flood*?  </t>
  </si>
  <si>
    <t>Is the facility located within the flood impact zone of the 100-year flood**?</t>
  </si>
  <si>
    <t>Is the facility located within the flood impact zone of the 200-year flood?</t>
  </si>
  <si>
    <t>Are the facility's access routes and supply chain located within the flood impact zone of the 100-year flood?</t>
  </si>
  <si>
    <t xml:space="preserve">Even if the facility remains intact, flooding may hamper accessibility impacting the supply chain or the transportation of people to/from the facility. </t>
  </si>
  <si>
    <t>Flood Risk Maps</t>
  </si>
  <si>
    <t>Landslide Risk Maps</t>
  </si>
  <si>
    <t>Obtain the flood risk map for the region of interest. Read the color-coded map to determine the exposure level at the area of interest.</t>
  </si>
  <si>
    <t>If regional flood risk maps are not available, users may refer to the maps developed by the WISE Framewater to identify areas of potential significant flood risk:  https://discomap.eea.europa.eu/floodsviewer/</t>
  </si>
  <si>
    <t xml:space="preserve">Based on the landslide susceptibility map, how would you rate the likelihood of a landslide occuring in the area?  </t>
  </si>
  <si>
    <t>[0: No Susceptibility; 1: Low susceptibility; 2: Moderate susceptibility; 3: High susceptibility]. Landslide susceptibility maps measure the potential of a region to experience landslide taking into account historic landslide activity and local conditions (i.e., hill gradient, soil type, water flow in the area).</t>
  </si>
  <si>
    <t xml:space="preserve"> Is the facility located in a high-risk region?*</t>
  </si>
  <si>
    <t xml:space="preserve"> Is the facility located in a region of moderate risk or higher?**</t>
  </si>
  <si>
    <t xml:space="preserve"> Is the facility located in a region of low risk or higher?</t>
  </si>
  <si>
    <t>Are the access routes or the supply chain of the facility crossing the high-risk region?</t>
  </si>
  <si>
    <t>Is the building located on a hillside? Is the area characterized by very steep slopes, a lot of loose debris and water, and little vegetation?</t>
  </si>
  <si>
    <t>Extreme rainfall is the triggering factor for the majority of landslides. Steep hills with low vegetation (or areas that have been recently affected by wildfires) are particularly susceptible to soil erosion and creep, soil movements , rockfalls,  and mudslides posing a great threat to the stability of buildings located within the landslide zone.</t>
  </si>
  <si>
    <t xml:space="preserve">Is the building constructed on a floodplain, wetland or a low-lying barrier? </t>
  </si>
  <si>
    <t xml:space="preserve">These are flat areas that are close to a river, lake or, sea. Because of their modest elevation (no more than 10 m) such areas are prone to river, pluvial and coastal flooding, and storm surges. </t>
  </si>
  <si>
    <t>Does the region experience soil movements (i.e., rockfalls, mudslides, soil creep, etc) when it rains?</t>
  </si>
  <si>
    <t xml:space="preserve">[0: No; 1: Yes, but rarely; 2: Yes, 3: Yes, frequently] </t>
  </si>
  <si>
    <t xml:space="preserve">Is the building constructed on a river bank?                          </t>
  </si>
  <si>
    <t>High water velocities may cause river banks to collapse or produce foundation scouring causing differential settlements or even collapse of the building.</t>
  </si>
  <si>
    <t xml:space="preserve">Has the area experienced significant flooding in recent history?  </t>
  </si>
  <si>
    <t>Give your answer based on the year of occurrence of the most recent flood event. [0]: &gt;100 years;  [1]: 50-100 years; [2]: 20-50 years; [3] &lt;20 years</t>
  </si>
  <si>
    <t>Are the access routes or the supply chain of the facility crossing flood plains?</t>
  </si>
  <si>
    <r>
      <t xml:space="preserve">Climate-proofing of buildings against </t>
    </r>
    <r>
      <rPr>
        <b/>
        <sz val="14"/>
        <color rgb="FF660033"/>
        <rFont val="Roboto"/>
      </rPr>
      <t>water- and soil-related hazards</t>
    </r>
  </si>
  <si>
    <r>
      <t>STEP 2. RATE SENSITIVITY</t>
    </r>
    <r>
      <rPr>
        <sz val="24"/>
        <rFont val="Roboto"/>
      </rPr>
      <t xml:space="preserve"> combining impacts and in-built adaptive capacity</t>
    </r>
  </si>
  <si>
    <t xml:space="preserve">Use the drop-down menu to select type of building: </t>
  </si>
  <si>
    <t>Small Residential/Office/Shop</t>
  </si>
  <si>
    <r>
      <t>Table 2.1.</t>
    </r>
    <r>
      <rPr>
        <sz val="13"/>
        <color theme="1"/>
        <rFont val="Roboto"/>
      </rPr>
      <t xml:space="preserve"> Component-based sensitivity assessment to flooding and soil-related hazards (landlsides, soil erosion, subsidence)</t>
    </r>
  </si>
  <si>
    <t xml:space="preserve">Checklist </t>
  </si>
  <si>
    <t>Sensitivity</t>
  </si>
  <si>
    <t>Adaptive Capacity</t>
  </si>
  <si>
    <t>Final Score</t>
  </si>
  <si>
    <r>
      <t xml:space="preserve">Select N/A from the drop-down menu to </t>
    </r>
    <r>
      <rPr>
        <b/>
        <sz val="11"/>
        <color theme="1"/>
        <rFont val="Calibri"/>
        <family val="2"/>
        <charset val="161"/>
        <scheme val="minor"/>
      </rPr>
      <t xml:space="preserve">de-activate  components </t>
    </r>
    <r>
      <rPr>
        <sz val="11"/>
        <color theme="1"/>
        <rFont val="Calibri"/>
        <family val="2"/>
        <charset val="161"/>
        <scheme val="minor"/>
      </rPr>
      <t>that do not apply to the project under consideration</t>
    </r>
  </si>
  <si>
    <t>Provide your score in the white cells</t>
  </si>
  <si>
    <t>Provide your score in the white cells. Give a high score if the component already possesses an adaptive capacity which makes it less sensitive to a potential failure.</t>
  </si>
  <si>
    <t>Q2.1</t>
  </si>
  <si>
    <t>Q2.2</t>
  </si>
  <si>
    <t>Q2.3</t>
  </si>
  <si>
    <t>Q2.4</t>
  </si>
  <si>
    <t>Q2.5</t>
  </si>
  <si>
    <t>Q2.6</t>
  </si>
  <si>
    <t>Q2.7</t>
  </si>
  <si>
    <t xml:space="preserve">Average Sensitivity Score </t>
  </si>
  <si>
    <t>Component Sensitivity</t>
  </si>
  <si>
    <t>Have any of the adaptation measures of Table 4.2 been included in the design?</t>
  </si>
  <si>
    <t>Final Sensitivity Score</t>
  </si>
  <si>
    <t xml:space="preserve">Final Sensitivity Level </t>
  </si>
  <si>
    <t>COMPONENTS</t>
  </si>
  <si>
    <t>SELECTION</t>
  </si>
  <si>
    <t>POSSIBLE FAILURE MODES</t>
  </si>
  <si>
    <r>
      <t>[0</t>
    </r>
    <r>
      <rPr>
        <b/>
        <sz val="9"/>
        <color theme="0"/>
        <rFont val="Roboto"/>
      </rPr>
      <t>:</t>
    </r>
    <r>
      <rPr>
        <sz val="9"/>
        <color theme="0"/>
        <rFont val="Roboto"/>
      </rPr>
      <t xml:space="preserve"> Yes | </t>
    </r>
    <r>
      <rPr>
        <b/>
        <sz val="9"/>
        <color theme="0"/>
        <rFont val="Roboto"/>
      </rPr>
      <t>3</t>
    </r>
    <r>
      <rPr>
        <sz val="9"/>
        <color theme="0"/>
        <rFont val="Roboto"/>
      </rPr>
      <t>: No ]</t>
    </r>
  </si>
  <si>
    <t>[0 - 3]</t>
  </si>
  <si>
    <t>[Low | Medium | High]</t>
  </si>
  <si>
    <t>[3: Yes, more than one measure of high efficiency, 2: Yes, at least one measure of high efficiency | 1: Yes, at least one measure of low efficiency| 0: No adaptation measures]</t>
  </si>
  <si>
    <t>Common for most building types</t>
  </si>
  <si>
    <t>Active</t>
  </si>
  <si>
    <t>N/A</t>
  </si>
  <si>
    <t>Interconnections</t>
  </si>
  <si>
    <t>Facility-specific components</t>
  </si>
  <si>
    <r>
      <t xml:space="preserve">Climate-proofing of buildings against </t>
    </r>
    <r>
      <rPr>
        <b/>
        <sz val="14"/>
        <color rgb="FF660033"/>
        <rFont val="Roboto"/>
      </rPr>
      <t>water and soil-related hazards</t>
    </r>
  </si>
  <si>
    <r>
      <rPr>
        <b/>
        <sz val="24"/>
        <rFont val="Roboto"/>
      </rPr>
      <t>STEP 3.</t>
    </r>
    <r>
      <rPr>
        <sz val="24"/>
        <rFont val="Roboto"/>
      </rPr>
      <t xml:space="preserve"> ASSESS CLIMATE-INDUCED RISKS</t>
    </r>
  </si>
  <si>
    <t>Table 3.1 - Risk profile of the facility (automatically filled using input from the previous sheets)</t>
  </si>
  <si>
    <t>FLOOD</t>
  </si>
  <si>
    <t>LANDSLIDE</t>
  </si>
  <si>
    <t>Component</t>
  </si>
  <si>
    <t>Sensitivity/ Impact</t>
  </si>
  <si>
    <t>Exposure/Likelihood</t>
  </si>
  <si>
    <t>Risk</t>
  </si>
  <si>
    <t>[0-9]</t>
  </si>
  <si>
    <t>(Transferred from Step 2)</t>
  </si>
  <si>
    <t>(Transfered from Step 1)</t>
  </si>
  <si>
    <t>Risk= Sensitivity x Exposure</t>
  </si>
  <si>
    <t>average</t>
  </si>
  <si>
    <t>max</t>
  </si>
  <si>
    <r>
      <t xml:space="preserve">Climate-proofing of buildings against </t>
    </r>
    <r>
      <rPr>
        <b/>
        <sz val="14"/>
        <color rgb="FF660033"/>
        <rFont val="Roboto"/>
      </rPr>
      <t>water and soil hazards</t>
    </r>
  </si>
  <si>
    <r>
      <rPr>
        <b/>
        <sz val="24"/>
        <rFont val="Roboto"/>
      </rPr>
      <t>STEP 4.</t>
    </r>
    <r>
      <rPr>
        <sz val="24"/>
        <rFont val="Roboto"/>
      </rPr>
      <t xml:space="preserve"> SELECT ADAPTATION MEASURES AND CHECK CLIMATE-PROOFING</t>
    </r>
  </si>
  <si>
    <t>Building Type</t>
  </si>
  <si>
    <r>
      <t xml:space="preserve">Table 4.1 - </t>
    </r>
    <r>
      <rPr>
        <sz val="13"/>
        <rFont val="Roboto"/>
      </rPr>
      <t>Climate-proofing checklist</t>
    </r>
  </si>
  <si>
    <r>
      <t xml:space="preserve">Only </t>
    </r>
    <r>
      <rPr>
        <b/>
        <sz val="11"/>
        <color theme="1"/>
        <rFont val="Calibri"/>
        <family val="2"/>
        <charset val="161"/>
        <scheme val="minor"/>
      </rPr>
      <t xml:space="preserve">'Active' </t>
    </r>
    <r>
      <rPr>
        <sz val="11"/>
        <color theme="1"/>
        <rFont val="Calibri"/>
        <family val="2"/>
        <scheme val="minor"/>
      </rPr>
      <t xml:space="preserve">components will appear on the top row of Table 4.1. To activate/de-activate components return to Step-2. </t>
    </r>
  </si>
  <si>
    <t>4.1</t>
  </si>
  <si>
    <r>
      <t xml:space="preserve">Initial Risk Score to FLOODING &amp; SOIL HAZARDS </t>
    </r>
    <r>
      <rPr>
        <sz val="8"/>
        <color theme="1"/>
        <rFont val="Roboto"/>
      </rPr>
      <t>(automatically transferred from Step 3)</t>
    </r>
  </si>
  <si>
    <t>High</t>
  </si>
  <si>
    <t>4.2</t>
  </si>
  <si>
    <t>Adaptation Measures for combating FLOODING &amp; SOIL-RELATED RISKS</t>
  </si>
  <si>
    <t>List up to 10 applicable adaptation measures from Table 4.2</t>
  </si>
  <si>
    <t>Apply foundation/roof waterproofing  (i.e,  Barriers to water and water vapor; land drainage)</t>
  </si>
  <si>
    <t>…</t>
  </si>
  <si>
    <t>4.3</t>
  </si>
  <si>
    <t>Provide an Efficiency Score for the selected measures</t>
  </si>
  <si>
    <r>
      <t xml:space="preserve">Answer </t>
    </r>
    <r>
      <rPr>
        <b/>
        <sz val="11"/>
        <rFont val="Calibri"/>
        <family val="2"/>
        <charset val="161"/>
        <scheme val="minor"/>
      </rPr>
      <t xml:space="preserve">[ 'Low' or 'High'] </t>
    </r>
    <r>
      <rPr>
        <sz val="11"/>
        <rFont val="Calibri"/>
        <family val="2"/>
        <charset val="161"/>
        <scheme val="minor"/>
      </rPr>
      <t xml:space="preserve">or </t>
    </r>
    <r>
      <rPr>
        <b/>
        <sz val="11"/>
        <rFont val="Calibri"/>
        <family val="2"/>
        <charset val="161"/>
        <scheme val="minor"/>
      </rPr>
      <t xml:space="preserve">[Leave Blank] </t>
    </r>
    <r>
      <rPr>
        <sz val="11"/>
        <rFont val="Calibri"/>
        <family val="2"/>
        <charset val="161"/>
        <scheme val="minor"/>
      </rPr>
      <t>in case none of the adopted adaptation measures apply to the specific component.</t>
    </r>
  </si>
  <si>
    <t>4.4</t>
  </si>
  <si>
    <t>Final Risk to FLOODING &amp; SOIL-RELATED HAZARDS</t>
  </si>
  <si>
    <t>Medium</t>
  </si>
  <si>
    <t>Low</t>
  </si>
  <si>
    <r>
      <t xml:space="preserve">Table 4.2. </t>
    </r>
    <r>
      <rPr>
        <sz val="13"/>
        <color theme="1"/>
        <rFont val="Roboto"/>
      </rPr>
      <t>Adaptation measures for protection against flooding and soil-related risks</t>
    </r>
  </si>
  <si>
    <t>Entire Building/ Flat</t>
  </si>
  <si>
    <t>COST</t>
  </si>
  <si>
    <t>LIMITATIONS</t>
  </si>
  <si>
    <t>Adaptation Measure</t>
  </si>
  <si>
    <t>[Expensive | Inexpensive]</t>
  </si>
  <si>
    <t>[Yes | No]</t>
  </si>
  <si>
    <t>Provide your answer. In case of positive answer specify.</t>
  </si>
  <si>
    <r>
      <t>Include climate-change considerations</t>
    </r>
    <r>
      <rPr>
        <b/>
        <sz val="9"/>
        <color theme="1"/>
        <rFont val="Roboto"/>
      </rPr>
      <t xml:space="preserve"> </t>
    </r>
    <r>
      <rPr>
        <sz val="9"/>
        <color theme="1"/>
        <rFont val="Roboto"/>
      </rPr>
      <t>into spatial planning:  ensure that key buildings and facilities are out of future storm paths and floodplains</t>
    </r>
  </si>
  <si>
    <t>Inexpensive (if performed during the initial planning stages)</t>
  </si>
  <si>
    <t>Elevate Building</t>
  </si>
  <si>
    <t xml:space="preserve">Revise design loads to account for increased climate-stressing </t>
  </si>
  <si>
    <t xml:space="preserve">Install equipment or transfer operations on higher floors </t>
  </si>
  <si>
    <t>Suspend, floodproof or raise E&amp;M equipment and pipes above the  base flood elevation level</t>
  </si>
  <si>
    <t>Install a pumping system ensuring availability of backup power</t>
  </si>
  <si>
    <t>Inexpensive</t>
  </si>
  <si>
    <t>Set-up main and backup EPG (in case the main EPG fails during a power outage) and connect to critical compartments/equipment</t>
  </si>
  <si>
    <t>Extend the fuel storage capacity for main and backup generators</t>
  </si>
  <si>
    <t>Install flood-barries at the main entrance and at the entrances of critical compartments to reduce exposure to flooding</t>
  </si>
  <si>
    <t>For buildinsg located in coastal regions that may be subject to breaking waves and erosion: apply open foundation design and increase the free-board space requirements above future flood levels.</t>
  </si>
  <si>
    <t>Expensive</t>
  </si>
  <si>
    <t>Use  piled foundation to prevent uplifting and scouring</t>
  </si>
  <si>
    <t>Increase the size of  pipes, gutters, and drains to ensure efficient removal of rainwater and wastewater in extreme storms</t>
  </si>
  <si>
    <t>Use permeable pavements</t>
  </si>
  <si>
    <t xml:space="preserve">Inexpensive </t>
  </si>
  <si>
    <t>Apply corrosion resistant-alloys and anti-corrosion materials to exposed structural members</t>
  </si>
  <si>
    <t>Install green roofs to reduce water runoff</t>
  </si>
  <si>
    <t xml:space="preserve">Apply rainwater harvesting and filtering practices </t>
  </si>
  <si>
    <t>Invest in improved lightning protection and surge protectors for electronic appliances</t>
  </si>
  <si>
    <t>Install on-site renewables with BESS to minimize grid dependance</t>
  </si>
  <si>
    <t>Install backflow prevention devices in sewage and waste-water systems</t>
  </si>
  <si>
    <t>Invest in digital infrastructure to keep digital records and avoid loss in case of flooding.</t>
  </si>
  <si>
    <t>Implement alternative telecommunication technologies that increase redundancy and reliability during power outages (e.g. Cloud VoIP phone). Replace on-premise desktop  hospital Operating Systems with cloud-based solutions</t>
  </si>
  <si>
    <t>Waterproof solar panels with coating or special sealant</t>
  </si>
  <si>
    <t>Construct canopies/shelters to protect panels from hail</t>
  </si>
  <si>
    <t>Installing Ground-Fault Circuit Interrupters (GFCIs) to quickly shut off electric power if a ground fault occurs.</t>
  </si>
  <si>
    <t>Investing in a ductless mini-split system to improve air circulation of HVAC systems</t>
  </si>
  <si>
    <t>Apply water level sensors to monitor in real-time water rising levels in basement where sensitive E&amp;M equipmet is stored</t>
  </si>
  <si>
    <t>Facility-wide protection with No-Regret Solutions</t>
  </si>
  <si>
    <t>Establish partnerships between the  facility and the local authorities for coordinated response in case of an extreme weather-event</t>
  </si>
  <si>
    <t>Set an emergency plan that considers relocation/ transfer of occupants and assets during extreme flood/storm events</t>
  </si>
  <si>
    <t>Implement contingency planning for loss of access routes</t>
  </si>
  <si>
    <t xml:space="preserve">Maintain backup supplies for  equipment </t>
  </si>
  <si>
    <t>Prepare a contingency plan to allow continuation of operations of sensitive functions during extreme flood/storm events</t>
  </si>
  <si>
    <t>Invest in early-warning systems to allow rapid activation of emergency response plans</t>
  </si>
  <si>
    <t>Expeneive</t>
  </si>
  <si>
    <t>Climate-proofing of buildings against extreme heat, cold and wildfires</t>
  </si>
  <si>
    <r>
      <t>Table 1.1.</t>
    </r>
    <r>
      <rPr>
        <sz val="13"/>
        <color theme="1"/>
        <rFont val="Roboto"/>
      </rPr>
      <t xml:space="preserve"> Exposure to </t>
    </r>
    <r>
      <rPr>
        <b/>
        <sz val="13"/>
        <color theme="1"/>
        <rFont val="Roboto"/>
      </rPr>
      <t>heatwaves and wildfires</t>
    </r>
  </si>
  <si>
    <r>
      <t>Does the region experience very high temperatures</t>
    </r>
    <r>
      <rPr>
        <vertAlign val="superscript"/>
        <sz val="10"/>
        <color theme="1" tint="0.249977111117893"/>
        <rFont val="Roboto"/>
      </rPr>
      <t>1</t>
    </r>
    <r>
      <rPr>
        <sz val="10"/>
        <color theme="1" tint="0.249977111117893"/>
        <rFont val="Roboto"/>
      </rPr>
      <t xml:space="preserve"> during summer?  </t>
    </r>
  </si>
  <si>
    <r>
      <t>Temperatures that are consistently higher than the seasonal average are an indication of climate change-induced warming. Answer: '</t>
    </r>
    <r>
      <rPr>
        <b/>
        <sz val="9"/>
        <color theme="1" tint="0.249977111117893"/>
        <rFont val="Roboto"/>
      </rPr>
      <t>YES</t>
    </r>
    <r>
      <rPr>
        <sz val="9"/>
        <color theme="1" tint="0.249977111117893"/>
        <rFont val="Roboto"/>
      </rPr>
      <t>' if high temperatures are quite regular (i.e., several days a month);  '</t>
    </r>
    <r>
      <rPr>
        <b/>
        <sz val="9"/>
        <color theme="1" tint="0.249977111117893"/>
        <rFont val="Roboto"/>
      </rPr>
      <t>Most Likely</t>
    </r>
    <r>
      <rPr>
        <sz val="9"/>
        <color theme="1" tint="0.249977111117893"/>
        <rFont val="Roboto"/>
      </rPr>
      <t xml:space="preserve">' if high temperatures are recorded at least twice a month; </t>
    </r>
    <r>
      <rPr>
        <b/>
        <sz val="9"/>
        <color theme="1" tint="0.249977111117893"/>
        <rFont val="Roboto"/>
      </rPr>
      <t>'Likely</t>
    </r>
    <r>
      <rPr>
        <sz val="9"/>
        <color theme="1" tint="0.249977111117893"/>
        <rFont val="Roboto"/>
      </rPr>
      <t>'  if high temperatures are recorded at least once a month; '</t>
    </r>
    <r>
      <rPr>
        <b/>
        <sz val="9"/>
        <color theme="1" tint="0.249977111117893"/>
        <rFont val="Roboto"/>
      </rPr>
      <t>NO</t>
    </r>
    <r>
      <rPr>
        <sz val="9"/>
        <color theme="1" tint="0.249977111117893"/>
        <rFont val="Roboto"/>
      </rPr>
      <t xml:space="preserve">'  in all other cases. </t>
    </r>
  </si>
  <si>
    <t xml:space="preserve">Has the number of heatwaves increased over the past years?                                                                          </t>
  </si>
  <si>
    <t>A heat wave is a period of unusually hot weather (i.e., typically above 5oC than the historic average)that lasts several days or even weeks.  If a region is already  witnessing an increasing frequency of heatwaves,  it is most likely that it will continue to do so.</t>
  </si>
  <si>
    <r>
      <t>Is the 40</t>
    </r>
    <r>
      <rPr>
        <vertAlign val="superscript"/>
        <sz val="10"/>
        <color theme="1" tint="0.249977111117893"/>
        <rFont val="Roboto"/>
      </rPr>
      <t>o</t>
    </r>
    <r>
      <rPr>
        <sz val="10"/>
        <color theme="1" tint="0.249977111117893"/>
        <rFont val="Roboto"/>
      </rPr>
      <t>C temperature barrier broken more frequently than in the past?</t>
    </r>
  </si>
  <si>
    <r>
      <t>Episodes of very high temperatures rising above 40</t>
    </r>
    <r>
      <rPr>
        <vertAlign val="superscript"/>
        <sz val="9"/>
        <color theme="1" tint="0.249977111117893"/>
        <rFont val="Roboto"/>
      </rPr>
      <t>o</t>
    </r>
    <r>
      <rPr>
        <sz val="9"/>
        <color theme="1" tint="0.249977111117893"/>
        <rFont val="Roboto"/>
      </rPr>
      <t>C can be devasting for exposed populations while increasing the risk of wildfires.</t>
    </r>
  </si>
  <si>
    <t>Is the facility located in an urban heat island? Note: If detailed data on the heat island effect are available (e.g., thermal anomaly maps), consider incorporating them into your scoring process.</t>
  </si>
  <si>
    <r>
      <t>Heat islands are urbanized areas that experience higher temperatures than outlying areas. Answer '</t>
    </r>
    <r>
      <rPr>
        <b/>
        <sz val="9"/>
        <color theme="1" tint="0.249977111117893"/>
        <rFont val="Roboto"/>
      </rPr>
      <t>YES</t>
    </r>
    <r>
      <rPr>
        <sz val="9"/>
        <color theme="1" tint="0.249977111117893"/>
        <rFont val="Roboto"/>
      </rPr>
      <t xml:space="preserve">' if the facility is located in the urban core of a big city, </t>
    </r>
    <r>
      <rPr>
        <b/>
        <sz val="9"/>
        <color theme="1" tint="0.249977111117893"/>
        <rFont val="Roboto"/>
      </rPr>
      <t>'Most likely</t>
    </r>
    <r>
      <rPr>
        <sz val="9"/>
        <color theme="1" tint="0.249977111117893"/>
        <rFont val="Roboto"/>
      </rPr>
      <t>' if the facility is located in the urban core of a smaller city,  '</t>
    </r>
    <r>
      <rPr>
        <b/>
        <sz val="9"/>
        <color theme="1" tint="0.249977111117893"/>
        <rFont val="Roboto"/>
      </rPr>
      <t>Likely'</t>
    </r>
    <r>
      <rPr>
        <sz val="9"/>
        <color theme="1" tint="0.249977111117893"/>
        <rFont val="Roboto"/>
      </rPr>
      <t xml:space="preserve"> if it is located in a suburban/ residential region, '</t>
    </r>
    <r>
      <rPr>
        <b/>
        <sz val="9"/>
        <color theme="1" tint="0.249977111117893"/>
        <rFont val="Roboto"/>
      </rPr>
      <t>NO</t>
    </r>
    <r>
      <rPr>
        <sz val="9"/>
        <color theme="1" tint="0.249977111117893"/>
        <rFont val="Roboto"/>
      </rPr>
      <t>', if it is in a rural area or close to a natural landscape (forest, park, seafront, etc).</t>
    </r>
  </si>
  <si>
    <t>Has the region experienced periods of increased droughts during the past years?</t>
  </si>
  <si>
    <r>
      <t xml:space="preserve">Droughts are prolonged periods of very low precipitation resulting in water shortage. Answer </t>
    </r>
    <r>
      <rPr>
        <b/>
        <sz val="9"/>
        <color theme="1" tint="0.249977111117893"/>
        <rFont val="Roboto"/>
      </rPr>
      <t>'YES'</t>
    </r>
    <r>
      <rPr>
        <sz val="9"/>
        <color theme="1" tint="0.249977111117893"/>
        <rFont val="Roboto"/>
      </rPr>
      <t xml:space="preserve"> if the most recent drought event is no more than 25 years old, </t>
    </r>
    <r>
      <rPr>
        <b/>
        <sz val="9"/>
        <color theme="1" tint="0.249977111117893"/>
        <rFont val="Roboto"/>
      </rPr>
      <t>'Most likely'</t>
    </r>
    <r>
      <rPr>
        <sz val="9"/>
        <color theme="1" tint="0.249977111117893"/>
        <rFont val="Roboto"/>
      </rPr>
      <t xml:space="preserve"> if it is between 25-50 years, </t>
    </r>
    <r>
      <rPr>
        <b/>
        <sz val="9"/>
        <color theme="1" tint="0.249977111117893"/>
        <rFont val="Roboto"/>
      </rPr>
      <t>'Likely'</t>
    </r>
    <r>
      <rPr>
        <sz val="9"/>
        <color theme="1" tint="0.249977111117893"/>
        <rFont val="Roboto"/>
      </rPr>
      <t xml:space="preserve"> if it is more than 50 years,</t>
    </r>
    <r>
      <rPr>
        <b/>
        <sz val="9"/>
        <color theme="1" tint="0.249977111117893"/>
        <rFont val="Roboto"/>
      </rPr>
      <t xml:space="preserve"> 'NO'</t>
    </r>
    <r>
      <rPr>
        <sz val="9"/>
        <color theme="1" tint="0.249977111117893"/>
        <rFont val="Roboto"/>
      </rPr>
      <t xml:space="preserve"> if the region has experienced no serious drought events in the past. </t>
    </r>
  </si>
  <si>
    <t xml:space="preserve">Is the facility located in a region that has been classified by the national authority as a fire-prone area? If such a classification is not available, provide a score based on the proximity of the facility to forests. </t>
  </si>
  <si>
    <r>
      <t>Even if the facility is not directly threated by wildfire, it will experience some kind of disruption if the broader region is impacted. Road closures will disrupt transportation services, while emissions from wildfires will diminish air quality with severe repercussions (e.g., school closures, visits to hospitals may increase by those exposed to smoke especially if the hospital is the only trauma center in the region etc). Answer '</t>
    </r>
    <r>
      <rPr>
        <b/>
        <sz val="9"/>
        <color theme="1" tint="0.249977111117893"/>
        <rFont val="Roboto"/>
      </rPr>
      <t xml:space="preserve">YES' </t>
    </r>
    <r>
      <rPr>
        <sz val="9"/>
        <color theme="1" tint="0.249977111117893"/>
        <rFont val="Roboto"/>
      </rPr>
      <t>if the distance of the facility from a forest area is less than 3 km,</t>
    </r>
    <r>
      <rPr>
        <b/>
        <sz val="9"/>
        <color theme="1" tint="0.249977111117893"/>
        <rFont val="Roboto"/>
      </rPr>
      <t xml:space="preserve"> 'Most likely'</t>
    </r>
    <r>
      <rPr>
        <sz val="9"/>
        <color theme="1" tint="0.249977111117893"/>
        <rFont val="Roboto"/>
      </rPr>
      <t xml:space="preserve"> if the distance is &lt; 6 km (and &gt; 3 km), 'Likely' if the distance is &lt; 15 km  and &gt; 6 km), and </t>
    </r>
    <r>
      <rPr>
        <b/>
        <sz val="9"/>
        <color theme="1" tint="0.249977111117893"/>
        <rFont val="Roboto"/>
      </rPr>
      <t xml:space="preserve"> 'NO'</t>
    </r>
    <r>
      <rPr>
        <sz val="9"/>
        <color theme="1" tint="0.249977111117893"/>
        <rFont val="Roboto"/>
      </rPr>
      <t xml:space="preserve"> if the distance is &gt; 15 km.</t>
    </r>
  </si>
  <si>
    <r>
      <rPr>
        <i/>
        <vertAlign val="superscript"/>
        <sz val="10"/>
        <color theme="1"/>
        <rFont val="Calibri"/>
        <family val="2"/>
        <charset val="161"/>
        <scheme val="minor"/>
      </rPr>
      <t xml:space="preserve">1 </t>
    </r>
    <r>
      <rPr>
        <i/>
        <sz val="10"/>
        <color theme="1"/>
        <rFont val="Calibri"/>
        <family val="2"/>
        <charset val="161"/>
        <scheme val="minor"/>
      </rPr>
      <t>What is considered as high temperature may differ across regions. In general, high temperatures are those that exceed the monthly average by more than 5</t>
    </r>
    <r>
      <rPr>
        <i/>
        <vertAlign val="superscript"/>
        <sz val="10"/>
        <color theme="1"/>
        <rFont val="Calibri"/>
        <family val="2"/>
        <charset val="161"/>
        <scheme val="minor"/>
      </rPr>
      <t>o</t>
    </r>
    <r>
      <rPr>
        <i/>
        <sz val="10"/>
        <color theme="1"/>
        <rFont val="Calibri"/>
        <family val="2"/>
        <charset val="161"/>
        <scheme val="minor"/>
      </rPr>
      <t>C.</t>
    </r>
  </si>
  <si>
    <t xml:space="preserve">Current  Heat score: </t>
  </si>
  <si>
    <t xml:space="preserve">Current Wildfire score: </t>
  </si>
  <si>
    <t>Exposure to Extreme Heat:</t>
  </si>
  <si>
    <t>Exposure to Wildfires:</t>
  </si>
  <si>
    <r>
      <t>Table 1.2.</t>
    </r>
    <r>
      <rPr>
        <sz val="13"/>
        <color theme="1"/>
        <rFont val="Roboto"/>
      </rPr>
      <t xml:space="preserve"> Exposure to</t>
    </r>
    <r>
      <rPr>
        <b/>
        <sz val="13"/>
        <color theme="1"/>
        <rFont val="Roboto"/>
      </rPr>
      <t xml:space="preserve"> extreme cold and heavy snowfall</t>
    </r>
  </si>
  <si>
    <t xml:space="preserve">Does the region experience freezing temperatures during winter time?                                 </t>
  </si>
  <si>
    <r>
      <t>In the midst of warming global temperatures, exceptionally severe cold waves may become more likely.  Answer '</t>
    </r>
    <r>
      <rPr>
        <b/>
        <sz val="9"/>
        <color theme="1" tint="0.249977111117893"/>
        <rFont val="Roboto"/>
      </rPr>
      <t>YES</t>
    </r>
    <r>
      <rPr>
        <sz val="9"/>
        <color theme="1" tint="0.249977111117893"/>
        <rFont val="Roboto"/>
      </rPr>
      <t>' if freezing temperatures (below 0</t>
    </r>
    <r>
      <rPr>
        <vertAlign val="superscript"/>
        <sz val="9"/>
        <color theme="1" tint="0.249977111117893"/>
        <rFont val="Roboto"/>
      </rPr>
      <t>o</t>
    </r>
    <r>
      <rPr>
        <sz val="9"/>
        <color theme="1" tint="0.249977111117893"/>
        <rFont val="Roboto"/>
      </rPr>
      <t xml:space="preserve">C) are quite regular in winter time (i.e., several days a month); Answer </t>
    </r>
    <r>
      <rPr>
        <b/>
        <sz val="9"/>
        <color theme="1" tint="0.249977111117893"/>
        <rFont val="Roboto"/>
      </rPr>
      <t>'Most Likely</t>
    </r>
    <r>
      <rPr>
        <sz val="9"/>
        <color theme="1" tint="0.249977111117893"/>
        <rFont val="Roboto"/>
      </rPr>
      <t xml:space="preserve">' if freezing temperatures are recorded at least twice a month; </t>
    </r>
    <r>
      <rPr>
        <b/>
        <sz val="9"/>
        <color theme="1" tint="0.249977111117893"/>
        <rFont val="Roboto"/>
      </rPr>
      <t>'Likely</t>
    </r>
    <r>
      <rPr>
        <sz val="9"/>
        <color theme="1" tint="0.249977111117893"/>
        <rFont val="Roboto"/>
      </rPr>
      <t xml:space="preserve">'  if freezing temperatures are recorded at least once a month;  </t>
    </r>
    <r>
      <rPr>
        <b/>
        <sz val="9"/>
        <color theme="1" tint="0.249977111117893"/>
        <rFont val="Roboto"/>
      </rPr>
      <t>'NO</t>
    </r>
    <r>
      <rPr>
        <sz val="9"/>
        <color theme="1" tint="0.249977111117893"/>
        <rFont val="Roboto"/>
      </rPr>
      <t xml:space="preserve">'  in all other cases. </t>
    </r>
  </si>
  <si>
    <t>Has the region experienced catastrophic blizzards in the past years or decades?</t>
  </si>
  <si>
    <t>A blizzard is a dangerous weather event associated with frigid temperatures, howling winds, and decreased visibility. Blizzards can cause power outages due to downed power lines or equipment failure, severely impacting people's livelihoods</t>
  </si>
  <si>
    <t xml:space="preserve">Has the region experienced heavy snowfalls surpassing historic evidence? </t>
  </si>
  <si>
    <t xml:space="preserve">Heavy snowfalls that were infrequent in the past, but are now becoming a norm may indicate an upward trend of persistent extreme cold events. </t>
  </si>
  <si>
    <t>Exposure to Extreme Cold:</t>
  </si>
  <si>
    <t xml:space="preserve">Consult the regional climate projections IPCC Interactive Atlas (https://interactive-atlas.ipcc.ch) to determine how temperature patterns are expected to change due to climate change and define a climate-change multiplier that will be used for the estimation of future exposure levels. Where available, use local downscaled projections to refine your answer. </t>
  </si>
  <si>
    <t xml:space="preserve"> Climate change multiplier</t>
  </si>
  <si>
    <t>Q1.10</t>
  </si>
  <si>
    <t>Is the frequency and intentisity of heat waves expected to increase? Will the region experience more hot days yer around?</t>
  </si>
  <si>
    <r>
      <t xml:space="preserve">Obtain the regional projections by IPCC for </t>
    </r>
    <r>
      <rPr>
        <b/>
        <sz val="9"/>
        <color theme="1"/>
        <rFont val="Roboto"/>
      </rPr>
      <t>extreme heat</t>
    </r>
    <r>
      <rPr>
        <sz val="9"/>
        <color theme="1"/>
        <rFont val="Roboto"/>
      </rPr>
      <t>. Read the direction of change (either decreasing or increasing) and the associated confidence level (Low or High) to estimate the respective climate -change multiplier.</t>
    </r>
  </si>
  <si>
    <t>Q1.12</t>
  </si>
  <si>
    <r>
      <t xml:space="preserve">How will climate-change affect summer temperatures? Will summers get hotter and drier </t>
    </r>
    <r>
      <rPr>
        <b/>
        <sz val="10"/>
        <color theme="1" tint="0.249977111117893"/>
        <rFont val="Roboto"/>
      </rPr>
      <t>increasig the the risk of wildfire</t>
    </r>
    <r>
      <rPr>
        <sz val="10"/>
        <color theme="1" tint="0.249977111117893"/>
        <rFont val="Roboto"/>
      </rPr>
      <t xml:space="preserve"> ?</t>
    </r>
  </si>
  <si>
    <r>
      <t xml:space="preserve">Use as a proxy the regional projections by IPCC for mean surface temperature. Read the direction of change (decreasing or increasing) and the associated confidence level (Low or High) to estimate the </t>
    </r>
    <r>
      <rPr>
        <b/>
        <sz val="9"/>
        <color theme="1" tint="0.249977111117893"/>
        <rFont val="Roboto"/>
      </rPr>
      <t xml:space="preserve">climate-change multiplier for wildfires. </t>
    </r>
    <r>
      <rPr>
        <sz val="9"/>
        <color theme="1" tint="0.249977111117893"/>
        <rFont val="Roboto"/>
      </rPr>
      <t xml:space="preserve"> </t>
    </r>
  </si>
  <si>
    <t>Q1.13</t>
  </si>
  <si>
    <t xml:space="preserve">How will climate-change affect winter temperatures? Will winters get colder and heavier? Will the number of frost days increase?  </t>
  </si>
  <si>
    <r>
      <t>Obtain the regional projections by IPCC for cold spell and frost</t>
    </r>
    <r>
      <rPr>
        <b/>
        <sz val="9"/>
        <color theme="1" tint="0.249977111117893"/>
        <rFont val="Roboto"/>
      </rPr>
      <t xml:space="preserve">. </t>
    </r>
    <r>
      <rPr>
        <sz val="9"/>
        <color theme="1" tint="0.249977111117893"/>
        <rFont val="Roboto"/>
      </rPr>
      <t xml:space="preserve">Read the direction of change (either decreasing or increasing) and the associated confidence level (Low or High) to estimate the </t>
    </r>
    <r>
      <rPr>
        <b/>
        <sz val="9"/>
        <color theme="1" tint="0.249977111117893"/>
        <rFont val="Roboto"/>
      </rPr>
      <t>climate-change multiplier for extreme cold.</t>
    </r>
  </si>
  <si>
    <t>Q1.14</t>
  </si>
  <si>
    <t>Will the region experiece more frequent and more intense snowfalls than in the past?</t>
  </si>
  <si>
    <r>
      <t>Obtain the regional projections by IPCC for snow</t>
    </r>
    <r>
      <rPr>
        <b/>
        <sz val="9"/>
        <color theme="1" tint="0.249977111117893"/>
        <rFont val="Roboto"/>
      </rPr>
      <t xml:space="preserve">.  </t>
    </r>
    <r>
      <rPr>
        <sz val="9"/>
        <color theme="1" tint="0.249977111117893"/>
        <rFont val="Roboto"/>
      </rPr>
      <t>Rate the projected change considering whether the (er decreasing or increasing) and the associated confidence level (Low or High).</t>
    </r>
  </si>
  <si>
    <t xml:space="preserve">Future exposure score to extreme heat: </t>
  </si>
  <si>
    <t xml:space="preserve">Future Exposure Level to extreme heat: </t>
  </si>
  <si>
    <t>Future exposure to wildfires:</t>
  </si>
  <si>
    <t>Future Exposure Level to wildfires:</t>
  </si>
  <si>
    <t>Future exposure to extreme cold and snowfall:</t>
  </si>
  <si>
    <t>Future Exposure Level to extreme cold and snowfall:</t>
  </si>
  <si>
    <r>
      <t>Climate-proofing of buildings against temperature</t>
    </r>
    <r>
      <rPr>
        <b/>
        <sz val="14"/>
        <color rgb="FF660033"/>
        <rFont val="Roboto"/>
      </rPr>
      <t>-related hazards</t>
    </r>
  </si>
  <si>
    <r>
      <t>Table 2.1.</t>
    </r>
    <r>
      <rPr>
        <sz val="13"/>
        <color theme="1"/>
        <rFont val="Roboto"/>
      </rPr>
      <t xml:space="preserve"> Component-based sensitivity assessment to EXTREME HEAT &amp; WILDFIRES</t>
    </r>
  </si>
  <si>
    <t>Sensitivity to Extreme heat and wildfires</t>
  </si>
  <si>
    <t>Adaptive Capacity to Extreme heat &amp; wildfires</t>
  </si>
  <si>
    <r>
      <t>Table 2.2.</t>
    </r>
    <r>
      <rPr>
        <sz val="13"/>
        <color theme="1"/>
        <rFont val="Roboto"/>
      </rPr>
      <t xml:space="preserve"> Component-based sensitivity assessment to EXTREME COLD</t>
    </r>
  </si>
  <si>
    <t>Sensitivity to Extreme cold</t>
  </si>
  <si>
    <t>Q2.8</t>
  </si>
  <si>
    <t>Q2.9</t>
  </si>
  <si>
    <t>Q2.10</t>
  </si>
  <si>
    <t>Q2.11</t>
  </si>
  <si>
    <t>Q2.12</t>
  </si>
  <si>
    <t>Climate-proofing of buildings against heatwaves, wildfires, and extreme cold.</t>
  </si>
  <si>
    <r>
      <t xml:space="preserve">STEP 3. </t>
    </r>
    <r>
      <rPr>
        <sz val="24"/>
        <rFont val="Roboto"/>
      </rPr>
      <t>ASSESS CLIMATE-INDUCED RISKS</t>
    </r>
  </si>
  <si>
    <t>Heatwaves &amp; Wildfires</t>
  </si>
  <si>
    <t>Extreme Cold</t>
  </si>
  <si>
    <t>HEAT</t>
  </si>
  <si>
    <t>COLD</t>
  </si>
  <si>
    <t>WILDFIRE</t>
  </si>
  <si>
    <t>Sensitivity /Impacts</t>
  </si>
  <si>
    <t>Sensitivity/ Impacts</t>
  </si>
  <si>
    <t>Exposure/ Likelihood</t>
  </si>
  <si>
    <t>Risk = Sensitivity x Exposure</t>
  </si>
  <si>
    <t>1. This step will inform users about the variety of adaptation measures that can be used to climate-proof buildings against extreme heat and cold. The list of adaptation measures is displayed in Table 4.2. Every adaptation measure is associated with one or more components that will benefit from its implementation. Additionally, the Table provides an indication of the level of protection that can be offered by the adaption measure (characterized as either Low or High) and an indicative cost estimate (Expensive or Inexpensive).</t>
  </si>
  <si>
    <t>Entire Building</t>
  </si>
  <si>
    <r>
      <t xml:space="preserve">Only </t>
    </r>
    <r>
      <rPr>
        <b/>
        <sz val="11"/>
        <color theme="1"/>
        <rFont val="Calibri"/>
        <family val="2"/>
        <charset val="161"/>
        <scheme val="minor"/>
      </rPr>
      <t>'Active' components</t>
    </r>
    <r>
      <rPr>
        <sz val="11"/>
        <color theme="1"/>
        <rFont val="Calibri"/>
        <family val="2"/>
        <scheme val="minor"/>
      </rPr>
      <t xml:space="preserve"> appear. To activate/de-activate components return to Step-2. </t>
    </r>
  </si>
  <si>
    <t>2. Consult Table 4.2 to assemble a tailored adaptation strategy for the building that reduces its various vulnerabilities. For ease of reference, vulnerabilities are automatically transferred herein from the previous step. Select measures that offer protection to moderately or highly vulnerable components. Prioritize measures that: (i) offer higher protection;  (ii) can benefit multiple components; and (iii) are cost-efficient. Enter the list of selected measures in the Field 4.2a.</t>
  </si>
  <si>
    <t>4.1a</t>
  </si>
  <si>
    <r>
      <t xml:space="preserve">Initial Risk Score to Heatwaves &amp; Wildfres </t>
    </r>
    <r>
      <rPr>
        <sz val="8"/>
        <color theme="1"/>
        <rFont val="Roboto"/>
      </rPr>
      <t>(transferred from Step 3)</t>
    </r>
  </si>
  <si>
    <t>4.2a</t>
  </si>
  <si>
    <t>Adaptation Measures for Heatwaves &amp; Wildfires</t>
  </si>
  <si>
    <r>
      <t>List up to 10 adaptation measures from</t>
    </r>
    <r>
      <rPr>
        <b/>
        <sz val="11"/>
        <color theme="1"/>
        <rFont val="Calibri"/>
        <family val="2"/>
        <charset val="161"/>
        <scheme val="minor"/>
      </rPr>
      <t xml:space="preserve"> Table 4.2</t>
    </r>
  </si>
  <si>
    <t>3. 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t>
  </si>
  <si>
    <r>
      <rPr>
        <b/>
        <sz val="9"/>
        <color theme="0"/>
        <rFont val="Roboto"/>
      </rPr>
      <t xml:space="preserve">3. </t>
    </r>
    <r>
      <rPr>
        <sz val="9"/>
        <color theme="0"/>
        <rFont val="Roboto"/>
      </rPr>
      <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t>
    </r>
  </si>
  <si>
    <t>4.3a</t>
  </si>
  <si>
    <r>
      <t>Answer [</t>
    </r>
    <r>
      <rPr>
        <b/>
        <sz val="11"/>
        <rFont val="Calibri"/>
        <family val="2"/>
        <charset val="161"/>
        <scheme val="minor"/>
      </rPr>
      <t xml:space="preserve"> 'Low' or 'High'</t>
    </r>
    <r>
      <rPr>
        <sz val="11"/>
        <rFont val="Calibri"/>
        <family val="2"/>
        <charset val="161"/>
        <scheme val="minor"/>
      </rPr>
      <t>] or [</t>
    </r>
    <r>
      <rPr>
        <b/>
        <sz val="11"/>
        <rFont val="Calibri"/>
        <family val="2"/>
        <charset val="161"/>
        <scheme val="minor"/>
      </rPr>
      <t>Leave Blank</t>
    </r>
    <r>
      <rPr>
        <sz val="11"/>
        <rFont val="Calibri"/>
        <family val="2"/>
        <charset val="161"/>
        <scheme val="minor"/>
      </rPr>
      <t>] in case the foreseen adaptation measures do not apply to the specific component.</t>
    </r>
  </si>
  <si>
    <t>4.4a</t>
  </si>
  <si>
    <t>Final Risk to Heatwaves  &amp; Wildfires</t>
  </si>
  <si>
    <t>4.1b</t>
  </si>
  <si>
    <r>
      <t xml:space="preserve">Initial Risk Score to Extreme Cold </t>
    </r>
    <r>
      <rPr>
        <sz val="8"/>
        <color theme="1"/>
        <rFont val="Roboto"/>
      </rPr>
      <t>(transferred from Step 3)</t>
    </r>
  </si>
  <si>
    <t>4. 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t>
  </si>
  <si>
    <t>4.2b</t>
  </si>
  <si>
    <t>Adaptation Measures to combat Extreme Cold</t>
  </si>
  <si>
    <t>List up to 10 adaptation measures from Table 4.2</t>
  </si>
  <si>
    <t>5. 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t>
  </si>
  <si>
    <t xml:space="preserve">6. The final vulnerability score of each component will be displayed in Field 4.4a. The climate-proofing can be considered successful when the residual vulnerabilities of all buildings’ components (after the implementation of adaptation measures) is 'Low'. If not, modify the adaptation strategy accordingly and repeat the assessment. </t>
  </si>
  <si>
    <t>4.3b</t>
  </si>
  <si>
    <t>4.4b</t>
  </si>
  <si>
    <t>Final Risk to Extreme Cold</t>
  </si>
  <si>
    <t xml:space="preserve">7. Repeat the climate-proofing exercise considering extreme cold conditions (Fields 4.1b - 4.4b of Table 4.1). </t>
  </si>
  <si>
    <r>
      <t xml:space="preserve">Table 4.2. </t>
    </r>
    <r>
      <rPr>
        <sz val="13"/>
        <color theme="1"/>
        <rFont val="Roboto"/>
      </rPr>
      <t xml:space="preserve">Adaptation measures for protection against temperature-related hazards. </t>
    </r>
  </si>
  <si>
    <t>To combat Heatwaves &amp; Wildfires</t>
  </si>
  <si>
    <t>Provide your answer. In case of positive answer specify limitations.</t>
  </si>
  <si>
    <t>Increase the thermal resistance of the building envelope to avoid  overheating and reduce energy consumption for cooling (e.g., exterior insulated walls/slabs)</t>
  </si>
  <si>
    <t>Apply insulation in exterior equipment units, pipes and wiring</t>
  </si>
  <si>
    <t>Adjust building shape and orientation to optimize cooling.</t>
  </si>
  <si>
    <t>Implement passive cooling techniques  and natural ventilation (e.g. patio and atrium designs, solar chimneys) </t>
  </si>
  <si>
    <t>Implement  energy-efficient mechanical ventilation</t>
  </si>
  <si>
    <t>Apply high-albedo coatings for pavings, parking areas, roofs</t>
  </si>
  <si>
    <t>Install exterior shading devices (e.g., vertical fins; horizontal light shelves)</t>
  </si>
  <si>
    <t xml:space="preserve">Install active shading devices at the building exterior. Note: Not recommended in case of tall buildings subjected to strong wind guts </t>
  </si>
  <si>
    <t>Use high-efficiency glazing systems to minimize heat transfer</t>
  </si>
  <si>
    <t>Invest in high-efficiency HVAC systems with HEPA filters to capture airborne particles,  smoke and fumes.</t>
  </si>
  <si>
    <t>Install green roofs to reduce heat inflows through the roofs/ceilings</t>
  </si>
  <si>
    <t>Use Landscape features (e.g., trees, hedgerows) for sun-light protection and increase green belt  preferencing native and adaptive plant species (e.g., drought-tolerant plants)</t>
  </si>
  <si>
    <t>Increase the capacity of Emergency Power Generators (EPG)</t>
  </si>
  <si>
    <t>Install air purifiers (e.g., UV air purifiers, High-efficiency particulate arrestors etc)</t>
  </si>
  <si>
    <t>Install on-site renewables with BESS  to minimize grid dependance. Design for increased capacity to cover electricity demand peaks.</t>
  </si>
  <si>
    <t>Use heat-resistant cells and robust materials for the PV components; Apply cooling solutions (e.g., passive airflow beneath mounting structures) to decrease temperatures and improve power output.</t>
  </si>
  <si>
    <t>Isolate emergency department ventilation systems and enable recirculated air during emergency conditions to maintain indoor air quality in case of wildfires</t>
  </si>
  <si>
    <t>Update the design size of heat pumps to cover increased electrcity demand during heatwaves</t>
  </si>
  <si>
    <t>To combat Extreme Cold and Heavy Snow</t>
  </si>
  <si>
    <t>Revise Shelter/ Roof design to withstand high snow load</t>
  </si>
  <si>
    <t>Modify concrete mixture to improve freeze-thaw resistance, enhance durability and reduce permeability</t>
  </si>
  <si>
    <t xml:space="preserve">Use high-resistant and durable roof solutions (e.g., metal roofs, asphalt shingles) </t>
  </si>
  <si>
    <t>Insulate external walls and roofs using proper durable materials for cold climates (e.g., fiber glass, blown-in cellulose, Spray Foam)</t>
  </si>
  <si>
    <t>Use thermally efficient wall coating on interior walls to prevent heat transfer to the outside. In humid climates, the use of a vapor barrier is recommended to limit the amount of moisture that can travel through walls and ceilings.</t>
  </si>
  <si>
    <t>Apply heat tracing in pipes exposed to low temperatures to prevent water freezing or solidification of fluids.</t>
  </si>
  <si>
    <t>Install storm windows or window insulation kits for protection against extreme cold</t>
  </si>
  <si>
    <t>Install gutter helmets or gutter de-icing (i.e., heat cables) to protect gutters and roof from ice buildup</t>
  </si>
  <si>
    <t>Install guardrails at all exterior stairways and entrances to prevent accidents</t>
  </si>
  <si>
    <t>Adjust building shape and orientation to minimize heat loss</t>
  </si>
  <si>
    <t>Use high-efficiency glazing systems (to minimize heat loss)</t>
  </si>
  <si>
    <t xml:space="preserve">Use skylights to trap heat and natural light in cold regions. </t>
  </si>
  <si>
    <t>Trim trees that are growing close to power or electricity lines</t>
  </si>
  <si>
    <t>Apply ice-repellant coatings for PV panels to reduce ice-adhesion; use snow guards to prevent snow buildup.</t>
  </si>
  <si>
    <t>Apply anti-freeze solutions for heat pumps and install sheltering structures to protect outdoor unit from increased snow accumulation</t>
  </si>
  <si>
    <t>Apply a surface snow melting system (e.g., heated system) in driveways, walkways, garages, loading ramps, and stairways to prevent ice accumulation</t>
  </si>
  <si>
    <t>Update the design size of  PV panes (and batteries) to cover increased electricity demand (for heating) during very cold days</t>
  </si>
  <si>
    <t>Cover outdoor spaces to prevent snow accumulation in walking areas.</t>
  </si>
  <si>
    <t>Establish partnerships between the facility and the local authorities for coordinated response in case of an extreme weather-event</t>
  </si>
  <si>
    <t>Prepare emergency protocols for evacuating users to warmer rooms (in case of extreme cold)</t>
  </si>
  <si>
    <t>Implement contingency planning for loss of access routes (e.g., due to wildfires, or icing)</t>
  </si>
  <si>
    <t xml:space="preserve">Ensure sufficient backup supplies </t>
  </si>
  <si>
    <t>Order emergency supplies (Salt, Shovels/snow blowers, blankets) for combating cold weather</t>
  </si>
  <si>
    <t>Prepare a contingency plan to allow continuation of operations of sensitive functions during prolonged power outages</t>
  </si>
  <si>
    <t xml:space="preserve">Plan for alternative emergency water supplies (e.g., groundwater wells,  surface water) to reduce dependence on municipal water (which may be limited during prolonged drought periods) and increase stored water supplies for firefighting </t>
  </si>
  <si>
    <r>
      <t xml:space="preserve">Climate-proofing of buildings against </t>
    </r>
    <r>
      <rPr>
        <b/>
        <sz val="14"/>
        <color rgb="FF660033"/>
        <rFont val="Roboto"/>
      </rPr>
      <t>wind-related hazards</t>
    </r>
  </si>
  <si>
    <r>
      <t xml:space="preserve">STEP 1. RATE EXPOSURE </t>
    </r>
    <r>
      <rPr>
        <sz val="24"/>
        <rFont val="Roboto"/>
      </rPr>
      <t>combined with likelihood of occurrence</t>
    </r>
  </si>
  <si>
    <r>
      <t xml:space="preserve">Table 1.1. </t>
    </r>
    <r>
      <rPr>
        <sz val="13"/>
        <color theme="1"/>
        <rFont val="Roboto"/>
      </rPr>
      <t>Assessing the building's exposure to extreme winds</t>
    </r>
  </si>
  <si>
    <t xml:space="preserve">Is the region experiencing disruptive wind events that cause widespread damage (e.g., impassable roads, power outages, unrooted trees, accidents e.t.c)? Are they often? </t>
  </si>
  <si>
    <r>
      <t xml:space="preserve">Extreme Winds are those that exceed 60 knots (&gt; 11 Beaufort).  Answer </t>
    </r>
    <r>
      <rPr>
        <b/>
        <sz val="9"/>
        <color theme="1" tint="0.249977111117893"/>
        <rFont val="Roboto"/>
      </rPr>
      <t>'Yes</t>
    </r>
    <r>
      <rPr>
        <sz val="9"/>
        <color theme="1" tint="0.249977111117893"/>
        <rFont val="Roboto"/>
      </rPr>
      <t>' if extreme wind events are happening once a year or more often,</t>
    </r>
    <r>
      <rPr>
        <b/>
        <sz val="9"/>
        <color theme="1" tint="0.249977111117893"/>
        <rFont val="Roboto"/>
      </rPr>
      <t xml:space="preserve"> 'Most likely'</t>
    </r>
    <r>
      <rPr>
        <sz val="9"/>
        <color theme="1" tint="0.249977111117893"/>
        <rFont val="Roboto"/>
      </rPr>
      <t xml:space="preserve"> if extreme winds are recurring every 5 years on average;</t>
    </r>
    <r>
      <rPr>
        <b/>
        <sz val="9"/>
        <color theme="1" tint="0.249977111117893"/>
        <rFont val="Roboto"/>
      </rPr>
      <t xml:space="preserve"> 'Likely'</t>
    </r>
    <r>
      <rPr>
        <sz val="9"/>
        <color theme="1" tint="0.249977111117893"/>
        <rFont val="Roboto"/>
      </rPr>
      <t xml:space="preserve"> if they do occur but less frequently, and </t>
    </r>
    <r>
      <rPr>
        <b/>
        <sz val="9"/>
        <color theme="1" tint="0.249977111117893"/>
        <rFont val="Roboto"/>
      </rPr>
      <t>'No'</t>
    </r>
    <r>
      <rPr>
        <sz val="9"/>
        <color theme="1" tint="0.249977111117893"/>
        <rFont val="Roboto"/>
      </rPr>
      <t xml:space="preserve"> if the region has never experienced an extreme wind event. </t>
    </r>
  </si>
  <si>
    <t xml:space="preserve">Is the facility located at a coastal front? If yes, is the region experiencing exceptionally high waves (surpassing 10 m)?                                       </t>
  </si>
  <si>
    <r>
      <t xml:space="preserve">Considerably stronger winds are typically found in coastal regions compared to sites further inland. Exceptionally high waves in coastal regions are associated with extreme wind conditions. Answer </t>
    </r>
    <r>
      <rPr>
        <b/>
        <sz val="9"/>
        <color theme="1" tint="0.249977111117893"/>
        <rFont val="Roboto"/>
      </rPr>
      <t>'Yes</t>
    </r>
    <r>
      <rPr>
        <sz val="9"/>
        <color theme="1" tint="0.249977111117893"/>
        <rFont val="Roboto"/>
      </rPr>
      <t xml:space="preserve">' if the facility is at a coastal front and exceptionally high waves are happening once a year or more often, </t>
    </r>
    <r>
      <rPr>
        <b/>
        <sz val="9"/>
        <color theme="1" tint="0.249977111117893"/>
        <rFont val="Roboto"/>
      </rPr>
      <t>'Most likely</t>
    </r>
    <r>
      <rPr>
        <sz val="9"/>
        <color theme="1" tint="0.249977111117893"/>
        <rFont val="Roboto"/>
      </rPr>
      <t xml:space="preserve">' if exceptionally high waves are recurring every 2-5 years on average; </t>
    </r>
    <r>
      <rPr>
        <b/>
        <sz val="9"/>
        <color theme="1" tint="0.249977111117893"/>
        <rFont val="Roboto"/>
      </rPr>
      <t>'Likely</t>
    </r>
    <r>
      <rPr>
        <sz val="9"/>
        <color theme="1" tint="0.249977111117893"/>
        <rFont val="Roboto"/>
      </rPr>
      <t xml:space="preserve">' if they do occur but less frequently, and </t>
    </r>
    <r>
      <rPr>
        <b/>
        <sz val="9"/>
        <color theme="1" tint="0.249977111117893"/>
        <rFont val="Roboto"/>
      </rPr>
      <t xml:space="preserve">'No' </t>
    </r>
    <r>
      <rPr>
        <sz val="9"/>
        <color theme="1" tint="0.249977111117893"/>
        <rFont val="Roboto"/>
      </rPr>
      <t xml:space="preserve">if the facility is not located in a coastal front. </t>
    </r>
  </si>
  <si>
    <t xml:space="preserve">Has the region ever experienced a hurricane? </t>
  </si>
  <si>
    <t xml:space="preserve">Although Europe rarely experiences hurricanes, over the past 20 years remnants of hurricanes have reached the coastal regions of Western Europe (Portugal, Ireland, UK etc). As the intensity of hurricanes is projected to increase, the risk of experiencing extreme wind conditions will continue to grow. </t>
  </si>
  <si>
    <t xml:space="preserve">Current Exposure Score: </t>
  </si>
  <si>
    <t>Current Exposure Level:</t>
  </si>
  <si>
    <t>Consult the regional climate projections IPCC Interactive Atlas (https://interactive-atlas.ipcc.ch) to determine how wid patterns are expected to change will change due to climate change and define a climate-change multiplier that will be used for the estimation of future exposure levels. Where available, consult downscaled climate projections to refine your answer.</t>
  </si>
  <si>
    <r>
      <rPr>
        <b/>
        <sz val="13"/>
        <rFont val="Roboto"/>
      </rPr>
      <t>Table 1.2</t>
    </r>
    <r>
      <rPr>
        <sz val="13"/>
        <rFont val="Roboto"/>
      </rPr>
      <t>. Climate projections</t>
    </r>
  </si>
  <si>
    <t>What is the likelihood of experiencing heavier winds in the future?</t>
  </si>
  <si>
    <t>Obtain the regional projections by IPCC for extreme wind. Read the direction of change (either decreasing or increasing) and the associated confidence level (Low or High) to estimate the respective climate-change multiplier.</t>
  </si>
  <si>
    <t xml:space="preserve">Future Exposure Score: </t>
  </si>
  <si>
    <t xml:space="preserve">Future Exposure Level: </t>
  </si>
  <si>
    <r>
      <t>Table 2.1.</t>
    </r>
    <r>
      <rPr>
        <sz val="13"/>
        <color theme="1"/>
        <rFont val="Roboto"/>
      </rPr>
      <t xml:space="preserve"> Component-based sensitivity assessment to extreme winds &amp; windstorms</t>
    </r>
  </si>
  <si>
    <t>Sensitivity to Extreme Winds</t>
  </si>
  <si>
    <t>Adaptive Capacity to Extreme Wind</t>
  </si>
  <si>
    <t xml:space="preserve">Is there a tornado-safe space where occupants can be transferred in case of an emergency? </t>
  </si>
  <si>
    <r>
      <t xml:space="preserve"> [</t>
    </r>
    <r>
      <rPr>
        <b/>
        <sz val="9"/>
        <color theme="0" tint="-4.9989318521683403E-2"/>
        <rFont val="Roboto"/>
      </rPr>
      <t>0</t>
    </r>
    <r>
      <rPr>
        <sz val="9"/>
        <color theme="0" tint="-4.9989318521683403E-2"/>
        <rFont val="Roboto"/>
      </rPr>
      <t xml:space="preserve">: Yes = the fixity connection has multiple redundancies, </t>
    </r>
    <r>
      <rPr>
        <b/>
        <sz val="9"/>
        <color theme="0" tint="-4.9989318521683403E-2"/>
        <rFont val="Roboto"/>
      </rPr>
      <t>3:</t>
    </r>
    <r>
      <rPr>
        <sz val="9"/>
        <color theme="0" tint="-4.9989318521683403E-2"/>
        <rFont val="Roboto"/>
      </rPr>
      <t xml:space="preserve"> No = the fixity connection has a single point of failure]</t>
    </r>
  </si>
  <si>
    <r>
      <t>[</t>
    </r>
    <r>
      <rPr>
        <b/>
        <sz val="9"/>
        <color theme="0" tint="-4.9989318521683403E-2"/>
        <rFont val="Roboto"/>
      </rPr>
      <t>3:</t>
    </r>
    <r>
      <rPr>
        <sz val="9"/>
        <color theme="0" tint="-4.9989318521683403E-2"/>
        <rFont val="Roboto"/>
      </rPr>
      <t xml:space="preserve"> Yes| 0: No ]</t>
    </r>
  </si>
  <si>
    <r>
      <rPr>
        <vertAlign val="superscript"/>
        <sz val="8"/>
        <color theme="1"/>
        <rFont val="Roboto"/>
      </rPr>
      <t xml:space="preserve">1 </t>
    </r>
    <r>
      <rPr>
        <sz val="8"/>
        <color theme="1"/>
        <rFont val="Roboto"/>
      </rPr>
      <t xml:space="preserve">Slender members like antennas, chimneys, curtain walls are more likely to experience buckling when subjected to lateral wind gust. </t>
    </r>
  </si>
  <si>
    <t>Climate-proofing of buildings against wind-related hazards</t>
  </si>
  <si>
    <r>
      <rPr>
        <b/>
        <sz val="24"/>
        <rFont val="Roboto"/>
      </rPr>
      <t>STEP 3.</t>
    </r>
    <r>
      <rPr>
        <sz val="24"/>
        <rFont val="Roboto"/>
      </rPr>
      <t xml:space="preserve"> PRELIMINARY RISK ASSESSMENT</t>
    </r>
  </si>
  <si>
    <t>WIND</t>
  </si>
  <si>
    <t>AVERAGE</t>
  </si>
  <si>
    <t>MAXIM</t>
  </si>
  <si>
    <r>
      <t xml:space="preserve">Initial Risk Score to Extreme Wind </t>
    </r>
    <r>
      <rPr>
        <sz val="8"/>
        <color theme="1"/>
        <rFont val="Roboto"/>
      </rPr>
      <t>(transferred from Step 3)</t>
    </r>
  </si>
  <si>
    <t>Adaptation Measures for combating Extreme Wind</t>
  </si>
  <si>
    <r>
      <t>Answer [</t>
    </r>
    <r>
      <rPr>
        <b/>
        <sz val="9"/>
        <rFont val="Roboto"/>
      </rPr>
      <t xml:space="preserve"> 'Low' or 'High']</t>
    </r>
    <r>
      <rPr>
        <sz val="9"/>
        <rFont val="Roboto"/>
      </rPr>
      <t xml:space="preserve"> or [</t>
    </r>
    <r>
      <rPr>
        <b/>
        <sz val="9"/>
        <rFont val="Roboto"/>
      </rPr>
      <t>Leave Blank</t>
    </r>
    <r>
      <rPr>
        <sz val="9"/>
        <rFont val="Roboto"/>
      </rPr>
      <t>] in case the foreseen adaptation measures do not apply to the specific component.</t>
    </r>
  </si>
  <si>
    <t>Final Risk to Extreme Winds</t>
  </si>
  <si>
    <r>
      <t xml:space="preserve">Table 4.2. </t>
    </r>
    <r>
      <rPr>
        <sz val="13"/>
        <color theme="1"/>
        <rFont val="Roboto"/>
      </rPr>
      <t>Adaptation measures for protection against extreme winds</t>
    </r>
  </si>
  <si>
    <t>Change the sitting and layout of the building to reduce wind impacts</t>
  </si>
  <si>
    <t>Apply a wind-resistant roof design (e.g., multi-panel features; metal roofs tiles)</t>
  </si>
  <si>
    <t>Ensure wind-proofing of tall structures and long-span roofs (i.e., design for increased design loading, build wind/debris resistant enclosure)</t>
  </si>
  <si>
    <t>Anchor/bolt  exterior structures, equipment, piping and fixtures</t>
  </si>
  <si>
    <t>Utilize impact resistant glazing for windows</t>
  </si>
  <si>
    <t>Build safe rooms to host critical units (e.g. ICUs of  hospitals) and shelter occupants.</t>
  </si>
  <si>
    <t>Install windbreak panels around the building</t>
  </si>
  <si>
    <t>Use landscaping features and trees to create natural wind barriers</t>
  </si>
  <si>
    <t>Implement alternative telecommunication technologies that increase redundancy and reliability during power outages (e.g. Cloud VoIP phone)</t>
  </si>
  <si>
    <t>Mitigate collapse hazards (e.g., chimneys, poles, and trees)</t>
  </si>
  <si>
    <t xml:space="preserve"> Install sheltering structures to protect exterior equipment from windborne debris</t>
  </si>
  <si>
    <t>Increase mounting specifications of solar panels</t>
  </si>
  <si>
    <t>Undergo rigorous testing of PV equipment to ensure it remains fixed</t>
  </si>
  <si>
    <t>Set-up control rooms and sensitive equipment to rooms with no windows.</t>
  </si>
  <si>
    <t>Specific to Healthcare Facilities</t>
  </si>
  <si>
    <t xml:space="preserve"> Set-up main and backup EPG (in case the main EPG fails during a power outage) and connect to critical compartments/equipment. </t>
  </si>
  <si>
    <t>Extend the fuel storage capacity for main and backup generators to mitigate grid dependence and minimize disruption during power outages.</t>
  </si>
  <si>
    <t>Replace on-premise desktop  hospital Operating Systems with cloud-based solutions</t>
  </si>
  <si>
    <t>Utilize permanent entry-way dust-collection devices (e.g., slotted systems, grates, or grilles, at all major entries)</t>
  </si>
  <si>
    <t xml:space="preserve">Invest in Early Warning Systems and prepare emergency protocols including preventive evacuation and shutdown of critical equipment </t>
  </si>
  <si>
    <t>Have in place an alarm system that doesn’t rely on electricity (e.g., compressed air horn or megaphone) to be used in case of power failures</t>
  </si>
  <si>
    <t>Clear the the property and secure any objects that could become projectiles during a storm</t>
  </si>
  <si>
    <t>Wind</t>
  </si>
  <si>
    <t>Water</t>
  </si>
  <si>
    <t>Extreme Heat</t>
  </si>
  <si>
    <t>Healthcare Facility</t>
  </si>
  <si>
    <t>Site (incl. Outdoor space, Entrance, Parking)</t>
  </si>
  <si>
    <t>Damaged/destabilized outdoor features (e.g. lighting fixtures, canopies, etc); falling of trees; injuries to visitors or fatalities; power-line failures resulting in fire accidents</t>
  </si>
  <si>
    <t xml:space="preserve">Flooded entrances, disruption/cancelation of bus services (leaving students stranded in schools). </t>
  </si>
  <si>
    <t>Very high outdoor temperatures amplified by heat island effects</t>
  </si>
  <si>
    <t>Ice accumulation to walkways, garages, loading ramps, and stairways; risk of accidents; reduced accessibility.</t>
  </si>
  <si>
    <t>Building Shell (incl. Foundation, Structural Frame, Walls, Openings, Roof)</t>
  </si>
  <si>
    <t xml:space="preserve">Depending on the severity of the wind gust:  broken windows, loss of cladding, windborne debris impacts to the walls and the roof, damaged or blown off shingles, buckling of roof trusses, total collapse of the building frame </t>
  </si>
  <si>
    <t>Foundation/structural failures: settlements, scouring, uplifting, tilting; Moisture/water intrusion, mold infestation/contamination (if flood water is polluted with chemical or biological toxic substances); flooded entrances; water leaks and standing water.</t>
  </si>
  <si>
    <t>Faster degradation of building materials; reduced heat resistance of the building shell and uncontrollable flow of heat into the interior;  increased stability risk if structural frames are exposed to very high temperatures caused by wildfires.</t>
  </si>
  <si>
    <t xml:space="preserve">Thermal bridging, under-insulated interior, moisture ingress (in humid climates), uncontrollable heat loss, Freezing and thawing cycles expediting material degradation; carbonation of steel (in humid areas); heavy snow cover damaging roof shingles, ice dam formation; ice-clogged gutters;  water leaks. </t>
  </si>
  <si>
    <t>Piping systems (for water supply, sewage disposal and drainage)</t>
  </si>
  <si>
    <t>Dented, loose, or fallen rain gutters</t>
  </si>
  <si>
    <t>Burst/clogging of pipes, combined sewer overflows and backing up of sanitary sewer systems (introducing raw, untreated sanitary sewage into buildings)</t>
  </si>
  <si>
    <t>Bursting pipes, fire/explosion (if transferring gas)</t>
  </si>
  <si>
    <t>Water freezing or solidification of tranfered fluids</t>
  </si>
  <si>
    <t>Heating Ventilation &amp; Air-conditioning (incl. boilers, air ducts, radiators, and AC units)</t>
  </si>
  <si>
    <t xml:space="preserve">Uplifting or overturning of exterior units (if not securely bolted/mounted). </t>
  </si>
  <si>
    <t>Damage to electrical components causing malfunctions and short circuits; shutdown in case of power outage; corrosion of metal parts; water entering the air ducts can circulate harmful air.</t>
  </si>
  <si>
    <t>Low efficiency or shutdown (in case of power outages); increased ambient temperatures; smoke and gaseous pollutants from wildfires entering the building interior through the ventilation system; clogging/contaminated HVAC filters; smoke residue accumulating on blades, motors, electrical connections, and other sensitive parts reduces efficiency and causing malfunctions.</t>
  </si>
  <si>
    <t xml:space="preserve">Shutdown in case of power outage (caused by power grid overload); corrosion of metal parts exposed to snow and freezing tempertures. </t>
  </si>
  <si>
    <t xml:space="preserve">Ε/Μ equipment (engine rooms, powerhouses, emergency generators, transformers, etc.), </t>
  </si>
  <si>
    <t>Power outages (in case of knocked down or damaged powerlines by blowing objects etc) causing E&amp;M to shut down or malfunction; Impact/mechanical damages (if equipment is not safely mounted).</t>
  </si>
  <si>
    <t>Generator shut-down (due to overload, flooded surroundings, low fuel levels); elevator' machine room breakdown;  Electrical equipment damages (e.g., paralleling switchgear, transfer switches) caused by lightning or power surge (after a power outage)</t>
  </si>
  <si>
    <t>Shutdown in case of power outages (as a result of power grid overload); electric failures caused by power surge (after a power outage); Overheating and increased risk of failures and malfunctions when normal operating temperatures are exceeded.</t>
  </si>
  <si>
    <t>Shutdown in case of power outages (due to power grid overload); electric failures caused by power surge (after a power outage)</t>
  </si>
  <si>
    <t>IT equipment and Networks (incl. servers, racks, CCTV, switchboards, UPS)</t>
  </si>
  <si>
    <t>Loss of service during power outages, servers/rack overturning  (if not safely mounted) causing permanent damages or malfuntioning of the encased equipment; damages to surveillance cameras.</t>
  </si>
  <si>
    <t>Loss of communications; Short circuit or Electronic Damages (when electronic components get wet)</t>
  </si>
  <si>
    <t>Loss of communications (in case of power outages)</t>
  </si>
  <si>
    <t>Photovoltaic Installation (incl. solar panels, inverters, and batteries)</t>
  </si>
  <si>
    <t>Destabilized racking systems (if not properly designed), flying debris may damage the PV panel surface</t>
  </si>
  <si>
    <t>Short circuits damage/dysfunction if electric wiring gets wet;  Cracking and shattering of panels in severe hailstorms</t>
  </si>
  <si>
    <t>The performance of the Photovoltaic panels drops by about 0.5% for every 1 °C increase in temperature;  Long-term exposure to higher temperatures causes faster material ageing; Insufficiency of the PV installation to cover the energy demand of the facility (which is expected to peak during very hot days).</t>
  </si>
  <si>
    <t>Damaged panels and mirrors by heavy snow cover; corrosion of metal components of the inverter and malfunctions; short circuits damage/dysfunction if electric wiring gets wet, snow and ice accumulation on solar panels decreases their efficiency when most needed (i.e., during very cold days when energy demand for heating is maximum).</t>
  </si>
  <si>
    <t>Heat Pumps</t>
  </si>
  <si>
    <t xml:space="preserve">Uplifting or overturning of external units (if not securely bolted/ mounted). </t>
  </si>
  <si>
    <t xml:space="preserve">Lose heating or cooling capabilities during power outages; damages to the electrical components of a heat pump caused by power surge, Flooding and standing water can damage its electrical components and reduce the efficiency of the heat pump. </t>
  </si>
  <si>
    <t xml:space="preserve">Being highly dependent on outdoor temperatures, the performance of the heat pumps may substantially drop during very hot days resulting in increased ambient temperatures; Shutdown in case of power outages (due to power grid overload); smoke residue accumulating on the mechanical components of the heat pump increases wear, causes malfunctions and reduces efficiency. </t>
  </si>
  <si>
    <t xml:space="preserve">When temperatures drop below freezing, the efficiency of heat pumps is significantly affected. As a result:  increased energy consumption, reduced heating capacity, discomfort of users; Damaged fan blades, outdoor coils, and other components by severe ice. </t>
  </si>
  <si>
    <t>Supply Network (i.e., Municipal water, electricity grid, gas)</t>
  </si>
  <si>
    <t>Damaged powerlines by blowing objects may cause power shortages or blackouts</t>
  </si>
  <si>
    <t>Power shortages or blackouts; water shortages; disruption of heating/cooling operations; sewer backflows and increased risk of water contamination.</t>
  </si>
  <si>
    <t>Power shortages or blackouts; Damage to power lines from wildfires;  Restrained access to municipal water (during prolonged drought periods) disrupting operations of hygiene facilities and usage of medical equipment (for hospitals).</t>
  </si>
  <si>
    <t>Freezing of water mains (if not installed below the frost line), loose of water supply; Damages to power lines (caused by broken trees from heavy weigh snow); Power shortages or blackouts.</t>
  </si>
  <si>
    <t>Transport Links</t>
  </si>
  <si>
    <t>Road closures caused by fallen trees, windborne debris etc) obstructing the access to the facility or render it unsafe; Disrupted services of ambulances, fire-vehicles, school-bases etc.</t>
  </si>
  <si>
    <t xml:space="preserve">Inundated road segments and road closures; disruption of transport services to/from the facility (e.g., ambulances, fire trucks etc), stranded occupants and supply-chain shortages (in case of prolonged disruption). </t>
  </si>
  <si>
    <t>Halted traffic during wildfires obstructing ambulances services.</t>
  </si>
  <si>
    <t>Iced or snow-blocked roads, disruption of transport services to/from the facility (e.g., ambulances, fire trucks, school buses etc), supply-chain shortages.</t>
  </si>
  <si>
    <t>Municipal storm &amp; sewer systems</t>
  </si>
  <si>
    <t xml:space="preserve">Backflow into the facility and incrased risk of water contamination; Unavailability of municipal waste management services </t>
  </si>
  <si>
    <t>Unavailability of municipal waste management services in the event of increased pathogen and vermin activity (caused by increased temperatures.</t>
  </si>
  <si>
    <t>Patient rooms</t>
  </si>
  <si>
    <t>Flying debris through broken windows, damaged/tilted partition windows/panels, injuries caused by collapsing or tipping furniture/equipment.</t>
  </si>
  <si>
    <t xml:space="preserve">Water ingress, power outages,  loss of respiratory devices. </t>
  </si>
  <si>
    <t>Sudden increase in community cases of heat stroke and asthma during very hot days may increase the number of hospital visits overwhelming the facility’s capacity; ambient temperatures outside the typical comfort range; low indoor air quality if smoke particles (from wildfires) enter the HVAC system; power outages, loss of respiratory devices.</t>
  </si>
  <si>
    <t>Under-insolated rooms; low indoor temperatures, discomfort of users</t>
  </si>
  <si>
    <t>Operation Rooms</t>
  </si>
  <si>
    <t>Flying debris through broken windows, Power outages, shutdown of operations, damages/malfunction of sensitive equipment.</t>
  </si>
  <si>
    <t xml:space="preserve">Water ingress, power outages, disruption of high-risk surgical procedures, loss of respiratory devices and critical equipment. </t>
  </si>
  <si>
    <t>Power outages, disruption of high-risk surgical procedures; loss of respiratory devices and critical equipment; Low-quality lighting during surgical procedures.</t>
  </si>
  <si>
    <t>Medical equipment</t>
  </si>
  <si>
    <t>Loss of service or malfunctioning in case of power outages</t>
  </si>
  <si>
    <t>Medical equipment shutdown during power outages, increased medical risks for patients relying on life-maintaining electricity-dependent medical and assistive equipment, defunct/inoperable equipment; exposure to radiation; shutdown or reduction of medical gas flow, leakages of gas/hazardous materials.</t>
  </si>
  <si>
    <t>Explosion (when exposed to fire and very high temperatures); Medical equipment shutdown during power outages,</t>
  </si>
  <si>
    <t>Medical equipment shutdown or dysfunction in case of power outages, increased medical risks for patients relying on life-maintaining electricity-dependent medical and assistive equipment,  reduction of medical gas flow.</t>
  </si>
  <si>
    <t>Warehouses &amp; storage rooms</t>
  </si>
  <si>
    <t>Injuries caused by collapsing or tipping furniture</t>
  </si>
  <si>
    <t>Water ingress; leakage of hazardous waste; loss of medical supplies</t>
  </si>
  <si>
    <t>Power Outages, contamination/Spoilage of temperature-sensitive pharmaceuticals</t>
  </si>
  <si>
    <t>Under-insolated rooms; low indoor temperatures, susceptible to water ingress and basement mold; risk of flooding if water pipes burst, loss/damage of medical supplies.</t>
  </si>
  <si>
    <t>Backup generator</t>
  </si>
  <si>
    <t xml:space="preserve">Failure of paralleling/transfer switchgear (in case of a sudden power outage) may prevent the engine from starting or connecting with the generator. </t>
  </si>
  <si>
    <t>Generator shut-down (due to overload, flooded surroundings, low fuel levels); electric failures caused by power surge, increased medical risks and disruption of important electricity-dependant healthcare services (e.g., oxygen services).</t>
  </si>
  <si>
    <t>Generator shut-down due to overload;  electric failures caused by power surge, increased medical risks and disruption of important electricity-dependant healthcare services (e.g., oxygen services).</t>
  </si>
  <si>
    <t>School</t>
  </si>
  <si>
    <t>Classrooms and laboratories</t>
  </si>
  <si>
    <t>Flying debris through broken windows, Damage/ tilting of wall panels, broken windows, injuries caused by collapsing or tiliting furniture, damage of fragile laboratory equipment, power outages.</t>
  </si>
  <si>
    <t>Flooded rooms, damage to school/students property; water ingress, moisture, and dampness aid the growth of mold and other related microorganisms creating unhealthy conditions for students, dysfunction/damage of sensitive lab equipment.</t>
  </si>
  <si>
    <t>Ambient temperatures outside the typical comfort range; low air quality if smoke particles (from wildfires) enter the school interior through windows or the HVAC system; power outages may disrupt educational functions.</t>
  </si>
  <si>
    <t>Under-insolated rooms; low indoor temperatures, discomfort for teachers and students</t>
  </si>
  <si>
    <t>Indoor gym (incl. gym equipment, lockers etc)</t>
  </si>
  <si>
    <t>Damage/ tilting of wall panels, broken windows, injuries caused by collapsing or tilting of furniture/ gym equipment.</t>
  </si>
  <si>
    <t>Gyms (typically located at lower floors) are more susceptible to flooding, mold contamination and sewage backflows.</t>
  </si>
  <si>
    <t>Ambient temperatures outside the typical comfort range; low air quality if smoke particles (from wildfires) enter the school interior through windows or the HVAC system</t>
  </si>
  <si>
    <t>Gyms (typically located at lower floors) are more susceptible to water ingress, accumulation of basement mold and flooding (if water pipes burst).</t>
  </si>
  <si>
    <t>Computer Labs</t>
  </si>
  <si>
    <t>Sudden power outages/surges can damage computers and cause hardware malfunction, Broken or damaged computer screens.</t>
  </si>
  <si>
    <t>Wet wiring and power surges can damage computers and screens.</t>
  </si>
  <si>
    <t>Overheating and increased risk of failures and malfunctions when normal operating temperatures are exceeded.</t>
  </si>
  <si>
    <t>Sudden power outages/surges can damage computers and cause hardware malfunction.</t>
  </si>
  <si>
    <t>Schoolyards (incl. courts, playground equipment)</t>
  </si>
  <si>
    <t xml:space="preserve">Damaged/destabilized outdoor features (e.g. lighting fixtures, canopies, etc) and play-ground equipment (e.g., swings, slides, climbers etc); falling of trees; students injuries </t>
  </si>
  <si>
    <t>Standing water and accumulation of dirt/mud,  increased risk of injuries, school shutdown until clean-up operations are complete.</t>
  </si>
  <si>
    <t xml:space="preserve">Extreme heat can be discomforting for students (particularly in schoolyards in urban areas with small amount of vegetation);  court pavements and steel materials (used for benches and playground equipment) reflect radiation augmenting the heat island effect; faster degradation of pavements and metal surfaces. </t>
  </si>
  <si>
    <t>Increased risk of accidents in walkways covered by snow and iced steps; cracking of rigid pavements (and court surfaces), corrosion of metal playground equipment.</t>
  </si>
  <si>
    <t>Public and Office Building</t>
  </si>
  <si>
    <t>Large indoor spaces (e.g., auditoriums, waiting halls)</t>
  </si>
  <si>
    <t>Damage/tilting of wall panels, damage of wall-mounted equipment (if not safely secured), broken windows, loss of functionality, increased risk of injuries due to increased space utilization.</t>
  </si>
  <si>
    <t>Flooded rooms, damage to property; water ingress, moisture, and dampness.</t>
  </si>
  <si>
    <t>Rise of visitors in public buildings that are used as cooling spaces (for the protection of citizens from very hot outdoor temperatures); Increased air-conditioning requirements (not covered by the exisiting capacity); Poor ventilation of indoor spaces; power outages (due to grid overload) causing business disruption.</t>
  </si>
  <si>
    <t>Under-insolated rooms; low indoor temperatures, discomfort for users; power outages (due to grid overload) causing business disruption.</t>
  </si>
  <si>
    <t>Office rooms</t>
  </si>
  <si>
    <t>Flying debris through broken windows, damage/tilting of wall panels, power outages.</t>
  </si>
  <si>
    <t>Power outages (due to grid overload) can cause business disruption; ambient temperatures outside the typical comfort range may create discomfort and health issues.</t>
  </si>
  <si>
    <t>Under-insolated rooms; low indoor temperatures, discomfort for users; power outage</t>
  </si>
  <si>
    <t xml:space="preserve">Command and Control Centers </t>
  </si>
  <si>
    <t>Shutdown of operations in case of power outages; Loss of communications; damage/malfunctioning of sensitive electronic equipment</t>
  </si>
  <si>
    <t>Wet wiring and power surges can damage computers, servers &amp; screens, loss of communications/service.</t>
  </si>
  <si>
    <t xml:space="preserve">Power outages will disrupt operations; increased risk of failures and malfunctions if electronic equipment is overheated. </t>
  </si>
  <si>
    <t>Loss of communications in case of power outages, electronic failures and malfunctions</t>
  </si>
  <si>
    <t>Archives</t>
  </si>
  <si>
    <t>Collapsing or tilting of heavy furniture</t>
  </si>
  <si>
    <t xml:space="preserve">Archives (typically located at lower floors) are more susceptible to flooding, mold contamination and sewage backflows; loss of documents and manuscripts, irrecoverable damage to valuable property. </t>
  </si>
  <si>
    <t xml:space="preserve">Archives (typically located in basements) are susceptible to water ingress and basement mold and flooding (if water pipes burst), loss of documents and manuscripts, irrecoverable damage to valuable property. </t>
  </si>
  <si>
    <t>Backup Generator</t>
  </si>
  <si>
    <t xml:space="preserve">Failure of switchgear (in case of a sudden power outage) preventing the engine from starting or connecting with the generator. </t>
  </si>
  <si>
    <t xml:space="preserve">Generator shut-down due to overload hindering critical operations;  Failure of switchgear caused by power surge. </t>
  </si>
  <si>
    <t>Generator shut-down due to overload;  electric failures caused by power surge, business disruption.</t>
  </si>
  <si>
    <t>Residential Building</t>
  </si>
  <si>
    <t>Small residential/office/shop</t>
  </si>
  <si>
    <t>ALL COMPONENTS - Simplified assessment</t>
  </si>
  <si>
    <t xml:space="preserve">Damages on the exterior (lifting of the roof, broken windows) or even total destruction; Power losses, malfunction of sensitive electronic devices (TV, computers, IT routers) caused by sudden power surges; unmounting/overturning of exterior AC units, unrooting of trees in the building exterior, risk of accidents from flying debris. </t>
  </si>
  <si>
    <t>Power outages; flooded basements, entrances, and interiors; mold growing (in the basement); sewer backup;  loss of internet/telephone service; short-circuit damages of electrical equipment (TV, computers)</t>
  </si>
  <si>
    <t xml:space="preserve">Exterior weathering affecting the building aesthetics (e.g., color change, coating pilling); Lower AC performance when the exterior air temperature is very high; increased energy consumption for air-conditioning; power outages (in case of grid overload); High room temperatures causing discomfort of occupants. Wildfires: damages on the exterior (blackened walls, broken windows, destroyed windows and doors) or total destruction; Occupants exposed to wildfire smoke may experience danagerous health issues; clogging of AC filters causing serious malfunctions; </t>
  </si>
  <si>
    <t>Ice accumulation to walkways, garages, loading ramps, and stairways; risk of accidents; reduced accessibility; Power outages; loss of internet/telephone service; short-circuit damages of electrical equipment (TV, computers); Low indoor temperatures, discomfort for users; Freezing of water mains (if not installed below the frost line), loss of water supply</t>
  </si>
  <si>
    <r>
      <t xml:space="preserve">OUTPUT. </t>
    </r>
    <r>
      <rPr>
        <sz val="24"/>
        <rFont val="Roboto"/>
      </rPr>
      <t>CLIMATE</t>
    </r>
    <r>
      <rPr>
        <b/>
        <sz val="24"/>
        <rFont val="Roboto"/>
      </rPr>
      <t xml:space="preserve"> </t>
    </r>
    <r>
      <rPr>
        <sz val="24"/>
        <rFont val="Roboto"/>
      </rPr>
      <t>RISKS BEFORE &amp; AFTER IMPLEMENTATION OF ADAPTATION MEASURES</t>
    </r>
  </si>
  <si>
    <t>Before the implementation of adaptation measures</t>
  </si>
  <si>
    <t xml:space="preserve">Heatwaves </t>
  </si>
  <si>
    <t>Wildfires</t>
  </si>
  <si>
    <t>Extreme Cold and Heavy Snowfall</t>
  </si>
  <si>
    <t>Flooding</t>
  </si>
  <si>
    <t>Landslides</t>
  </si>
  <si>
    <t>Extreme Wind &amp; Hurricanes</t>
  </si>
  <si>
    <t xml:space="preserve">Initial building risk: </t>
  </si>
  <si>
    <t>Risk of interdepedencies:</t>
  </si>
  <si>
    <r>
      <t xml:space="preserve">List of </t>
    </r>
    <r>
      <rPr>
        <b/>
        <sz val="16"/>
        <color rgb="FFC00000"/>
        <rFont val="Roboto"/>
      </rPr>
      <t>high-risk</t>
    </r>
    <r>
      <rPr>
        <b/>
        <sz val="16"/>
        <rFont val="Roboto"/>
      </rPr>
      <t xml:space="preserve"> components: </t>
    </r>
  </si>
  <si>
    <t>After the implementation of adaptation measures</t>
  </si>
  <si>
    <t xml:space="preserve">Updated risk: </t>
  </si>
  <si>
    <t>Summary of Adaptation Measures (per Hazard)</t>
  </si>
  <si>
    <t>1.</t>
  </si>
  <si>
    <t>2.</t>
  </si>
  <si>
    <t>3.</t>
  </si>
  <si>
    <t>4.</t>
  </si>
  <si>
    <t>5.</t>
  </si>
  <si>
    <t>6.</t>
  </si>
  <si>
    <t>7.</t>
  </si>
  <si>
    <t>8.</t>
  </si>
  <si>
    <t>9.</t>
  </si>
  <si>
    <t>10.</t>
  </si>
  <si>
    <t>The suitable multiplier has already been selected for Spain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</si>
</sst>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9" x14ac:knownFonts="1">
    <font>
      <sz val="11"/>
      <color theme="1"/>
      <name val="Calibri"/>
      <family val="2"/>
      <scheme val="minor"/>
    </font>
    <font>
      <sz val="11"/>
      <color theme="1"/>
      <name val="Calibri"/>
      <family val="2"/>
      <charset val="161"/>
      <scheme val="minor"/>
    </font>
    <font>
      <b/>
      <sz val="16"/>
      <color theme="0"/>
      <name val="Roboto"/>
    </font>
    <font>
      <b/>
      <sz val="13"/>
      <color theme="1"/>
      <name val="Roboto"/>
    </font>
    <font>
      <sz val="9"/>
      <color theme="0"/>
      <name val="Roboto"/>
    </font>
    <font>
      <sz val="8"/>
      <color theme="0"/>
      <name val="Roboto"/>
    </font>
    <font>
      <sz val="7"/>
      <color theme="0"/>
      <name val="Roboto"/>
    </font>
    <font>
      <b/>
      <sz val="7"/>
      <color theme="0"/>
      <name val="Roboto"/>
    </font>
    <font>
      <b/>
      <sz val="7"/>
      <color theme="1"/>
      <name val="Roboto"/>
    </font>
    <font>
      <b/>
      <sz val="7"/>
      <color theme="1" tint="4.9989318521683403E-2"/>
      <name val="Roboto"/>
    </font>
    <font>
      <b/>
      <sz val="9"/>
      <color theme="0"/>
      <name val="Roboto"/>
    </font>
    <font>
      <sz val="10"/>
      <color theme="1"/>
      <name val="Calibri"/>
      <family val="2"/>
      <scheme val="minor"/>
    </font>
    <font>
      <sz val="10"/>
      <color theme="1"/>
      <name val="Roboto"/>
    </font>
    <font>
      <sz val="9"/>
      <color theme="1"/>
      <name val="Roboto"/>
    </font>
    <font>
      <sz val="9"/>
      <color theme="1" tint="0.249977111117893"/>
      <name val="Roboto"/>
    </font>
    <font>
      <sz val="11"/>
      <color theme="1"/>
      <name val="Roboto"/>
    </font>
    <font>
      <sz val="8"/>
      <color theme="1" tint="0.249977111117893"/>
      <name val="Roboto"/>
    </font>
    <font>
      <b/>
      <sz val="14"/>
      <color rgb="FF7E003F"/>
      <name val="Roboto"/>
    </font>
    <font>
      <b/>
      <sz val="9"/>
      <color theme="1" tint="4.9989318521683403E-2"/>
      <name val="Roboto"/>
    </font>
    <font>
      <b/>
      <sz val="10"/>
      <color theme="0"/>
      <name val="Roboto"/>
    </font>
    <font>
      <sz val="9"/>
      <name val="Roboto"/>
    </font>
    <font>
      <sz val="9"/>
      <color rgb="FF333333"/>
      <name val="Roboto"/>
    </font>
    <font>
      <sz val="8"/>
      <color theme="0" tint="-0.499984740745262"/>
      <name val="Roboto"/>
    </font>
    <font>
      <sz val="8"/>
      <color theme="0" tint="-0.499984740745262"/>
      <name val="Calibri"/>
      <family val="2"/>
      <scheme val="minor"/>
    </font>
    <font>
      <sz val="8"/>
      <color theme="0" tint="-4.9989318521683403E-2"/>
      <name val="Roboto"/>
    </font>
    <font>
      <b/>
      <sz val="9"/>
      <color rgb="FF480024"/>
      <name val="Roboto"/>
    </font>
    <font>
      <sz val="10"/>
      <color theme="0"/>
      <name val="Roboto"/>
    </font>
    <font>
      <b/>
      <sz val="20"/>
      <name val="Roboto"/>
    </font>
    <font>
      <b/>
      <sz val="9"/>
      <color rgb="FF660033"/>
      <name val="Roboto"/>
    </font>
    <font>
      <sz val="11"/>
      <color theme="0"/>
      <name val="Calibri"/>
      <family val="2"/>
      <scheme val="minor"/>
    </font>
    <font>
      <sz val="13"/>
      <color theme="1"/>
      <name val="Roboto"/>
    </font>
    <font>
      <b/>
      <sz val="9"/>
      <color theme="1"/>
      <name val="Roboto"/>
    </font>
    <font>
      <sz val="24"/>
      <name val="Roboto"/>
    </font>
    <font>
      <b/>
      <sz val="24"/>
      <name val="Roboto"/>
    </font>
    <font>
      <b/>
      <sz val="14"/>
      <color theme="0"/>
      <name val="Roboto"/>
    </font>
    <font>
      <sz val="11"/>
      <color theme="0"/>
      <name val="Calibri"/>
      <family val="2"/>
      <charset val="161"/>
      <scheme val="minor"/>
    </font>
    <font>
      <b/>
      <sz val="8"/>
      <color theme="1" tint="0.249977111117893"/>
      <name val="Roboto"/>
    </font>
    <font>
      <b/>
      <sz val="12"/>
      <color theme="1"/>
      <name val="Roboto"/>
    </font>
    <font>
      <b/>
      <sz val="10.5"/>
      <color rgb="FFFFFFFF"/>
      <name val="Calibri"/>
      <family val="2"/>
      <charset val="161"/>
    </font>
    <font>
      <sz val="10.5"/>
      <color rgb="FF000000"/>
      <name val="Calibri"/>
      <family val="2"/>
      <charset val="161"/>
    </font>
    <font>
      <b/>
      <sz val="11"/>
      <color theme="0"/>
      <name val="Roboto"/>
    </font>
    <font>
      <sz val="8"/>
      <color theme="1"/>
      <name val="Roboto"/>
    </font>
    <font>
      <i/>
      <sz val="11"/>
      <color theme="0"/>
      <name val="Calibri"/>
      <family val="2"/>
      <charset val="161"/>
      <scheme val="minor"/>
    </font>
    <font>
      <i/>
      <sz val="11"/>
      <color theme="1"/>
      <name val="Calibri"/>
      <family val="2"/>
      <charset val="161"/>
      <scheme val="minor"/>
    </font>
    <font>
      <sz val="9"/>
      <color rgb="FF111111"/>
      <name val="Roboto"/>
    </font>
    <font>
      <b/>
      <sz val="10"/>
      <color theme="1"/>
      <name val="Roboto"/>
    </font>
    <font>
      <sz val="11"/>
      <color theme="0"/>
      <name val="Roboto"/>
    </font>
    <font>
      <b/>
      <sz val="11"/>
      <color rgb="FF660033"/>
      <name val="Roboto"/>
    </font>
    <font>
      <b/>
      <sz val="12"/>
      <color theme="0"/>
      <name val="Roboto"/>
    </font>
    <font>
      <b/>
      <sz val="13"/>
      <color theme="0"/>
      <name val="Roboto"/>
    </font>
    <font>
      <b/>
      <sz val="11"/>
      <color rgb="FFFFFFFF"/>
      <name val="Calibri"/>
      <family val="2"/>
      <charset val="161"/>
    </font>
    <font>
      <sz val="10.5"/>
      <color rgb="FFFFFFFF"/>
      <name val="Calibri"/>
      <family val="2"/>
      <charset val="161"/>
    </font>
    <font>
      <sz val="9"/>
      <color theme="0"/>
      <name val="Calibri"/>
      <family val="2"/>
      <charset val="161"/>
      <scheme val="minor"/>
    </font>
    <font>
      <sz val="14"/>
      <color rgb="FF660033"/>
      <name val="Roboto"/>
    </font>
    <font>
      <b/>
      <sz val="14"/>
      <color theme="1"/>
      <name val="Roboto"/>
    </font>
    <font>
      <sz val="14"/>
      <color theme="1"/>
      <name val="Calibri"/>
      <family val="2"/>
      <scheme val="minor"/>
    </font>
    <font>
      <b/>
      <sz val="14"/>
      <color rgb="FF660033"/>
      <name val="Roboto"/>
    </font>
    <font>
      <i/>
      <sz val="11"/>
      <color theme="1"/>
      <name val="Calibri"/>
      <family val="2"/>
      <scheme val="minor"/>
    </font>
    <font>
      <i/>
      <sz val="9"/>
      <color theme="1" tint="0.249977111117893"/>
      <name val="Roboto"/>
    </font>
    <font>
      <i/>
      <sz val="8"/>
      <color theme="1" tint="0.249977111117893"/>
      <name val="Roboto"/>
    </font>
    <font>
      <i/>
      <sz val="10"/>
      <color theme="1"/>
      <name val="Calibri"/>
      <family val="2"/>
      <scheme val="minor"/>
    </font>
    <font>
      <i/>
      <sz val="9"/>
      <color theme="1"/>
      <name val="Calibri"/>
      <family val="2"/>
      <charset val="161"/>
      <scheme val="minor"/>
    </font>
    <font>
      <i/>
      <sz val="9"/>
      <color theme="1" tint="0.249977111117893"/>
      <name val="Calibri"/>
      <family val="2"/>
      <charset val="161"/>
      <scheme val="minor"/>
    </font>
    <font>
      <b/>
      <sz val="11"/>
      <color theme="1"/>
      <name val="Roboto"/>
    </font>
    <font>
      <b/>
      <sz val="12"/>
      <color theme="1" tint="4.9989318521683403E-2"/>
      <name val="Roboto"/>
    </font>
    <font>
      <b/>
      <sz val="11"/>
      <color theme="1"/>
      <name val="Calibri"/>
      <family val="2"/>
      <charset val="161"/>
      <scheme val="minor"/>
    </font>
    <font>
      <i/>
      <sz val="10"/>
      <color theme="1" tint="0.249977111117893"/>
      <name val="Calibri"/>
      <family val="2"/>
      <charset val="161"/>
      <scheme val="minor"/>
    </font>
    <font>
      <sz val="13"/>
      <name val="Roboto"/>
    </font>
    <font>
      <b/>
      <sz val="13"/>
      <name val="Roboto"/>
    </font>
    <font>
      <sz val="10"/>
      <color rgb="FFC50DAB"/>
      <name val="Calibri"/>
      <family val="2"/>
      <scheme val="minor"/>
    </font>
    <font>
      <vertAlign val="superscript"/>
      <sz val="9"/>
      <color theme="1" tint="0.249977111117893"/>
      <name val="Roboto"/>
    </font>
    <font>
      <i/>
      <vertAlign val="superscript"/>
      <sz val="10"/>
      <color theme="1"/>
      <name val="Calibri"/>
      <family val="2"/>
      <charset val="161"/>
      <scheme val="minor"/>
    </font>
    <font>
      <i/>
      <sz val="10"/>
      <color theme="1"/>
      <name val="Calibri"/>
      <family val="2"/>
      <charset val="161"/>
      <scheme val="minor"/>
    </font>
    <font>
      <sz val="9"/>
      <color rgb="FF480024"/>
      <name val="Roboto"/>
    </font>
    <font>
      <sz val="11"/>
      <color rgb="FF480024"/>
      <name val="Calibri"/>
      <family val="2"/>
      <scheme val="minor"/>
    </font>
    <font>
      <sz val="10"/>
      <name val="Roboto"/>
    </font>
    <font>
      <b/>
      <sz val="7"/>
      <name val="Roboto"/>
    </font>
    <font>
      <sz val="9"/>
      <color rgb="FF3A3A3A"/>
      <name val="Roboto"/>
    </font>
    <font>
      <sz val="12"/>
      <color theme="1"/>
      <name val="Roboto"/>
    </font>
    <font>
      <b/>
      <sz val="11"/>
      <color theme="1" tint="4.9989318521683403E-2"/>
      <name val="Roboto"/>
    </font>
    <font>
      <b/>
      <sz val="10"/>
      <name val="Roboto"/>
    </font>
    <font>
      <sz val="16"/>
      <color theme="0"/>
      <name val="Roboto"/>
    </font>
    <font>
      <b/>
      <sz val="9"/>
      <name val="Roboto"/>
    </font>
    <font>
      <sz val="10"/>
      <color rgb="FF480024"/>
      <name val="Roboto"/>
    </font>
    <font>
      <sz val="11"/>
      <color rgb="FF480024"/>
      <name val="Roboto"/>
    </font>
    <font>
      <vertAlign val="superscript"/>
      <sz val="8"/>
      <color theme="1"/>
      <name val="Roboto"/>
    </font>
    <font>
      <i/>
      <sz val="8"/>
      <color theme="1"/>
      <name val="Roboto"/>
    </font>
    <font>
      <b/>
      <sz val="8"/>
      <color theme="1" tint="4.9989318521683403E-2"/>
      <name val="Roboto"/>
    </font>
    <font>
      <sz val="11"/>
      <name val="Roboto"/>
    </font>
    <font>
      <b/>
      <sz val="8"/>
      <name val="Roboto"/>
    </font>
    <font>
      <sz val="11"/>
      <color rgb="FFC50DAB"/>
      <name val="Calibri"/>
      <family val="2"/>
      <scheme val="minor"/>
    </font>
    <font>
      <sz val="9"/>
      <color rgb="FFC50DAB"/>
      <name val="Roboto"/>
    </font>
    <font>
      <sz val="11"/>
      <color rgb="FF002060"/>
      <name val="Calibri"/>
      <family val="2"/>
      <scheme val="minor"/>
    </font>
    <font>
      <b/>
      <sz val="9"/>
      <color theme="1" tint="0.249977111117893"/>
      <name val="Roboto"/>
    </font>
    <font>
      <sz val="12"/>
      <color rgb="FF002060"/>
      <name val="Roboto"/>
    </font>
    <font>
      <b/>
      <sz val="12"/>
      <color rgb="FF002060"/>
      <name val="Roboto"/>
    </font>
    <font>
      <sz val="10"/>
      <color theme="1" tint="0.249977111117893"/>
      <name val="Roboto"/>
    </font>
    <font>
      <b/>
      <sz val="11"/>
      <color theme="1" tint="0.249977111117893"/>
      <name val="Roboto"/>
    </font>
    <font>
      <sz val="11"/>
      <color rgb="FF002060"/>
      <name val="Roboto"/>
    </font>
    <font>
      <sz val="14"/>
      <color theme="0"/>
      <name val="Roboto"/>
    </font>
    <font>
      <sz val="11"/>
      <name val="Calibri"/>
      <family val="2"/>
      <scheme val="minor"/>
    </font>
    <font>
      <b/>
      <sz val="12"/>
      <color theme="1"/>
      <name val="Calibri"/>
      <family val="2"/>
      <charset val="161"/>
      <scheme val="minor"/>
    </font>
    <font>
      <b/>
      <sz val="14"/>
      <color rgb="FF990033"/>
      <name val="Roboto"/>
    </font>
    <font>
      <sz val="14"/>
      <color rgb="FF990033"/>
      <name val="Calibri"/>
      <family val="2"/>
      <scheme val="minor"/>
    </font>
    <font>
      <sz val="11"/>
      <color rgb="FF990033"/>
      <name val="Calibri"/>
      <family val="2"/>
      <scheme val="minor"/>
    </font>
    <font>
      <sz val="20"/>
      <name val="Roboto"/>
    </font>
    <font>
      <b/>
      <sz val="20"/>
      <color theme="0"/>
      <name val="Roboto"/>
    </font>
    <font>
      <sz val="12"/>
      <color rgb="FF454545"/>
      <name val="Courier New"/>
      <family val="3"/>
      <charset val="161"/>
    </font>
    <font>
      <b/>
      <sz val="16"/>
      <color rgb="FF002060"/>
      <name val="Roboto"/>
    </font>
    <font>
      <b/>
      <sz val="16"/>
      <color rgb="FF930352"/>
      <name val="Roboto"/>
    </font>
    <font>
      <b/>
      <sz val="16"/>
      <color rgb="FF930352"/>
      <name val="Calibri"/>
      <family val="2"/>
      <scheme val="minor"/>
    </font>
    <font>
      <sz val="9"/>
      <color theme="0" tint="-4.9989318521683403E-2"/>
      <name val="Roboto"/>
    </font>
    <font>
      <vertAlign val="superscript"/>
      <sz val="10"/>
      <color theme="1" tint="0.249977111117893"/>
      <name val="Roboto"/>
    </font>
    <font>
      <b/>
      <sz val="10"/>
      <color theme="1" tint="0.249977111117893"/>
      <name val="Roboto"/>
    </font>
    <font>
      <b/>
      <sz val="9"/>
      <color theme="0" tint="-4.9989318521683403E-2"/>
      <name val="Roboto"/>
    </font>
    <font>
      <sz val="22"/>
      <color theme="0"/>
      <name val="Calibri"/>
      <family val="2"/>
      <scheme val="minor"/>
    </font>
    <font>
      <b/>
      <sz val="10"/>
      <color theme="1"/>
      <name val="Calibri"/>
      <family val="2"/>
      <charset val="161"/>
      <scheme val="minor"/>
    </font>
    <font>
      <b/>
      <sz val="11"/>
      <color theme="0"/>
      <name val="Calibri"/>
      <family val="2"/>
      <scheme val="minor"/>
    </font>
    <font>
      <b/>
      <sz val="16"/>
      <name val="Roboto"/>
    </font>
    <font>
      <sz val="14"/>
      <color rgb="FFFF0000"/>
      <name val="Calibri"/>
      <family val="2"/>
      <scheme val="minor"/>
    </font>
    <font>
      <b/>
      <sz val="11"/>
      <name val="Calibri"/>
      <family val="2"/>
      <charset val="161"/>
      <scheme val="minor"/>
    </font>
    <font>
      <sz val="11"/>
      <name val="Calibri"/>
      <family val="2"/>
      <charset val="161"/>
      <scheme val="minor"/>
    </font>
    <font>
      <sz val="10"/>
      <color rgb="FF002060"/>
      <name val="Roboto"/>
    </font>
    <font>
      <b/>
      <sz val="14"/>
      <color theme="1"/>
      <name val="Calibri"/>
      <family val="2"/>
      <charset val="161"/>
      <scheme val="minor"/>
    </font>
    <font>
      <b/>
      <sz val="14"/>
      <name val="Calibri"/>
      <family val="2"/>
      <charset val="161"/>
      <scheme val="minor"/>
    </font>
    <font>
      <sz val="14"/>
      <name val="Calibri"/>
      <family val="2"/>
      <scheme val="minor"/>
    </font>
    <font>
      <b/>
      <sz val="16"/>
      <color rgb="FFC00000"/>
      <name val="Roboto"/>
    </font>
    <font>
      <sz val="13"/>
      <color theme="0"/>
      <name val="Roboto"/>
    </font>
    <font>
      <sz val="11"/>
      <color rgb="FFFF0000"/>
      <name val="Calibri"/>
      <family val="2"/>
      <scheme val="minor"/>
    </font>
    <font>
      <b/>
      <sz val="11"/>
      <color rgb="FFFF0000"/>
      <name val="Calibri"/>
      <family val="2"/>
      <scheme val="minor"/>
    </font>
    <font>
      <sz val="11"/>
      <color theme="1" tint="0.249977111117893"/>
      <name val="Roboto"/>
    </font>
    <font>
      <sz val="10"/>
      <color rgb="FFFF0000"/>
      <name val="Roboto"/>
    </font>
    <font>
      <b/>
      <sz val="13"/>
      <color rgb="FFFF0000"/>
      <name val="Roboto"/>
    </font>
    <font>
      <b/>
      <sz val="11"/>
      <color rgb="FFFF0000"/>
      <name val="Calibri"/>
      <family val="2"/>
      <charset val="161"/>
    </font>
    <font>
      <sz val="10.5"/>
      <color rgb="FFFF0000"/>
      <name val="Calibri"/>
      <family val="2"/>
      <charset val="161"/>
    </font>
    <font>
      <sz val="9"/>
      <color rgb="FFFF0000"/>
      <name val="Roboto"/>
    </font>
    <font>
      <b/>
      <sz val="10.5"/>
      <color rgb="FFFF0000"/>
      <name val="Calibri"/>
      <family val="2"/>
      <charset val="161"/>
    </font>
    <font>
      <b/>
      <sz val="9"/>
      <color rgb="FFFF0000"/>
      <name val="Roboto"/>
    </font>
    <font>
      <b/>
      <sz val="14"/>
      <color rgb="FFFF0000"/>
      <name val="Roboto"/>
    </font>
  </fonts>
  <fills count="22">
    <fill>
      <patternFill patternType="none"/>
    </fill>
    <fill>
      <patternFill patternType="gray125"/>
    </fill>
    <fill>
      <patternFill patternType="solid">
        <fgColor rgb="FF4D4D4D"/>
        <bgColor indexed="64"/>
      </patternFill>
    </fill>
    <fill>
      <patternFill patternType="solid">
        <fgColor rgb="FF660033"/>
        <bgColor indexed="64"/>
      </patternFill>
    </fill>
    <fill>
      <patternFill patternType="solid">
        <fgColor rgb="FF480024"/>
        <bgColor indexed="64"/>
      </patternFill>
    </fill>
    <fill>
      <patternFill patternType="solid">
        <fgColor rgb="FF7E003F"/>
        <bgColor indexed="64"/>
      </patternFill>
    </fill>
    <fill>
      <patternFill patternType="lightUp">
        <fgColor rgb="FF660033"/>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lightUp">
        <fgColor rgb="FF660033"/>
        <bgColor theme="0"/>
      </patternFill>
    </fill>
    <fill>
      <patternFill patternType="solid">
        <fgColor rgb="FF002060"/>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50DAB"/>
        <bgColor indexed="64"/>
      </patternFill>
    </fill>
    <fill>
      <patternFill patternType="lightUp">
        <fgColor auto="1"/>
      </patternFill>
    </fill>
    <fill>
      <patternFill patternType="solid">
        <fgColor theme="0" tint="-4.9989318521683403E-2"/>
        <bgColor rgb="FF660033"/>
      </patternFill>
    </fill>
    <fill>
      <patternFill patternType="lightUp">
        <bgColor theme="0"/>
      </patternFill>
    </fill>
    <fill>
      <patternFill patternType="solid">
        <fgColor rgb="FFFFFFFF"/>
        <bgColor indexed="64"/>
      </patternFill>
    </fill>
    <fill>
      <patternFill patternType="solid">
        <fgColor theme="1"/>
        <bgColor indexed="64"/>
      </patternFill>
    </fill>
    <fill>
      <patternFill patternType="solid">
        <fgColor rgb="FF930352"/>
        <bgColor indexed="64"/>
      </patternFill>
    </fill>
    <fill>
      <patternFill patternType="solid">
        <fgColor theme="8" tint="0.79998168889431442"/>
        <bgColor indexed="64"/>
      </patternFill>
    </fill>
  </fills>
  <borders count="147">
    <border>
      <left/>
      <right/>
      <top/>
      <bottom/>
      <diagonal/>
    </border>
    <border>
      <left/>
      <right style="medium">
        <color theme="0" tint="-4.9989318521683403E-2"/>
      </right>
      <top/>
      <bottom/>
      <diagonal/>
    </border>
    <border>
      <left style="medium">
        <color theme="0" tint="-4.9989318521683403E-2"/>
      </left>
      <right/>
      <top/>
      <bottom/>
      <diagonal/>
    </border>
    <border>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bottom/>
      <diagonal/>
    </border>
    <border>
      <left/>
      <right/>
      <top style="medium">
        <color auto="1"/>
      </top>
      <bottom/>
      <diagonal/>
    </border>
    <border>
      <left/>
      <right/>
      <top/>
      <bottom style="medium">
        <color auto="1"/>
      </bottom>
      <diagonal/>
    </border>
    <border>
      <left/>
      <right/>
      <top/>
      <bottom style="thin">
        <color theme="0" tint="-0.499984740745262"/>
      </bottom>
      <diagonal/>
    </border>
    <border>
      <left/>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14996795556505021"/>
      </right>
      <top style="medium">
        <color auto="1"/>
      </top>
      <bottom/>
      <diagonal/>
    </border>
    <border>
      <left/>
      <right/>
      <top style="thin">
        <color theme="1" tint="0.499984740745262"/>
      </top>
      <bottom style="thin">
        <color theme="1" tint="0.49998474074526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right/>
      <top style="thin">
        <color theme="1" tint="0.499984740745262"/>
      </top>
      <bottom/>
      <diagonal/>
    </border>
    <border>
      <left/>
      <right/>
      <top style="medium">
        <color theme="1" tint="0.499984740745262"/>
      </top>
      <bottom/>
      <diagonal/>
    </border>
    <border>
      <left style="thin">
        <color theme="0"/>
      </left>
      <right/>
      <top/>
      <bottom/>
      <diagonal/>
    </border>
    <border>
      <left style="thin">
        <color theme="0" tint="-0.14996795556505021"/>
      </left>
      <right style="thin">
        <color theme="0" tint="-0.14996795556505021"/>
      </right>
      <top style="medium">
        <color theme="1"/>
      </top>
      <bottom/>
      <diagonal/>
    </border>
    <border>
      <left style="thin">
        <color theme="0" tint="-0.14996795556505021"/>
      </left>
      <right style="thin">
        <color theme="0" tint="-0.14996795556505021"/>
      </right>
      <top/>
      <bottom style="medium">
        <color theme="1"/>
      </bottom>
      <diagonal/>
    </border>
    <border>
      <left/>
      <right/>
      <top style="medium">
        <color theme="1"/>
      </top>
      <bottom/>
      <diagonal/>
    </border>
    <border>
      <left/>
      <right/>
      <top/>
      <bottom style="medium">
        <color theme="1"/>
      </bottom>
      <diagonal/>
    </border>
    <border>
      <left/>
      <right style="thin">
        <color theme="0"/>
      </right>
      <top/>
      <bottom style="medium">
        <color auto="1"/>
      </bottom>
      <diagonal/>
    </border>
    <border>
      <left/>
      <right style="thin">
        <color theme="0"/>
      </right>
      <top/>
      <bottom/>
      <diagonal/>
    </border>
    <border>
      <left/>
      <right/>
      <top style="thin">
        <color theme="0" tint="-0.499984740745262"/>
      </top>
      <bottom style="medium">
        <color auto="1"/>
      </bottom>
      <diagonal/>
    </border>
    <border>
      <left/>
      <right/>
      <top style="medium">
        <color theme="1" tint="0.499984740745262"/>
      </top>
      <bottom style="thin">
        <color theme="0" tint="-4.9989318521683403E-2"/>
      </bottom>
      <diagonal/>
    </border>
    <border>
      <left/>
      <right/>
      <top/>
      <bottom style="thick">
        <color auto="1"/>
      </bottom>
      <diagonal/>
    </border>
    <border>
      <left/>
      <right/>
      <top style="thin">
        <color theme="1"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right style="thin">
        <color theme="0" tint="-0.14996795556505021"/>
      </right>
      <top style="medium">
        <color theme="1"/>
      </top>
      <bottom style="medium">
        <color theme="1"/>
      </bottom>
      <diagonal/>
    </border>
    <border>
      <left style="thin">
        <color theme="0" tint="-0.14996795556505021"/>
      </left>
      <right style="thin">
        <color theme="0" tint="-0.14996795556505021"/>
      </right>
      <top style="medium">
        <color theme="1"/>
      </top>
      <bottom style="medium">
        <color theme="1"/>
      </bottom>
      <diagonal/>
    </border>
    <border>
      <left/>
      <right/>
      <top style="medium">
        <color auto="1"/>
      </top>
      <bottom style="medium">
        <color auto="1"/>
      </bottom>
      <diagonal/>
    </border>
    <border>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right>
      <top/>
      <bottom/>
      <diagonal/>
    </border>
    <border>
      <left style="thin">
        <color theme="0"/>
      </left>
      <right style="thin">
        <color theme="0" tint="-0.499984740745262"/>
      </right>
      <top/>
      <bottom/>
      <diagonal/>
    </border>
    <border>
      <left style="thin">
        <color theme="0"/>
      </left>
      <right style="thin">
        <color theme="0" tint="-0.499984740745262"/>
      </right>
      <top/>
      <bottom style="thin">
        <color theme="0" tint="-0.499984740745262"/>
      </bottom>
      <diagonal/>
    </border>
    <border>
      <left/>
      <right style="thin">
        <color theme="0" tint="-0.499984740745262"/>
      </right>
      <top style="thin">
        <color theme="0" tint="-0.499984740745262"/>
      </top>
      <bottom style="medium">
        <color auto="1"/>
      </bottom>
      <diagonal/>
    </border>
    <border>
      <left style="medium">
        <color theme="0" tint="-4.9989318521683403E-2"/>
      </left>
      <right style="medium">
        <color theme="0" tint="-4.9989318521683403E-2"/>
      </right>
      <top/>
      <bottom/>
      <diagonal/>
    </border>
    <border>
      <left/>
      <right/>
      <top style="thin">
        <color theme="0" tint="-0.24994659260841701"/>
      </top>
      <bottom style="thin">
        <color theme="0" tint="-0.24994659260841701"/>
      </bottom>
      <diagonal/>
    </border>
    <border>
      <left/>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1" tint="0.499984740745262"/>
      </right>
      <top style="medium">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top style="thin">
        <color theme="0" tint="-0.499984740745262"/>
      </top>
      <bottom style="thin">
        <color theme="1" tint="0.499984740745262"/>
      </bottom>
      <diagonal/>
    </border>
    <border>
      <left/>
      <right/>
      <top style="medium">
        <color auto="1"/>
      </top>
      <bottom style="thin">
        <color theme="0" tint="-0.499984740745262"/>
      </bottom>
      <diagonal/>
    </border>
    <border>
      <left/>
      <right/>
      <top style="thick">
        <color auto="1"/>
      </top>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0" tint="-0.499984740745262"/>
      </left>
      <right style="thin">
        <color theme="0" tint="-0.499984740745262"/>
      </right>
      <top style="thin">
        <color theme="1"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auto="1"/>
      </right>
      <top style="medium">
        <color auto="1"/>
      </top>
      <bottom style="medium">
        <color auto="1"/>
      </bottom>
      <diagonal/>
    </border>
    <border>
      <left/>
      <right/>
      <top/>
      <bottom style="medium">
        <color theme="1"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theme="0" tint="-4.9989318521683403E-2"/>
      </left>
      <right/>
      <top/>
      <bottom style="thin">
        <color auto="1"/>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thin">
        <color auto="1"/>
      </bottom>
      <diagonal/>
    </border>
    <border>
      <left/>
      <right/>
      <top style="thin">
        <color auto="1"/>
      </top>
      <bottom style="thick">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499984740745262"/>
      </top>
      <bottom style="thin">
        <color auto="1"/>
      </bottom>
      <diagonal/>
    </border>
    <border>
      <left/>
      <right style="medium">
        <color theme="0" tint="-4.9989318521683403E-2"/>
      </right>
      <top/>
      <bottom style="thin">
        <color auto="1"/>
      </bottom>
      <diagonal/>
    </border>
    <border>
      <left/>
      <right style="medium">
        <color theme="0" tint="-4.9989318521683403E-2"/>
      </right>
      <top style="thin">
        <color auto="1"/>
      </top>
      <bottom style="thin">
        <color auto="1"/>
      </bottom>
      <diagonal/>
    </border>
    <border>
      <left style="medium">
        <color theme="0" tint="-4.9989318521683403E-2"/>
      </left>
      <right/>
      <top style="thin">
        <color auto="1"/>
      </top>
      <bottom style="thin">
        <color auto="1"/>
      </bottom>
      <diagonal/>
    </border>
    <border>
      <left/>
      <right/>
      <top style="thin">
        <color auto="1"/>
      </top>
      <bottom style="medium">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diagonal/>
    </border>
    <border>
      <left/>
      <right style="thin">
        <color auto="1"/>
      </right>
      <top style="thin">
        <color auto="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right/>
      <top style="thin">
        <color theme="0" tint="-0.2499465926084170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medium">
        <color theme="0" tint="-4.9989318521683403E-2"/>
      </right>
      <top/>
      <bottom style="thin">
        <color theme="0" tint="-0.34998626667073579"/>
      </bottom>
      <diagonal/>
    </border>
    <border>
      <left style="medium">
        <color theme="0" tint="-4.9989318521683403E-2"/>
      </left>
      <right/>
      <top/>
      <bottom style="thin">
        <color theme="0" tint="-0.34998626667073579"/>
      </bottom>
      <diagonal/>
    </border>
    <border>
      <left/>
      <right style="medium">
        <color theme="0" tint="-4.9989318521683403E-2"/>
      </right>
      <top style="thin">
        <color theme="0" tint="-0.34998626667073579"/>
      </top>
      <bottom style="thin">
        <color theme="0" tint="-0.34998626667073579"/>
      </bottom>
      <diagonal/>
    </border>
    <border>
      <left style="medium">
        <color theme="0" tint="-4.9989318521683403E-2"/>
      </left>
      <right/>
      <top style="thin">
        <color theme="0" tint="-0.34998626667073579"/>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medium">
        <color theme="1"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medium">
        <color theme="1" tint="0.499984740745262"/>
      </top>
      <bottom/>
      <diagonal/>
    </border>
    <border>
      <left style="thin">
        <color theme="0"/>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top style="medium">
        <color theme="1" tint="0.499984740745262"/>
      </top>
      <bottom/>
      <diagonal/>
    </border>
    <border>
      <left/>
      <right style="thin">
        <color theme="0"/>
      </right>
      <top/>
      <bottom style="thin">
        <color theme="0" tint="-0.499984740745262"/>
      </bottom>
      <diagonal/>
    </border>
    <border>
      <left/>
      <right/>
      <top style="medium">
        <color auto="1"/>
      </top>
      <bottom style="thin">
        <color theme="1" tint="0.499984740745262"/>
      </bottom>
      <diagonal/>
    </border>
    <border>
      <left style="thin">
        <color theme="0"/>
      </left>
      <right style="thin">
        <color theme="0"/>
      </right>
      <top/>
      <bottom style="medium">
        <color auto="1"/>
      </bottom>
      <diagonal/>
    </border>
    <border>
      <left style="thin">
        <color theme="0"/>
      </left>
      <right style="thin">
        <color theme="0"/>
      </right>
      <top/>
      <bottom style="thin">
        <color theme="1" tint="0.499984740745262"/>
      </bottom>
      <diagonal/>
    </border>
    <border>
      <left/>
      <right style="thin">
        <color theme="0" tint="-0.499984740745262"/>
      </right>
      <top style="medium">
        <color auto="1"/>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bottom style="medium">
        <color auto="1"/>
      </bottom>
      <diagonal/>
    </border>
    <border>
      <left/>
      <right style="thin">
        <color theme="0" tint="-0.499984740745262"/>
      </right>
      <top style="thin">
        <color theme="1" tint="0.499984740745262"/>
      </top>
      <bottom style="medium">
        <color auto="1"/>
      </bottom>
      <diagonal/>
    </border>
    <border>
      <left/>
      <right style="thin">
        <color theme="0" tint="-0.14996795556505021"/>
      </right>
      <top style="medium">
        <color auto="1"/>
      </top>
      <bottom/>
      <diagonal/>
    </border>
  </borders>
  <cellStyleXfs count="1">
    <xf numFmtId="0" fontId="0" fillId="0" borderId="0"/>
  </cellStyleXfs>
  <cellXfs count="1047">
    <xf numFmtId="0" fontId="0" fillId="0" borderId="0" xfId="0"/>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xf>
    <xf numFmtId="0" fontId="0" fillId="8" borderId="0" xfId="0" applyFill="1"/>
    <xf numFmtId="0" fontId="2" fillId="8" borderId="0" xfId="0" applyFont="1" applyFill="1" applyAlignment="1">
      <alignment horizontal="center"/>
    </xf>
    <xf numFmtId="49" fontId="17" fillId="8" borderId="0" xfId="0" applyNumberFormat="1" applyFont="1" applyFill="1" applyAlignment="1">
      <alignment horizontal="center" vertical="top"/>
    </xf>
    <xf numFmtId="0" fontId="13" fillId="0" borderId="0" xfId="0" applyFont="1" applyAlignment="1">
      <alignment vertical="center"/>
    </xf>
    <xf numFmtId="49" fontId="17" fillId="8" borderId="0" xfId="0" applyNumberFormat="1" applyFont="1" applyFill="1" applyAlignment="1">
      <alignment vertical="center"/>
    </xf>
    <xf numFmtId="0" fontId="0" fillId="11" borderId="0" xfId="0" applyFill="1"/>
    <xf numFmtId="0" fontId="3" fillId="8" borderId="0" xfId="0" applyFont="1" applyFill="1"/>
    <xf numFmtId="49" fontId="17" fillId="8" borderId="0" xfId="0" applyNumberFormat="1" applyFont="1" applyFill="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0" fillId="8" borderId="0" xfId="0" applyFill="1" applyAlignment="1">
      <alignment horizontal="center" vertical="center"/>
    </xf>
    <xf numFmtId="2" fontId="19" fillId="3" borderId="0" xfId="0" applyNumberFormat="1" applyFont="1" applyFill="1" applyAlignment="1">
      <alignment horizontal="center" vertical="center"/>
    </xf>
    <xf numFmtId="0" fontId="13" fillId="0" borderId="0" xfId="0" applyFont="1" applyAlignment="1">
      <alignment vertical="center" wrapText="1"/>
    </xf>
    <xf numFmtId="0" fontId="29" fillId="8" borderId="0" xfId="0" applyFont="1" applyFill="1"/>
    <xf numFmtId="0" fontId="13" fillId="0" borderId="0" xfId="0" applyFont="1" applyAlignment="1">
      <alignment vertical="top" wrapText="1"/>
    </xf>
    <xf numFmtId="0" fontId="20" fillId="0" borderId="0" xfId="0" applyFont="1" applyAlignment="1">
      <alignment vertical="top" wrapText="1"/>
    </xf>
    <xf numFmtId="0" fontId="31" fillId="0" borderId="0" xfId="0" applyFont="1" applyAlignment="1">
      <alignment vertical="center"/>
    </xf>
    <xf numFmtId="0" fontId="13" fillId="0" borderId="0" xfId="0" applyFont="1" applyAlignment="1">
      <alignment vertical="top"/>
    </xf>
    <xf numFmtId="0" fontId="82"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vertical="top"/>
    </xf>
    <xf numFmtId="0" fontId="16" fillId="8" borderId="0" xfId="0" applyFont="1" applyFill="1" applyAlignment="1">
      <alignment horizontal="left" vertical="top" wrapText="1" indent="1"/>
    </xf>
    <xf numFmtId="0" fontId="0" fillId="8" borderId="0" xfId="0" applyFill="1" applyProtection="1">
      <protection locked="0"/>
    </xf>
    <xf numFmtId="0" fontId="2" fillId="8" borderId="0" xfId="0" applyFont="1" applyFill="1" applyAlignment="1" applyProtection="1">
      <alignment wrapText="1"/>
      <protection locked="0"/>
    </xf>
    <xf numFmtId="0" fontId="2" fillId="8" borderId="0" xfId="0" applyFont="1" applyFill="1" applyAlignment="1" applyProtection="1">
      <alignment horizontal="center"/>
      <protection locked="0"/>
    </xf>
    <xf numFmtId="0" fontId="32" fillId="8" borderId="7" xfId="0" applyFont="1" applyFill="1" applyBorder="1" applyProtection="1">
      <protection locked="0"/>
    </xf>
    <xf numFmtId="0" fontId="0" fillId="8" borderId="7" xfId="0" applyFill="1" applyBorder="1" applyProtection="1">
      <protection locked="0"/>
    </xf>
    <xf numFmtId="0" fontId="32" fillId="8" borderId="6" xfId="0" applyFont="1" applyFill="1" applyBorder="1" applyProtection="1">
      <protection locked="0"/>
    </xf>
    <xf numFmtId="0" fontId="32" fillId="8" borderId="0" xfId="0" applyFont="1" applyFill="1" applyProtection="1">
      <protection locked="0"/>
    </xf>
    <xf numFmtId="0" fontId="34" fillId="8" borderId="0" xfId="0" applyFont="1" applyFill="1" applyAlignment="1" applyProtection="1">
      <alignment horizontal="left" wrapText="1" indent="1"/>
      <protection locked="0"/>
    </xf>
    <xf numFmtId="0" fontId="3" fillId="8" borderId="0" xfId="0" applyFont="1" applyFill="1" applyProtection="1">
      <protection locked="0"/>
    </xf>
    <xf numFmtId="0" fontId="4" fillId="8" borderId="0" xfId="0" applyFont="1" applyFill="1" applyAlignment="1" applyProtection="1">
      <alignment horizontal="left" wrapText="1" indent="1"/>
      <protection locked="0"/>
    </xf>
    <xf numFmtId="0" fontId="78" fillId="8" borderId="0" xfId="0" applyFont="1" applyFill="1" applyAlignment="1" applyProtection="1">
      <alignment horizontal="left" wrapText="1"/>
      <protection locked="0"/>
    </xf>
    <xf numFmtId="0" fontId="12" fillId="8" borderId="0" xfId="0" applyFont="1" applyFill="1" applyAlignment="1" applyProtection="1">
      <alignment horizontal="left" wrapText="1"/>
      <protection locked="0"/>
    </xf>
    <xf numFmtId="0" fontId="48" fillId="11" borderId="0" xfId="0" applyFont="1" applyFill="1" applyAlignment="1" applyProtection="1">
      <alignment vertical="center" wrapText="1"/>
      <protection locked="0"/>
    </xf>
    <xf numFmtId="0" fontId="45" fillId="9" borderId="0" xfId="0" applyFont="1" applyFill="1" applyAlignment="1" applyProtection="1">
      <alignment horizontal="center" wrapText="1"/>
      <protection locked="0"/>
    </xf>
    <xf numFmtId="0" fontId="94" fillId="8" borderId="0" xfId="0" applyFont="1" applyFill="1" applyAlignment="1" applyProtection="1">
      <alignment horizontal="left" vertical="center" wrapText="1"/>
      <protection locked="0"/>
    </xf>
    <xf numFmtId="0" fontId="48" fillId="8"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vertical="top"/>
      <protection locked="0"/>
    </xf>
    <xf numFmtId="0" fontId="11" fillId="8" borderId="0" xfId="0" applyFont="1" applyFill="1" applyProtection="1">
      <protection locked="0"/>
    </xf>
    <xf numFmtId="0" fontId="4" fillId="8" borderId="0" xfId="0" applyFont="1" applyFill="1" applyAlignment="1" applyProtection="1">
      <alignment horizontal="left" vertical="top" wrapText="1"/>
      <protection locked="0"/>
    </xf>
    <xf numFmtId="0" fontId="4" fillId="8" borderId="0" xfId="0" applyFont="1" applyFill="1" applyAlignment="1" applyProtection="1">
      <alignment horizontal="left" vertical="top" wrapText="1" indent="1"/>
      <protection locked="0"/>
    </xf>
    <xf numFmtId="0" fontId="0" fillId="8" borderId="0" xfId="0" applyFill="1" applyAlignment="1" applyProtection="1">
      <alignment horizontal="left" vertical="top" indent="1"/>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15" fillId="8" borderId="0" xfId="0" applyFont="1" applyFill="1" applyAlignment="1" applyProtection="1">
      <alignment horizontal="right"/>
      <protection locked="0"/>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protection locked="0"/>
    </xf>
    <xf numFmtId="0" fontId="15" fillId="8" borderId="0" xfId="0"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66" fillId="0" borderId="0" xfId="0" applyFont="1" applyAlignment="1" applyProtection="1">
      <alignment wrapText="1"/>
      <protection locked="0"/>
    </xf>
    <xf numFmtId="0" fontId="66" fillId="8" borderId="0" xfId="0" applyFont="1" applyFill="1" applyAlignment="1" applyProtection="1">
      <alignment wrapText="1"/>
      <protection locked="0"/>
    </xf>
    <xf numFmtId="0" fontId="15"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6" fillId="8" borderId="0" xfId="0" applyFont="1" applyFill="1" applyAlignment="1" applyProtection="1">
      <alignment horizontal="left" vertical="center" wrapText="1"/>
      <protection locked="0"/>
    </xf>
    <xf numFmtId="0" fontId="8" fillId="8" borderId="0" xfId="0" applyFont="1" applyFill="1" applyAlignment="1" applyProtection="1">
      <alignment vertical="center"/>
      <protection locked="0"/>
    </xf>
    <xf numFmtId="0" fontId="6" fillId="8" borderId="0" xfId="0" applyFont="1" applyFill="1" applyAlignment="1" applyProtection="1">
      <alignment vertical="center" wrapText="1"/>
      <protection locked="0"/>
    </xf>
    <xf numFmtId="0" fontId="12" fillId="8" borderId="0" xfId="0" applyFont="1" applyFill="1" applyAlignment="1" applyProtection="1">
      <alignment horizontal="left" vertical="top" wrapText="1" indent="1"/>
      <protection locked="0"/>
    </xf>
    <xf numFmtId="0" fontId="12" fillId="8" borderId="0" xfId="0" applyFont="1" applyFill="1" applyAlignment="1" applyProtection="1">
      <alignment vertical="top" wrapText="1"/>
      <protection locked="0"/>
    </xf>
    <xf numFmtId="0" fontId="12" fillId="0" borderId="0" xfId="0" applyFont="1" applyAlignment="1" applyProtection="1">
      <alignment vertical="top" wrapText="1"/>
      <protection locked="0"/>
    </xf>
    <xf numFmtId="0" fontId="15" fillId="0" borderId="0" xfId="0" applyFont="1" applyAlignment="1" applyProtection="1">
      <alignment horizontal="center" vertical="center"/>
      <protection locked="0"/>
    </xf>
    <xf numFmtId="0" fontId="26" fillId="8" borderId="0" xfId="0" applyFont="1" applyFill="1" applyAlignment="1" applyProtection="1">
      <alignment vertical="top" wrapText="1"/>
      <protection locked="0"/>
    </xf>
    <xf numFmtId="0" fontId="64" fillId="8" borderId="0" xfId="0" applyFont="1" applyFill="1" applyAlignment="1" applyProtection="1">
      <alignment vertical="center"/>
      <protection locked="0"/>
    </xf>
    <xf numFmtId="0" fontId="0" fillId="0" borderId="0" xfId="0" applyProtection="1">
      <protection locked="0"/>
    </xf>
    <xf numFmtId="49" fontId="17" fillId="8" borderId="0" xfId="0" applyNumberFormat="1" applyFont="1" applyFill="1" applyAlignment="1" applyProtection="1">
      <alignment horizontal="center" vertical="top"/>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wrapText="1"/>
      <protection locked="0"/>
    </xf>
    <xf numFmtId="0" fontId="15" fillId="8" borderId="0" xfId="0" applyFont="1" applyFill="1" applyAlignment="1" applyProtection="1">
      <alignment vertical="center" wrapText="1"/>
      <protection locked="0"/>
    </xf>
    <xf numFmtId="0" fontId="0" fillId="8" borderId="0" xfId="0" applyFill="1" applyAlignment="1" applyProtection="1">
      <alignment wrapText="1"/>
      <protection locked="0"/>
    </xf>
    <xf numFmtId="0" fontId="6"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2" fontId="19" fillId="3" borderId="0" xfId="0" applyNumberFormat="1" applyFont="1" applyFill="1" applyAlignment="1">
      <alignment horizontal="center"/>
    </xf>
    <xf numFmtId="0" fontId="15" fillId="18" borderId="0" xfId="0" applyFont="1" applyFill="1" applyAlignment="1">
      <alignment horizontal="center" vertical="center"/>
    </xf>
    <xf numFmtId="0" fontId="10" fillId="3" borderId="2" xfId="0" applyFont="1" applyFill="1" applyBorder="1" applyAlignment="1">
      <alignment vertical="center"/>
    </xf>
    <xf numFmtId="0" fontId="48" fillId="3" borderId="0" xfId="0" applyFont="1" applyFill="1" applyAlignment="1">
      <alignment horizontal="center" vertical="center"/>
    </xf>
    <xf numFmtId="0" fontId="45" fillId="8" borderId="0" xfId="0" applyFont="1" applyFill="1" applyAlignment="1" applyProtection="1">
      <alignment horizontal="center" wrapText="1"/>
      <protection locked="0"/>
    </xf>
    <xf numFmtId="0" fontId="53" fillId="8" borderId="0" xfId="0" applyFont="1" applyFill="1" applyProtection="1">
      <protection locked="0"/>
    </xf>
    <xf numFmtId="0" fontId="54" fillId="8" borderId="0" xfId="0" applyFont="1" applyFill="1" applyProtection="1">
      <protection locked="0"/>
    </xf>
    <xf numFmtId="0" fontId="55" fillId="8" borderId="0" xfId="0" applyFont="1" applyFill="1" applyProtection="1">
      <protection locked="0"/>
    </xf>
    <xf numFmtId="0" fontId="35"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horizontal="left" vertical="top"/>
      <protection locked="0"/>
    </xf>
    <xf numFmtId="0" fontId="29" fillId="8" borderId="0" xfId="0" applyFont="1" applyFill="1" applyAlignment="1" applyProtection="1">
      <alignment horizontal="left" wrapText="1" indent="1"/>
      <protection locked="0"/>
    </xf>
    <xf numFmtId="0" fontId="6" fillId="8" borderId="66" xfId="0" applyFont="1" applyFill="1" applyBorder="1" applyAlignment="1" applyProtection="1">
      <alignment horizontal="center" vertical="center" wrapText="1"/>
      <protection locked="0"/>
    </xf>
    <xf numFmtId="0" fontId="61" fillId="8" borderId="0" xfId="0" applyFont="1" applyFill="1" applyProtection="1">
      <protection locked="0"/>
    </xf>
    <xf numFmtId="0" fontId="57" fillId="8" borderId="0" xfId="0" applyFont="1" applyFill="1" applyProtection="1">
      <protection locked="0"/>
    </xf>
    <xf numFmtId="0" fontId="58" fillId="8" borderId="0" xfId="0" applyFont="1" applyFill="1" applyAlignment="1" applyProtection="1">
      <alignment horizontal="left" vertical="top" wrapText="1" indent="1"/>
      <protection locked="0"/>
    </xf>
    <xf numFmtId="0" fontId="59" fillId="8" borderId="0" xfId="0" applyFont="1" applyFill="1" applyAlignment="1" applyProtection="1">
      <alignment horizontal="left" vertical="top" wrapText="1"/>
      <protection locked="0"/>
    </xf>
    <xf numFmtId="0" fontId="18" fillId="8" borderId="0" xfId="0" applyFont="1" applyFill="1" applyAlignment="1" applyProtection="1">
      <alignment vertical="center"/>
      <protection locked="0"/>
    </xf>
    <xf numFmtId="0" fontId="12" fillId="8" borderId="0" xfId="0" applyFont="1" applyFill="1" applyAlignment="1" applyProtection="1">
      <alignment horizontal="center" vertical="center"/>
      <protection locked="0"/>
    </xf>
    <xf numFmtId="0" fontId="18" fillId="8" borderId="0" xfId="0" applyFont="1" applyFill="1" applyAlignment="1" applyProtection="1">
      <alignment horizontal="right" vertical="center"/>
      <protection locked="0"/>
    </xf>
    <xf numFmtId="0" fontId="48" fillId="8" borderId="0" xfId="0" applyFont="1" applyFill="1" applyAlignment="1" applyProtection="1">
      <alignment horizontal="center" vertical="center"/>
      <protection locked="0"/>
    </xf>
    <xf numFmtId="0" fontId="25" fillId="8" borderId="0" xfId="0" applyFont="1" applyFill="1" applyAlignment="1" applyProtection="1">
      <alignment vertical="center"/>
      <protection locked="0"/>
    </xf>
    <xf numFmtId="0" fontId="4"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protection locked="0"/>
    </xf>
    <xf numFmtId="0" fontId="13" fillId="8" borderId="0" xfId="0" applyFont="1" applyFill="1" applyAlignment="1" applyProtection="1">
      <alignment horizontal="left" vertical="top" wrapText="1" indent="1"/>
      <protection locked="0"/>
    </xf>
    <xf numFmtId="0" fontId="16" fillId="8" borderId="0" xfId="0" applyFont="1" applyFill="1" applyAlignment="1" applyProtection="1">
      <alignment vertical="top" wrapText="1"/>
      <protection locked="0"/>
    </xf>
    <xf numFmtId="0" fontId="0" fillId="8" borderId="0" xfId="0" applyFill="1" applyAlignment="1" applyProtection="1">
      <alignment horizontal="center" vertical="center"/>
      <protection locked="0"/>
    </xf>
    <xf numFmtId="49" fontId="17" fillId="8" borderId="0" xfId="0" applyNumberFormat="1" applyFont="1" applyFill="1" applyAlignment="1">
      <alignment horizontal="left" vertical="top"/>
    </xf>
    <xf numFmtId="0" fontId="10" fillId="8" borderId="0" xfId="0" applyFont="1" applyFill="1" applyAlignment="1">
      <alignment horizontal="center" vertical="center"/>
    </xf>
    <xf numFmtId="0" fontId="10" fillId="8" borderId="0" xfId="0" applyFont="1" applyFill="1" applyAlignment="1">
      <alignment vertical="center"/>
    </xf>
    <xf numFmtId="0" fontId="6" fillId="8" borderId="0" xfId="0" applyFont="1" applyFill="1" applyAlignment="1">
      <alignment horizontal="center" vertical="center"/>
    </xf>
    <xf numFmtId="0" fontId="10" fillId="8" borderId="66" xfId="0" applyFont="1" applyFill="1" applyBorder="1" applyAlignment="1">
      <alignment vertical="center"/>
    </xf>
    <xf numFmtId="0" fontId="7" fillId="8" borderId="66" xfId="0" applyFont="1" applyFill="1" applyBorder="1" applyAlignment="1">
      <alignment horizontal="center" vertical="center"/>
    </xf>
    <xf numFmtId="0" fontId="7" fillId="8" borderId="66" xfId="0"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96" fillId="8" borderId="0" xfId="0" applyFont="1" applyFill="1" applyAlignment="1">
      <alignment horizontal="left" vertical="top" wrapText="1" indent="1"/>
    </xf>
    <xf numFmtId="0" fontId="14" fillId="8" borderId="0" xfId="0" applyFont="1" applyFill="1" applyAlignment="1">
      <alignment horizontal="left" vertical="top" wrapText="1"/>
    </xf>
    <xf numFmtId="0" fontId="65" fillId="0" borderId="0" xfId="0" applyFont="1" applyAlignment="1" applyProtection="1">
      <alignment vertical="center"/>
      <protection locked="0"/>
    </xf>
    <xf numFmtId="0" fontId="26" fillId="8" borderId="0" xfId="0" applyFont="1" applyFill="1" applyAlignment="1" applyProtection="1">
      <alignment horizontal="left" vertical="center" wrapText="1" indent="1"/>
      <protection locked="0"/>
    </xf>
    <xf numFmtId="0" fontId="79" fillId="8" borderId="0" xfId="0" applyFont="1" applyFill="1" applyAlignment="1" applyProtection="1">
      <alignment horizontal="right" vertical="center"/>
      <protection locked="0"/>
    </xf>
    <xf numFmtId="0" fontId="94" fillId="8" borderId="0" xfId="0" applyFont="1" applyFill="1" applyAlignment="1" applyProtection="1">
      <alignment horizontal="left" wrapText="1"/>
      <protection locked="0"/>
    </xf>
    <xf numFmtId="0" fontId="78" fillId="8" borderId="0" xfId="0" applyFont="1" applyFill="1" applyAlignment="1" applyProtection="1">
      <alignment vertical="center"/>
      <protection locked="0"/>
    </xf>
    <xf numFmtId="0" fontId="16" fillId="8" borderId="0" xfId="0" applyFont="1" applyFill="1" applyAlignment="1" applyProtection="1">
      <alignment horizontal="left" vertical="top" wrapText="1"/>
      <protection locked="0"/>
    </xf>
    <xf numFmtId="0" fontId="78" fillId="8" borderId="0" xfId="0" applyFont="1" applyFill="1" applyAlignment="1" applyProtection="1">
      <alignment horizontal="left" vertical="center" wrapText="1"/>
      <protection locked="0"/>
    </xf>
    <xf numFmtId="0" fontId="14" fillId="8" borderId="0" xfId="0" applyFont="1" applyFill="1" applyAlignment="1" applyProtection="1">
      <alignment vertical="top" wrapText="1"/>
      <protection locked="0"/>
    </xf>
    <xf numFmtId="0" fontId="7" fillId="8" borderId="0" xfId="0" applyFont="1" applyFill="1" applyAlignment="1" applyProtection="1">
      <alignment vertical="center"/>
      <protection locked="0"/>
    </xf>
    <xf numFmtId="49" fontId="17" fillId="8" borderId="0" xfId="0" applyNumberFormat="1" applyFont="1" applyFill="1" applyAlignment="1" applyProtection="1">
      <alignment vertical="center"/>
      <protection locked="0"/>
    </xf>
    <xf numFmtId="0" fontId="62" fillId="8" borderId="0" xfId="0" applyFont="1" applyFill="1" applyAlignment="1" applyProtection="1">
      <alignment wrapText="1"/>
      <protection locked="0"/>
    </xf>
    <xf numFmtId="0" fontId="16" fillId="8" borderId="0" xfId="0" applyFont="1" applyFill="1" applyAlignment="1">
      <alignment horizontal="left" vertical="top" wrapText="1"/>
    </xf>
    <xf numFmtId="0" fontId="25" fillId="8" borderId="0" xfId="0" applyFont="1" applyFill="1" applyAlignment="1">
      <alignment vertical="center"/>
    </xf>
    <xf numFmtId="0" fontId="53" fillId="8" borderId="0" xfId="0" applyFont="1" applyFill="1" applyAlignment="1" applyProtection="1">
      <alignment horizontal="left"/>
      <protection locked="0"/>
    </xf>
    <xf numFmtId="0" fontId="0" fillId="8" borderId="0" xfId="0" applyFill="1" applyAlignment="1" applyProtection="1">
      <alignment vertical="center"/>
      <protection locked="0"/>
    </xf>
    <xf numFmtId="0" fontId="27" fillId="8" borderId="7" xfId="0" applyFont="1" applyFill="1" applyBorder="1" applyAlignment="1" applyProtection="1">
      <alignment vertical="center"/>
      <protection locked="0"/>
    </xf>
    <xf numFmtId="0" fontId="23" fillId="8" borderId="7" xfId="0" applyFont="1" applyFill="1" applyBorder="1" applyProtection="1">
      <protection locked="0"/>
    </xf>
    <xf numFmtId="0" fontId="22" fillId="8" borderId="0" xfId="0" applyFont="1" applyFill="1" applyProtection="1">
      <protection locked="0"/>
    </xf>
    <xf numFmtId="0" fontId="2" fillId="8" borderId="0" xfId="0" applyFont="1" applyFill="1" applyAlignment="1" applyProtection="1">
      <alignment horizontal="left" wrapText="1" indent="1"/>
      <protection locked="0"/>
    </xf>
    <xf numFmtId="0" fontId="0" fillId="8" borderId="0" xfId="0" applyFill="1" applyAlignment="1" applyProtection="1">
      <alignment horizontal="left"/>
      <protection locked="0"/>
    </xf>
    <xf numFmtId="0" fontId="81" fillId="11" borderId="0" xfId="0" applyFont="1" applyFill="1" applyAlignment="1" applyProtection="1">
      <alignment horizontal="center" vertical="center"/>
      <protection locked="0"/>
    </xf>
    <xf numFmtId="0" fontId="15" fillId="8" borderId="0" xfId="0" applyFont="1" applyFill="1" applyAlignment="1" applyProtection="1">
      <alignment wrapText="1"/>
      <protection locked="0"/>
    </xf>
    <xf numFmtId="0" fontId="25" fillId="19" borderId="0" xfId="0" applyFont="1" applyFill="1" applyAlignment="1" applyProtection="1">
      <alignment horizontal="left" vertical="center"/>
      <protection locked="0"/>
    </xf>
    <xf numFmtId="0" fontId="10" fillId="19"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8" borderId="0" xfId="0" applyFont="1" applyFill="1" applyAlignment="1" applyProtection="1">
      <alignment horizontal="left" vertical="center"/>
      <protection locked="0"/>
    </xf>
    <xf numFmtId="0" fontId="4" fillId="8" borderId="0" xfId="0" applyFont="1" applyFill="1" applyAlignment="1" applyProtection="1">
      <alignment vertical="center" wrapText="1"/>
      <protection locked="0"/>
    </xf>
    <xf numFmtId="0" fontId="5" fillId="8" borderId="0" xfId="0" applyFont="1" applyFill="1" applyAlignment="1" applyProtection="1">
      <alignment horizontal="left" vertical="top" wrapText="1"/>
      <protection locked="0"/>
    </xf>
    <xf numFmtId="0" fontId="4" fillId="8" borderId="0" xfId="0" applyFont="1" applyFill="1" applyAlignment="1" applyProtection="1">
      <alignment vertical="top" wrapText="1"/>
      <protection locked="0"/>
    </xf>
    <xf numFmtId="0" fontId="19" fillId="8" borderId="0" xfId="0" applyFont="1" applyFill="1" applyAlignment="1" applyProtection="1">
      <alignment horizontal="left" vertical="top" wrapText="1"/>
      <protection locked="0"/>
    </xf>
    <xf numFmtId="0" fontId="111" fillId="2" borderId="4"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5"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wrapText="1"/>
      <protection locked="0"/>
    </xf>
    <xf numFmtId="0" fontId="84" fillId="0" borderId="42" xfId="0" applyFont="1" applyBorder="1" applyAlignment="1" applyProtection="1">
      <alignment horizontal="center" vertical="center" wrapText="1"/>
      <protection locked="0"/>
    </xf>
    <xf numFmtId="0" fontId="84" fillId="0" borderId="4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84" fillId="8" borderId="41" xfId="0" applyFont="1" applyFill="1" applyBorder="1" applyAlignment="1" applyProtection="1">
      <alignment horizontal="center" vertical="center" wrapText="1"/>
      <protection locked="0"/>
    </xf>
    <xf numFmtId="0" fontId="16" fillId="8" borderId="0" xfId="0" applyFont="1" applyFill="1" applyAlignment="1" applyProtection="1">
      <alignment vertical="center" wrapText="1"/>
      <protection locked="0"/>
    </xf>
    <xf numFmtId="0" fontId="15" fillId="10" borderId="41" xfId="0" applyFont="1" applyFill="1" applyBorder="1" applyAlignment="1" applyProtection="1">
      <alignment horizontal="center"/>
      <protection locked="0"/>
    </xf>
    <xf numFmtId="0" fontId="15" fillId="8" borderId="3" xfId="0" applyFont="1" applyFill="1" applyBorder="1" applyAlignment="1" applyProtection="1">
      <alignment horizontal="center" vertical="center"/>
      <protection locked="0"/>
    </xf>
    <xf numFmtId="0" fontId="16" fillId="8" borderId="0" xfId="0" applyFont="1" applyFill="1" applyAlignment="1" applyProtection="1">
      <alignment vertical="center"/>
      <protection locked="0"/>
    </xf>
    <xf numFmtId="0" fontId="7" fillId="8" borderId="0" xfId="0" applyFont="1" applyFill="1" applyAlignment="1" applyProtection="1">
      <alignment vertical="center" wrapText="1"/>
      <protection locked="0"/>
    </xf>
    <xf numFmtId="0" fontId="87" fillId="8" borderId="0" xfId="0" applyFont="1" applyFill="1" applyAlignment="1" applyProtection="1">
      <alignment vertical="center"/>
      <protection locked="0"/>
    </xf>
    <xf numFmtId="0" fontId="15" fillId="10" borderId="41" xfId="0" applyFont="1" applyFill="1" applyBorder="1" applyAlignment="1" applyProtection="1">
      <alignment vertical="center"/>
      <protection locked="0"/>
    </xf>
    <xf numFmtId="0" fontId="15" fillId="0" borderId="43" xfId="0" applyFont="1" applyBorder="1" applyAlignment="1" applyProtection="1">
      <alignment horizontal="center" vertical="center"/>
      <protection locked="0"/>
    </xf>
    <xf numFmtId="0" fontId="84" fillId="8" borderId="44" xfId="0" applyFont="1" applyFill="1" applyBorder="1" applyAlignment="1" applyProtection="1">
      <alignment horizontal="center" vertical="center" wrapText="1"/>
      <protection locked="0"/>
    </xf>
    <xf numFmtId="0" fontId="15" fillId="8" borderId="41" xfId="0" applyFont="1" applyFill="1" applyBorder="1" applyAlignment="1" applyProtection="1">
      <alignment horizontal="center" vertical="center"/>
      <protection locked="0"/>
    </xf>
    <xf numFmtId="0" fontId="29" fillId="8" borderId="0" xfId="0" applyFont="1" applyFill="1" applyAlignment="1" applyProtection="1">
      <alignment horizontal="left"/>
      <protection locked="0"/>
    </xf>
    <xf numFmtId="0" fontId="41" fillId="8" borderId="0" xfId="0" applyFont="1" applyFill="1" applyProtection="1">
      <protection locked="0"/>
    </xf>
    <xf numFmtId="0" fontId="86" fillId="8" borderId="0" xfId="0" applyFont="1" applyFill="1" applyProtection="1">
      <protection locked="0"/>
    </xf>
    <xf numFmtId="0" fontId="0" fillId="8" borderId="9" xfId="0" applyFill="1" applyBorder="1" applyProtection="1">
      <protection locked="0"/>
    </xf>
    <xf numFmtId="0" fontId="12" fillId="0" borderId="39" xfId="0" applyFont="1" applyBorder="1" applyAlignment="1">
      <alignment horizontal="center" vertical="center"/>
    </xf>
    <xf numFmtId="0" fontId="10" fillId="8" borderId="0" xfId="0" applyFont="1" applyFill="1" applyAlignment="1">
      <alignment horizontal="left"/>
    </xf>
    <xf numFmtId="0" fontId="26" fillId="4" borderId="5" xfId="0" applyFont="1" applyFill="1" applyBorder="1" applyAlignment="1">
      <alignment vertical="top" wrapText="1"/>
    </xf>
    <xf numFmtId="0" fontId="26" fillId="4" borderId="50" xfId="0" applyFont="1" applyFill="1" applyBorder="1" applyAlignment="1">
      <alignment horizontal="left" vertical="top" wrapText="1"/>
    </xf>
    <xf numFmtId="0" fontId="19" fillId="4" borderId="45" xfId="0" applyFont="1" applyFill="1" applyBorder="1" applyAlignment="1">
      <alignment horizontal="left" vertical="top" wrapText="1"/>
    </xf>
    <xf numFmtId="0" fontId="19" fillId="4" borderId="4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6" fillId="5" borderId="5" xfId="0" applyFont="1" applyFill="1" applyBorder="1" applyAlignment="1" applyProtection="1">
      <alignment vertical="top" wrapText="1"/>
      <protection locked="0"/>
    </xf>
    <xf numFmtId="0" fontId="5" fillId="5" borderId="43" xfId="0" applyFont="1" applyFill="1" applyBorder="1" applyAlignment="1" applyProtection="1">
      <alignment horizontal="left" vertical="top" wrapText="1"/>
      <protection locked="0"/>
    </xf>
    <xf numFmtId="0" fontId="0" fillId="8" borderId="8" xfId="0" applyFill="1" applyBorder="1" applyProtection="1">
      <protection locked="0"/>
    </xf>
    <xf numFmtId="0" fontId="0" fillId="0" borderId="0" xfId="0" applyAlignment="1">
      <alignment horizontal="left"/>
    </xf>
    <xf numFmtId="0" fontId="41" fillId="8" borderId="0" xfId="0" applyFont="1" applyFill="1"/>
    <xf numFmtId="0" fontId="29" fillId="8" borderId="0" xfId="0" applyFont="1" applyFill="1" applyProtection="1">
      <protection locked="0"/>
    </xf>
    <xf numFmtId="0" fontId="115" fillId="8" borderId="0" xfId="0" applyFont="1" applyFill="1"/>
    <xf numFmtId="0" fontId="10" fillId="9" borderId="0" xfId="0" applyFont="1" applyFill="1" applyAlignment="1" applyProtection="1">
      <alignment vertical="center"/>
      <protection locked="0"/>
    </xf>
    <xf numFmtId="0" fontId="26" fillId="5" borderId="49" xfId="0" applyFont="1" applyFill="1" applyBorder="1" applyAlignment="1" applyProtection="1">
      <alignment vertical="top" wrapText="1"/>
      <protection locked="0"/>
    </xf>
    <xf numFmtId="0" fontId="111" fillId="2" borderId="44" xfId="0" applyFont="1" applyFill="1" applyBorder="1" applyAlignment="1" applyProtection="1">
      <alignment horizontal="center" vertical="center" wrapText="1"/>
      <protection locked="0"/>
    </xf>
    <xf numFmtId="0" fontId="107" fillId="0" borderId="0" xfId="0" applyFont="1" applyProtection="1">
      <protection locked="0"/>
    </xf>
    <xf numFmtId="0" fontId="7" fillId="8" borderId="0" xfId="0" applyFont="1" applyFill="1" applyAlignment="1" applyProtection="1">
      <alignment horizontal="left" vertical="top" wrapText="1" indent="1"/>
      <protection locked="0"/>
    </xf>
    <xf numFmtId="0" fontId="9" fillId="8" borderId="0" xfId="0" applyFont="1" applyFill="1" applyAlignment="1" applyProtection="1">
      <alignment vertical="center"/>
      <protection locked="0"/>
    </xf>
    <xf numFmtId="0" fontId="0" fillId="0" borderId="41" xfId="0" applyBorder="1" applyAlignment="1" applyProtection="1">
      <alignment horizontal="center" vertical="center"/>
      <protection locked="0"/>
    </xf>
    <xf numFmtId="0" fontId="84" fillId="7" borderId="40" xfId="0" applyFont="1" applyFill="1" applyBorder="1" applyAlignment="1">
      <alignment horizontal="center" vertical="center" wrapText="1"/>
    </xf>
    <xf numFmtId="0" fontId="80" fillId="8" borderId="0" xfId="0" applyFont="1" applyFill="1" applyAlignment="1" applyProtection="1">
      <alignment vertical="center"/>
      <protection locked="0"/>
    </xf>
    <xf numFmtId="0" fontId="63" fillId="7" borderId="41" xfId="0" applyFont="1" applyFill="1" applyBorder="1" applyAlignment="1">
      <alignment horizontal="center" vertical="center"/>
    </xf>
    <xf numFmtId="0" fontId="32" fillId="8" borderId="31" xfId="0" applyFont="1" applyFill="1" applyBorder="1" applyAlignment="1" applyProtection="1">
      <alignment horizontal="left"/>
      <protection locked="0"/>
    </xf>
    <xf numFmtId="0" fontId="0" fillId="0" borderId="31" xfId="0" applyBorder="1" applyAlignment="1" applyProtection="1">
      <alignment horizontal="left"/>
      <protection locked="0"/>
    </xf>
    <xf numFmtId="0" fontId="0" fillId="8" borderId="31" xfId="0" applyFill="1" applyBorder="1" applyProtection="1">
      <protection locked="0"/>
    </xf>
    <xf numFmtId="0" fontId="40" fillId="8" borderId="0" xfId="0" applyFont="1" applyFill="1" applyAlignment="1" applyProtection="1">
      <alignment horizontal="left" vertical="center" wrapText="1"/>
      <protection locked="0"/>
    </xf>
    <xf numFmtId="0" fontId="87" fillId="8" borderId="0" xfId="0" applyFont="1" applyFill="1" applyAlignment="1" applyProtection="1">
      <alignment horizontal="center" vertical="center"/>
      <protection locked="0"/>
    </xf>
    <xf numFmtId="0" fontId="89" fillId="8" borderId="0" xfId="0" applyFont="1" applyFill="1" applyAlignment="1" applyProtection="1">
      <alignment horizontal="center" vertical="center" wrapText="1" readingOrder="1"/>
      <protection locked="0"/>
    </xf>
    <xf numFmtId="0" fontId="19" fillId="8" borderId="0" xfId="0" applyFont="1" applyFill="1" applyAlignment="1" applyProtection="1">
      <alignment horizontal="center" vertical="center"/>
      <protection locked="0"/>
    </xf>
    <xf numFmtId="0" fontId="76" fillId="8" borderId="0" xfId="0" applyFont="1" applyFill="1" applyAlignment="1" applyProtection="1">
      <alignment vertical="center" wrapText="1" readingOrder="1"/>
      <protection locked="0"/>
    </xf>
    <xf numFmtId="0" fontId="50" fillId="8" borderId="0" xfId="0" applyFont="1" applyFill="1" applyAlignment="1" applyProtection="1">
      <alignment horizontal="center" vertical="center" wrapText="1" readingOrder="1"/>
      <protection locked="0"/>
    </xf>
    <xf numFmtId="0" fontId="51" fillId="8" borderId="0" xfId="0" applyFont="1" applyFill="1" applyAlignment="1" applyProtection="1">
      <alignment horizontal="center" vertical="center" wrapText="1" readingOrder="1"/>
      <protection locked="0"/>
    </xf>
    <xf numFmtId="0" fontId="39" fillId="8" borderId="0" xfId="0" applyFont="1" applyFill="1" applyAlignment="1" applyProtection="1">
      <alignment horizontal="center" vertical="center" wrapText="1" readingOrder="1"/>
      <protection locked="0"/>
    </xf>
    <xf numFmtId="0" fontId="7" fillId="8" borderId="0" xfId="0" applyFont="1" applyFill="1" applyAlignment="1" applyProtection="1">
      <alignment vertical="center" textRotation="90"/>
      <protection locked="0"/>
    </xf>
    <xf numFmtId="0" fontId="21"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38" fillId="8" borderId="0" xfId="0" applyFont="1" applyFill="1" applyAlignment="1" applyProtection="1">
      <alignment horizontal="center" vertical="center" wrapText="1" readingOrder="1"/>
      <protection locked="0"/>
    </xf>
    <xf numFmtId="0" fontId="13" fillId="8" borderId="0" xfId="0" applyFont="1" applyFill="1" applyAlignment="1" applyProtection="1">
      <alignment vertical="center" wrapText="1"/>
      <protection locked="0"/>
    </xf>
    <xf numFmtId="0" fontId="12" fillId="8" borderId="0" xfId="0" applyFont="1" applyFill="1" applyAlignment="1" applyProtection="1">
      <alignment vertical="center"/>
      <protection locked="0"/>
    </xf>
    <xf numFmtId="0" fontId="7" fillId="8" borderId="0" xfId="0" applyFont="1" applyFill="1" applyAlignment="1" applyProtection="1">
      <alignment horizontal="left" vertical="center"/>
      <protection locked="0"/>
    </xf>
    <xf numFmtId="0" fontId="68" fillId="8" borderId="0" xfId="0" applyFont="1" applyFill="1" applyProtection="1">
      <protection locked="0"/>
    </xf>
    <xf numFmtId="0" fontId="12" fillId="8" borderId="0" xfId="0" applyFont="1" applyFill="1" applyProtection="1">
      <protection locked="0"/>
    </xf>
    <xf numFmtId="0" fontId="10" fillId="8" borderId="0" xfId="0" applyFont="1" applyFill="1" applyAlignment="1" applyProtection="1">
      <alignment vertical="top" wrapText="1"/>
      <protection locked="0"/>
    </xf>
    <xf numFmtId="0" fontId="4" fillId="8" borderId="0" xfId="0" applyFont="1" applyFill="1" applyAlignment="1" applyProtection="1">
      <alignment horizontal="center" vertical="top" wrapText="1"/>
      <protection locked="0"/>
    </xf>
    <xf numFmtId="0" fontId="5"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vertical="center"/>
      <protection locked="0"/>
    </xf>
    <xf numFmtId="0" fontId="75"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protection locked="0"/>
    </xf>
    <xf numFmtId="0" fontId="20" fillId="8" borderId="0" xfId="0" applyFont="1" applyFill="1" applyAlignment="1" applyProtection="1">
      <alignment horizontal="left"/>
      <protection locked="0"/>
    </xf>
    <xf numFmtId="0" fontId="75" fillId="8" borderId="0" xfId="0" applyFont="1" applyFill="1" applyAlignment="1" applyProtection="1">
      <alignment horizontal="center"/>
      <protection locked="0"/>
    </xf>
    <xf numFmtId="0" fontId="9" fillId="8" borderId="0" xfId="0" applyFont="1" applyFill="1" applyAlignment="1" applyProtection="1">
      <alignment horizontal="center" vertical="center"/>
      <protection locked="0"/>
    </xf>
    <xf numFmtId="0" fontId="13" fillId="8" borderId="0" xfId="0" applyFont="1" applyFill="1" applyAlignment="1" applyProtection="1">
      <alignment horizontal="left" vertical="center" wrapText="1"/>
      <protection locked="0"/>
    </xf>
    <xf numFmtId="0" fontId="12" fillId="8" borderId="0" xfId="0" applyFont="1" applyFill="1" applyAlignment="1" applyProtection="1">
      <alignment horizontal="center"/>
      <protection locked="0"/>
    </xf>
    <xf numFmtId="0" fontId="29" fillId="13" borderId="0" xfId="0" applyFont="1" applyFill="1"/>
    <xf numFmtId="0" fontId="29" fillId="13" borderId="0" xfId="0" applyFont="1" applyFill="1" applyAlignment="1">
      <alignment horizontal="left"/>
    </xf>
    <xf numFmtId="0" fontId="4" fillId="13" borderId="0" xfId="0" applyFont="1" applyFill="1" applyAlignment="1">
      <alignment horizontal="center"/>
    </xf>
    <xf numFmtId="0" fontId="75" fillId="8" borderId="64" xfId="0" applyFont="1" applyFill="1" applyBorder="1" applyProtection="1">
      <protection locked="0"/>
    </xf>
    <xf numFmtId="0" fontId="50" fillId="8" borderId="17" xfId="0" applyFont="1" applyFill="1" applyBorder="1" applyAlignment="1" applyProtection="1">
      <alignment horizontal="center" vertical="center" wrapText="1" readingOrder="1"/>
      <protection locked="0"/>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4" fillId="13" borderId="60" xfId="0" applyFont="1" applyFill="1" applyBorder="1" applyAlignment="1">
      <alignment horizontal="center" vertical="center"/>
    </xf>
    <xf numFmtId="0" fontId="32" fillId="8" borderId="31" xfId="0" applyFont="1" applyFill="1" applyBorder="1" applyProtection="1">
      <protection locked="0"/>
    </xf>
    <xf numFmtId="0" fontId="68" fillId="8" borderId="0" xfId="0" applyFont="1" applyFill="1" applyAlignment="1" applyProtection="1">
      <alignment horizontal="left"/>
      <protection locked="0"/>
    </xf>
    <xf numFmtId="0" fontId="34" fillId="8" borderId="0" xfId="0" applyFont="1" applyFill="1" applyAlignment="1" applyProtection="1">
      <alignment horizontal="left" wrapText="1"/>
      <protection locked="0"/>
    </xf>
    <xf numFmtId="0" fontId="35" fillId="8" borderId="0" xfId="0" applyFont="1" applyFill="1" applyAlignment="1" applyProtection="1">
      <alignment horizontal="left" wrapText="1" indent="1"/>
      <protection locked="0"/>
    </xf>
    <xf numFmtId="0" fontId="42" fillId="8" borderId="0" xfId="0" applyFont="1" applyFill="1" applyAlignment="1" applyProtection="1">
      <alignment horizontal="left" wrapText="1" indent="2"/>
      <protection locked="0"/>
    </xf>
    <xf numFmtId="49" fontId="17" fillId="8"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42" fillId="8" borderId="0" xfId="0" applyFont="1" applyFill="1" applyAlignment="1" applyProtection="1">
      <alignment horizontal="left" indent="2"/>
      <protection locked="0"/>
    </xf>
    <xf numFmtId="0" fontId="0" fillId="7" borderId="15" xfId="0" applyFill="1" applyBorder="1" applyProtection="1">
      <protection locked="0"/>
    </xf>
    <xf numFmtId="0" fontId="31" fillId="9" borderId="8" xfId="0" applyFont="1" applyFill="1" applyBorder="1" applyProtection="1">
      <protection locked="0"/>
    </xf>
    <xf numFmtId="0" fontId="0" fillId="0" borderId="14" xfId="0" applyBorder="1" applyProtection="1">
      <protection locked="0"/>
    </xf>
    <xf numFmtId="0" fontId="35" fillId="8" borderId="0" xfId="0" applyFont="1" applyFill="1" applyAlignment="1" applyProtection="1">
      <alignment horizontal="left" vertical="top" wrapText="1" indent="1"/>
      <protection locked="0"/>
    </xf>
    <xf numFmtId="0" fontId="41" fillId="0" borderId="3" xfId="0" applyFont="1" applyBorder="1" applyProtection="1">
      <protection locked="0"/>
    </xf>
    <xf numFmtId="0" fontId="0" fillId="0" borderId="13" xfId="0" applyBorder="1" applyProtection="1">
      <protection locked="0"/>
    </xf>
    <xf numFmtId="0" fontId="10"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2" fillId="8" borderId="0" xfId="0" applyFont="1" applyFill="1" applyAlignment="1" applyProtection="1">
      <alignment horizontal="left" indent="1"/>
      <protection locked="0"/>
    </xf>
    <xf numFmtId="0" fontId="0" fillId="0" borderId="34" xfId="0" applyBorder="1" applyProtection="1">
      <protection locked="0"/>
    </xf>
    <xf numFmtId="0" fontId="10" fillId="0" borderId="34" xfId="0" applyFont="1" applyBorder="1" applyAlignment="1" applyProtection="1">
      <alignment horizontal="center" vertical="center" wrapText="1"/>
      <protection locked="0"/>
    </xf>
    <xf numFmtId="0" fontId="41" fillId="0" borderId="9" xfId="0" applyFont="1" applyBorder="1" applyProtection="1">
      <protection locked="0"/>
    </xf>
    <xf numFmtId="0" fontId="45" fillId="7" borderId="25" xfId="0" applyFont="1" applyFill="1" applyBorder="1" applyAlignment="1" applyProtection="1">
      <alignment horizontal="left" vertical="top" wrapText="1"/>
      <protection locked="0"/>
    </xf>
    <xf numFmtId="0" fontId="29" fillId="8" borderId="0" xfId="0" applyFont="1" applyFill="1" applyAlignment="1" applyProtection="1">
      <alignment horizontal="left" vertical="top" wrapText="1" indent="1"/>
      <protection locked="0"/>
    </xf>
    <xf numFmtId="0" fontId="45" fillId="7" borderId="35" xfId="0" applyFont="1" applyFill="1" applyBorder="1" applyAlignment="1" applyProtection="1">
      <alignment horizontal="left" vertical="center" wrapText="1"/>
      <protection locked="0"/>
    </xf>
    <xf numFmtId="0" fontId="74" fillId="8" borderId="23" xfId="0" applyFont="1" applyFill="1" applyBorder="1" applyAlignment="1" applyProtection="1">
      <alignment horizontal="center" vertical="center"/>
      <protection locked="0"/>
    </xf>
    <xf numFmtId="0" fontId="29" fillId="8" borderId="0" xfId="0" applyFont="1" applyFill="1" applyAlignment="1" applyProtection="1">
      <alignment horizontal="center" vertical="top"/>
      <protection locked="0"/>
    </xf>
    <xf numFmtId="0" fontId="74" fillId="8" borderId="25" xfId="0" applyFont="1" applyFill="1" applyBorder="1" applyProtection="1">
      <protection locked="0"/>
    </xf>
    <xf numFmtId="0" fontId="25"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0" fontId="46" fillId="11" borderId="0" xfId="0" applyFont="1" applyFill="1" applyAlignment="1" applyProtection="1">
      <alignment horizontal="center" vertical="center"/>
      <protection locked="0"/>
    </xf>
    <xf numFmtId="0" fontId="92" fillId="11" borderId="0" xfId="0" applyFont="1" applyFill="1" applyProtection="1">
      <protection locked="0"/>
    </xf>
    <xf numFmtId="0" fontId="13" fillId="7" borderId="16" xfId="0" applyFont="1" applyFill="1" applyBorder="1" applyAlignment="1" applyProtection="1">
      <alignment vertical="center" wrapText="1"/>
      <protection locked="0"/>
    </xf>
    <xf numFmtId="0" fontId="0" fillId="7" borderId="41" xfId="0" applyFill="1" applyBorder="1" applyProtection="1">
      <protection locked="0"/>
    </xf>
    <xf numFmtId="0" fontId="0" fillId="0" borderId="8" xfId="0" applyBorder="1" applyProtection="1">
      <protection locked="0"/>
    </xf>
    <xf numFmtId="0" fontId="0" fillId="8" borderId="3" xfId="0" applyFill="1" applyBorder="1" applyProtection="1">
      <protection locked="0"/>
    </xf>
    <xf numFmtId="0" fontId="0" fillId="0" borderId="3" xfId="0" applyBorder="1" applyProtection="1">
      <protection locked="0"/>
    </xf>
    <xf numFmtId="0" fontId="29" fillId="8" borderId="0" xfId="0" applyFont="1" applyFill="1" applyAlignment="1" applyProtection="1">
      <alignment wrapText="1"/>
      <protection locked="0"/>
    </xf>
    <xf numFmtId="0" fontId="35" fillId="8" borderId="0" xfId="0" quotePrefix="1" applyFont="1" applyFill="1" applyAlignment="1" applyProtection="1">
      <alignment horizontal="left" vertical="top" wrapText="1" indent="2"/>
      <protection locked="0"/>
    </xf>
    <xf numFmtId="0" fontId="11" fillId="8" borderId="0" xfId="0" applyFont="1" applyFill="1" applyAlignment="1" applyProtection="1">
      <alignment vertical="center"/>
      <protection locked="0"/>
    </xf>
    <xf numFmtId="49" fontId="10" fillId="8" borderId="0" xfId="0" applyNumberFormat="1" applyFont="1" applyFill="1" applyAlignment="1" applyProtection="1">
      <alignment horizontal="center" vertical="center" textRotation="90"/>
      <protection locked="0"/>
    </xf>
    <xf numFmtId="0" fontId="0" fillId="0" borderId="29" xfId="0" applyBorder="1" applyProtection="1">
      <protection locked="0"/>
    </xf>
    <xf numFmtId="0" fontId="48" fillId="19" borderId="37" xfId="0" applyFont="1" applyFill="1" applyBorder="1" applyAlignment="1" applyProtection="1">
      <alignment vertical="center"/>
      <protection locked="0"/>
    </xf>
    <xf numFmtId="0" fontId="0" fillId="19" borderId="37" xfId="0" applyFill="1" applyBorder="1" applyProtection="1">
      <protection locked="0"/>
    </xf>
    <xf numFmtId="0" fontId="13" fillId="7" borderId="32" xfId="0" applyFont="1" applyFill="1" applyBorder="1" applyAlignment="1" applyProtection="1">
      <alignment vertical="center" wrapText="1"/>
      <protection locked="0"/>
    </xf>
    <xf numFmtId="0" fontId="0" fillId="8" borderId="55" xfId="0" applyFill="1" applyBorder="1" applyProtection="1">
      <protection locked="0"/>
    </xf>
    <xf numFmtId="0" fontId="11" fillId="8" borderId="0" xfId="0" applyFont="1" applyFill="1" applyAlignment="1" applyProtection="1">
      <alignment vertical="top" wrapText="1"/>
      <protection locked="0"/>
    </xf>
    <xf numFmtId="0" fontId="69" fillId="8" borderId="0" xfId="0" applyFont="1" applyFill="1" applyAlignment="1" applyProtection="1">
      <alignment horizontal="center" vertical="center"/>
      <protection locked="0"/>
    </xf>
    <xf numFmtId="0" fontId="68" fillId="8" borderId="0" xfId="0" applyFont="1" applyFill="1" applyAlignment="1">
      <alignment horizontal="left"/>
    </xf>
    <xf numFmtId="0" fontId="32" fillId="8" borderId="0" xfId="0" applyFont="1" applyFill="1"/>
    <xf numFmtId="0" fontId="4" fillId="3" borderId="5" xfId="0" applyFont="1" applyFill="1" applyBorder="1" applyAlignment="1">
      <alignment horizontal="center" vertical="center" wrapText="1"/>
    </xf>
    <xf numFmtId="0" fontId="45" fillId="7" borderId="6"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0" fillId="7" borderId="15" xfId="0" applyFill="1" applyBorder="1"/>
    <xf numFmtId="0" fontId="45" fillId="7" borderId="35" xfId="0" applyFont="1" applyFill="1" applyBorder="1" applyAlignment="1">
      <alignment horizontal="left" vertical="center" wrapText="1"/>
    </xf>
    <xf numFmtId="0" fontId="74" fillId="8" borderId="23" xfId="0" applyFont="1" applyFill="1" applyBorder="1" applyAlignment="1">
      <alignment horizontal="center" vertical="center"/>
    </xf>
    <xf numFmtId="0" fontId="69" fillId="7" borderId="41" xfId="0" applyFont="1" applyFill="1" applyBorder="1" applyAlignment="1">
      <alignment horizontal="center" vertical="center"/>
    </xf>
    <xf numFmtId="0" fontId="0" fillId="7" borderId="41" xfId="0" applyFill="1" applyBorder="1"/>
    <xf numFmtId="0" fontId="10" fillId="7" borderId="41" xfId="0" applyFont="1" applyFill="1" applyBorder="1" applyAlignment="1">
      <alignment horizontal="center" vertical="center"/>
    </xf>
    <xf numFmtId="0" fontId="5" fillId="7" borderId="41" xfId="0" applyFont="1" applyFill="1" applyBorder="1" applyAlignment="1">
      <alignment horizontal="center" vertical="center"/>
    </xf>
    <xf numFmtId="0" fontId="0" fillId="8" borderId="66" xfId="0" applyFill="1" applyBorder="1"/>
    <xf numFmtId="0" fontId="11" fillId="7" borderId="69" xfId="0" applyFont="1" applyFill="1" applyBorder="1" applyAlignment="1">
      <alignment vertical="center" wrapText="1"/>
    </xf>
    <xf numFmtId="0" fontId="10" fillId="7" borderId="4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0" fillId="8" borderId="67" xfId="0" applyFill="1" applyBorder="1"/>
    <xf numFmtId="0" fontId="11" fillId="7" borderId="70" xfId="0" applyFont="1" applyFill="1" applyBorder="1" applyAlignment="1">
      <alignment vertical="center" wrapText="1"/>
    </xf>
    <xf numFmtId="0" fontId="90" fillId="7" borderId="41" xfId="0" applyFont="1" applyFill="1" applyBorder="1" applyAlignment="1">
      <alignment horizontal="center" vertical="center"/>
    </xf>
    <xf numFmtId="0" fontId="0" fillId="7" borderId="41" xfId="0" applyFill="1" applyBorder="1" applyAlignment="1">
      <alignment vertical="center"/>
    </xf>
    <xf numFmtId="0" fontId="74" fillId="7" borderId="41" xfId="0" applyFont="1" applyFill="1" applyBorder="1" applyAlignment="1">
      <alignment horizontal="center" vertical="center"/>
    </xf>
    <xf numFmtId="0" fontId="25" fillId="7" borderId="41" xfId="0" applyFont="1" applyFill="1" applyBorder="1" applyAlignment="1">
      <alignment horizontal="center" vertical="center" wrapText="1"/>
    </xf>
    <xf numFmtId="0" fontId="11" fillId="7" borderId="70" xfId="0" applyFont="1" applyFill="1" applyBorder="1" applyAlignment="1">
      <alignment vertical="center"/>
    </xf>
    <xf numFmtId="0" fontId="91" fillId="7" borderId="41" xfId="0" applyFont="1" applyFill="1" applyBorder="1" applyAlignment="1">
      <alignment horizontal="center" vertical="center" wrapText="1"/>
    </xf>
    <xf numFmtId="0" fontId="69" fillId="7" borderId="73" xfId="0" applyFont="1" applyFill="1" applyBorder="1" applyAlignment="1">
      <alignment horizontal="center" vertical="center"/>
    </xf>
    <xf numFmtId="0" fontId="25" fillId="7" borderId="73" xfId="0" applyFont="1" applyFill="1" applyBorder="1" applyAlignment="1">
      <alignment horizontal="center" vertical="center" wrapText="1"/>
    </xf>
    <xf numFmtId="0" fontId="0" fillId="7" borderId="73" xfId="0" applyFill="1" applyBorder="1"/>
    <xf numFmtId="0" fontId="0" fillId="8" borderId="68" xfId="0" applyFill="1" applyBorder="1"/>
    <xf numFmtId="0" fontId="11" fillId="7" borderId="71" xfId="0" applyFont="1" applyFill="1" applyBorder="1" applyAlignment="1">
      <alignment vertical="center"/>
    </xf>
    <xf numFmtId="0" fontId="48" fillId="19" borderId="37" xfId="0" applyFont="1" applyFill="1" applyBorder="1" applyAlignment="1">
      <alignment vertical="center"/>
    </xf>
    <xf numFmtId="0" fontId="29" fillId="19" borderId="37" xfId="0" applyFont="1" applyFill="1" applyBorder="1"/>
    <xf numFmtId="0" fontId="29" fillId="19" borderId="78" xfId="0" applyFont="1" applyFill="1" applyBorder="1"/>
    <xf numFmtId="0" fontId="0" fillId="19" borderId="78" xfId="0" applyFill="1" applyBorder="1"/>
    <xf numFmtId="0" fontId="0" fillId="7" borderId="41" xfId="0" applyFill="1" applyBorder="1" applyAlignment="1">
      <alignment horizontal="center" vertical="center"/>
    </xf>
    <xf numFmtId="0" fontId="11" fillId="7" borderId="41" xfId="0" applyFont="1" applyFill="1" applyBorder="1" applyAlignment="1">
      <alignment vertical="center"/>
    </xf>
    <xf numFmtId="0" fontId="0" fillId="7" borderId="56" xfId="0" applyFill="1" applyBorder="1" applyAlignment="1">
      <alignment horizontal="center" vertical="center"/>
    </xf>
    <xf numFmtId="0" fontId="69" fillId="7" borderId="56" xfId="0" applyFont="1" applyFill="1" applyBorder="1" applyAlignment="1">
      <alignment horizontal="center" vertical="center"/>
    </xf>
    <xf numFmtId="0" fontId="0" fillId="8" borderId="43" xfId="0" applyFill="1" applyBorder="1"/>
    <xf numFmtId="0" fontId="11" fillId="7" borderId="65" xfId="0" applyFont="1" applyFill="1" applyBorder="1" applyAlignment="1">
      <alignment vertical="center"/>
    </xf>
    <xf numFmtId="49" fontId="17" fillId="8" borderId="0" xfId="0" applyNumberFormat="1" applyFont="1" applyFill="1" applyAlignment="1" applyProtection="1">
      <alignment horizontal="center"/>
      <protection locked="0"/>
    </xf>
    <xf numFmtId="0" fontId="0" fillId="7" borderId="14" xfId="0" applyFill="1" applyBorder="1" applyProtection="1">
      <protection locked="0"/>
    </xf>
    <xf numFmtId="49" fontId="17" fillId="8" borderId="0" xfId="0" applyNumberFormat="1" applyFont="1" applyFill="1" applyProtection="1">
      <protection locked="0"/>
    </xf>
    <xf numFmtId="0" fontId="0" fillId="8" borderId="13" xfId="0" applyFill="1" applyBorder="1" applyProtection="1">
      <protection locked="0"/>
    </xf>
    <xf numFmtId="0" fontId="10"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0" fillId="8" borderId="34" xfId="0" applyFill="1" applyBorder="1" applyProtection="1">
      <protection locked="0"/>
    </xf>
    <xf numFmtId="0" fontId="10" fillId="8" borderId="34" xfId="0" applyFont="1" applyFill="1" applyBorder="1" applyAlignment="1" applyProtection="1">
      <alignment horizontal="center" vertical="center" wrapText="1"/>
      <protection locked="0"/>
    </xf>
    <xf numFmtId="0" fontId="45" fillId="7" borderId="25" xfId="0" applyFont="1" applyFill="1" applyBorder="1" applyAlignment="1" applyProtection="1">
      <alignment horizontal="left" vertical="center" wrapText="1"/>
      <protection locked="0"/>
    </xf>
    <xf numFmtId="0" fontId="0" fillId="0" borderId="9" xfId="0" applyBorder="1" applyProtection="1">
      <protection locked="0"/>
    </xf>
    <xf numFmtId="0" fontId="0" fillId="0" borderId="63" xfId="0" applyBorder="1" applyProtection="1">
      <protection locked="0"/>
    </xf>
    <xf numFmtId="49" fontId="10" fillId="8" borderId="0" xfId="0" applyNumberFormat="1" applyFont="1" applyFill="1" applyAlignment="1" applyProtection="1">
      <alignment horizontal="center" textRotation="90"/>
      <protection locked="0"/>
    </xf>
    <xf numFmtId="0" fontId="0" fillId="7" borderId="14" xfId="0" applyFill="1" applyBorder="1"/>
    <xf numFmtId="0" fontId="45" fillId="19" borderId="0" xfId="0" applyFont="1" applyFill="1" applyAlignment="1">
      <alignment horizontal="left" vertical="center" wrapText="1"/>
    </xf>
    <xf numFmtId="0" fontId="74" fillId="19" borderId="0" xfId="0" applyFont="1" applyFill="1" applyAlignment="1">
      <alignment horizontal="center" vertical="center"/>
    </xf>
    <xf numFmtId="0" fontId="74" fillId="8" borderId="36" xfId="0" applyFont="1" applyFill="1" applyBorder="1" applyAlignment="1">
      <alignment horizontal="center" vertical="center"/>
    </xf>
    <xf numFmtId="0" fontId="40" fillId="11" borderId="0" xfId="0" applyFont="1" applyFill="1" applyAlignment="1">
      <alignment horizontal="center" vertical="center"/>
    </xf>
    <xf numFmtId="0" fontId="46" fillId="11" borderId="0" xfId="0" applyFont="1" applyFill="1" applyAlignment="1">
      <alignment horizontal="center" vertical="center"/>
    </xf>
    <xf numFmtId="0" fontId="40" fillId="19" borderId="37" xfId="0" applyFont="1" applyFill="1" applyBorder="1" applyAlignment="1">
      <alignment horizontal="left" vertical="center"/>
    </xf>
    <xf numFmtId="0" fontId="4" fillId="19" borderId="37" xfId="0" applyFont="1" applyFill="1" applyBorder="1" applyAlignment="1">
      <alignment horizontal="center" vertical="center" wrapText="1"/>
    </xf>
    <xf numFmtId="0" fontId="92" fillId="11" borderId="0" xfId="0" applyFont="1" applyFill="1"/>
    <xf numFmtId="0" fontId="82" fillId="9" borderId="0" xfId="0" applyFont="1" applyFill="1" applyAlignment="1" applyProtection="1">
      <alignment horizontal="center" vertical="center" wrapText="1"/>
      <protection locked="0"/>
    </xf>
    <xf numFmtId="0" fontId="45" fillId="7" borderId="6" xfId="0" applyFont="1" applyFill="1" applyBorder="1" applyAlignment="1" applyProtection="1">
      <alignment horizontal="left" vertical="center"/>
      <protection locked="0"/>
    </xf>
    <xf numFmtId="0" fontId="82" fillId="9" borderId="8" xfId="0" applyFont="1" applyFill="1" applyBorder="1" applyProtection="1">
      <protection locked="0"/>
    </xf>
    <xf numFmtId="0" fontId="41" fillId="8" borderId="3" xfId="0" applyFont="1" applyFill="1" applyBorder="1" applyProtection="1">
      <protection locked="0"/>
    </xf>
    <xf numFmtId="0" fontId="41" fillId="8" borderId="9" xfId="0" applyFont="1" applyFill="1" applyBorder="1" applyProtection="1">
      <protection locked="0"/>
    </xf>
    <xf numFmtId="0" fontId="33" fillId="8" borderId="0" xfId="0" applyFont="1" applyFill="1" applyAlignment="1" applyProtection="1">
      <alignment horizontal="left"/>
      <protection locked="0"/>
    </xf>
    <xf numFmtId="0" fontId="35" fillId="8" borderId="0" xfId="0" applyFont="1" applyFill="1" applyAlignment="1" applyProtection="1">
      <alignment vertical="center" wrapText="1"/>
      <protection locked="0"/>
    </xf>
    <xf numFmtId="0" fontId="15" fillId="8" borderId="0" xfId="0" applyFont="1" applyFill="1" applyAlignment="1" applyProtection="1">
      <alignment vertical="center"/>
      <protection locked="0"/>
    </xf>
    <xf numFmtId="2" fontId="65" fillId="8" borderId="0" xfId="0" applyNumberFormat="1" applyFont="1" applyFill="1" applyAlignment="1" applyProtection="1">
      <alignment horizontal="center" vertical="center"/>
      <protection locked="0"/>
    </xf>
    <xf numFmtId="0" fontId="101" fillId="0" borderId="0" xfId="0" applyFont="1" applyAlignment="1" applyProtection="1">
      <alignment horizontal="center" vertical="center"/>
      <protection locked="0"/>
    </xf>
    <xf numFmtId="0" fontId="34" fillId="8" borderId="0" xfId="0" applyFont="1" applyFill="1" applyAlignment="1" applyProtection="1">
      <alignment vertical="center"/>
      <protection locked="0"/>
    </xf>
    <xf numFmtId="0" fontId="106" fillId="8" borderId="0" xfId="0" applyFont="1" applyFill="1" applyAlignment="1" applyProtection="1">
      <alignment vertical="center"/>
      <protection locked="0"/>
    </xf>
    <xf numFmtId="0" fontId="54" fillId="8" borderId="0" xfId="0" applyFont="1" applyFill="1" applyAlignment="1" applyProtection="1">
      <alignment horizontal="center" vertical="center"/>
      <protection locked="0"/>
    </xf>
    <xf numFmtId="0" fontId="63" fillId="8" borderId="0" xfId="0"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0" fontId="100" fillId="0" borderId="0" xfId="0" applyFont="1" applyAlignment="1" applyProtection="1">
      <alignment horizontal="center" vertical="center"/>
      <protection locked="0"/>
    </xf>
    <xf numFmtId="0" fontId="88"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2" fontId="65"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05" fillId="8" borderId="0" xfId="0" applyFont="1" applyFill="1" applyProtection="1">
      <protection locked="0"/>
    </xf>
    <xf numFmtId="0" fontId="63" fillId="8" borderId="0" xfId="0" applyFont="1" applyFill="1" applyAlignment="1" applyProtection="1">
      <alignment horizontal="center" vertical="center" wrapText="1"/>
      <protection locked="0"/>
    </xf>
    <xf numFmtId="0" fontId="43" fillId="8" borderId="0" xfId="0" applyFont="1" applyFill="1" applyAlignment="1" applyProtection="1">
      <alignment horizontal="left" indent="1"/>
      <protection locked="0"/>
    </xf>
    <xf numFmtId="0" fontId="118" fillId="8" borderId="0" xfId="0" applyFont="1" applyFill="1" applyAlignment="1" applyProtection="1">
      <alignment horizontal="right" vertical="center" wrapText="1"/>
      <protection locked="0"/>
    </xf>
    <xf numFmtId="0" fontId="40" fillId="0" borderId="0" xfId="0" applyFont="1" applyAlignment="1" applyProtection="1">
      <alignment vertical="center"/>
      <protection locked="0"/>
    </xf>
    <xf numFmtId="0" fontId="118" fillId="8" borderId="0" xfId="0" applyFont="1" applyFill="1" applyAlignment="1" applyProtection="1">
      <alignment horizontal="right" wrapText="1"/>
      <protection locked="0"/>
    </xf>
    <xf numFmtId="0" fontId="29" fillId="0" borderId="0" xfId="0" applyFont="1" applyProtection="1">
      <protection locked="0"/>
    </xf>
    <xf numFmtId="0" fontId="15" fillId="8" borderId="0" xfId="0" applyFont="1" applyFill="1" applyProtection="1">
      <protection locked="0"/>
    </xf>
    <xf numFmtId="0" fontId="37" fillId="8" borderId="0" xfId="0" applyFont="1" applyFill="1" applyProtection="1">
      <protection locked="0"/>
    </xf>
    <xf numFmtId="0" fontId="15" fillId="0" borderId="0" xfId="0" applyFont="1" applyProtection="1">
      <protection locked="0"/>
    </xf>
    <xf numFmtId="0" fontId="98" fillId="0" borderId="0" xfId="0" applyFont="1" applyProtection="1">
      <protection locked="0"/>
    </xf>
    <xf numFmtId="0" fontId="0" fillId="0" borderId="0" xfId="0" applyAlignment="1" applyProtection="1">
      <alignment wrapText="1"/>
      <protection locked="0"/>
    </xf>
    <xf numFmtId="0" fontId="46" fillId="0" borderId="0" xfId="0" applyFont="1" applyProtection="1">
      <protection locked="0"/>
    </xf>
    <xf numFmtId="0" fontId="34" fillId="0" borderId="0" xfId="0" applyFont="1" applyAlignment="1" applyProtection="1">
      <alignment wrapText="1"/>
      <protection locked="0"/>
    </xf>
    <xf numFmtId="0" fontId="11" fillId="8" borderId="0" xfId="0" applyFont="1" applyFill="1" applyAlignment="1" applyProtection="1">
      <alignment wrapText="1"/>
      <protection locked="0"/>
    </xf>
    <xf numFmtId="0" fontId="63" fillId="0" borderId="0" xfId="0" applyFont="1" applyAlignment="1" applyProtection="1">
      <alignment vertical="center" wrapText="1"/>
      <protection locked="0"/>
    </xf>
    <xf numFmtId="0" fontId="27" fillId="0" borderId="0" xfId="0" applyFont="1" applyAlignment="1" applyProtection="1">
      <alignment wrapText="1"/>
      <protection locked="0"/>
    </xf>
    <xf numFmtId="0" fontId="108" fillId="8" borderId="0" xfId="0" applyFont="1" applyFill="1" applyAlignment="1" applyProtection="1">
      <alignment horizontal="right" vertical="center" wrapText="1"/>
      <protection locked="0"/>
    </xf>
    <xf numFmtId="0" fontId="45" fillId="8" borderId="0" xfId="0" applyFont="1" applyFill="1" applyAlignment="1" applyProtection="1">
      <alignment horizontal="left" vertical="center" indent="1"/>
      <protection locked="0"/>
    </xf>
    <xf numFmtId="0" fontId="63" fillId="8" borderId="0" xfId="0" applyFont="1" applyFill="1" applyAlignment="1" applyProtection="1">
      <alignment horizontal="left" vertical="center"/>
      <protection locked="0"/>
    </xf>
    <xf numFmtId="0" fontId="54" fillId="7" borderId="37" xfId="0" applyFont="1" applyFill="1" applyBorder="1" applyAlignment="1">
      <alignment horizontal="center" vertical="center"/>
    </xf>
    <xf numFmtId="0" fontId="63" fillId="7" borderId="37" xfId="0" applyFont="1" applyFill="1" applyBorder="1" applyAlignment="1">
      <alignment horizontal="center" vertical="center"/>
    </xf>
    <xf numFmtId="0" fontId="63" fillId="7" borderId="37" xfId="0" applyFont="1" applyFill="1" applyBorder="1" applyAlignment="1">
      <alignment horizontal="center" vertical="center" wrapText="1"/>
    </xf>
    <xf numFmtId="0" fontId="15" fillId="19" borderId="0" xfId="0" applyFont="1" applyFill="1" applyAlignment="1">
      <alignment horizontal="center" vertical="center"/>
    </xf>
    <xf numFmtId="0" fontId="0" fillId="0" borderId="0" xfId="0" applyAlignment="1">
      <alignment wrapText="1"/>
    </xf>
    <xf numFmtId="0" fontId="15" fillId="0" borderId="0" xfId="0" applyFont="1" applyAlignment="1">
      <alignment vertical="center" wrapText="1"/>
    </xf>
    <xf numFmtId="2" fontId="65" fillId="0" borderId="0" xfId="0" applyNumberFormat="1"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34" fillId="0" borderId="0" xfId="0" applyFont="1" applyAlignment="1">
      <alignment wrapText="1"/>
    </xf>
    <xf numFmtId="0" fontId="11" fillId="0" borderId="0" xfId="0" applyFont="1" applyAlignment="1">
      <alignment wrapText="1"/>
    </xf>
    <xf numFmtId="0" fontId="15" fillId="0" borderId="37" xfId="0" applyFont="1" applyBorder="1" applyAlignment="1">
      <alignment horizontal="center" vertical="center"/>
    </xf>
    <xf numFmtId="0" fontId="108" fillId="8" borderId="0" xfId="0" applyFont="1" applyFill="1" applyAlignment="1">
      <alignment horizontal="right" vertical="center" wrapText="1"/>
    </xf>
    <xf numFmtId="49" fontId="109" fillId="8" borderId="0" xfId="0" applyNumberFormat="1" applyFont="1" applyFill="1" applyAlignment="1">
      <alignment horizontal="right" vertical="center" wrapText="1"/>
    </xf>
    <xf numFmtId="49" fontId="110" fillId="8" borderId="0" xfId="0" applyNumberFormat="1" applyFont="1" applyFill="1" applyAlignment="1">
      <alignment horizontal="right" vertical="center"/>
    </xf>
    <xf numFmtId="0" fontId="64" fillId="8" borderId="0" xfId="0" applyFont="1" applyFill="1" applyAlignment="1" applyProtection="1">
      <alignment horizontal="left" vertical="center"/>
      <protection locked="0"/>
    </xf>
    <xf numFmtId="0" fontId="7" fillId="2" borderId="66" xfId="0" applyFont="1" applyFill="1" applyBorder="1" applyAlignment="1" applyProtection="1">
      <alignment horizontal="center" vertical="center" wrapText="1"/>
      <protection locked="0"/>
    </xf>
    <xf numFmtId="0" fontId="119" fillId="8" borderId="0" xfId="0" applyFont="1" applyFill="1" applyAlignment="1" applyProtection="1">
      <alignment vertical="top"/>
      <protection locked="0"/>
    </xf>
    <xf numFmtId="0" fontId="46" fillId="11" borderId="41" xfId="0" applyFont="1" applyFill="1" applyBorder="1" applyAlignment="1" applyProtection="1">
      <alignment horizontal="center" vertical="center"/>
      <protection locked="0"/>
    </xf>
    <xf numFmtId="0" fontId="116" fillId="9" borderId="41" xfId="0" applyFont="1" applyFill="1" applyBorder="1" applyAlignment="1" applyProtection="1">
      <alignment horizontal="center" vertical="center" wrapText="1"/>
      <protection locked="0"/>
    </xf>
    <xf numFmtId="0" fontId="0" fillId="0" borderId="41" xfId="0" applyBorder="1" applyProtection="1">
      <protection locked="0"/>
    </xf>
    <xf numFmtId="0" fontId="0" fillId="19" borderId="41" xfId="0" applyFill="1" applyBorder="1" applyProtection="1">
      <protection locked="0"/>
    </xf>
    <xf numFmtId="0" fontId="0" fillId="0" borderId="65" xfId="0" applyBorder="1" applyProtection="1">
      <protection locked="0"/>
    </xf>
    <xf numFmtId="0" fontId="15" fillId="8" borderId="28" xfId="0" applyFont="1" applyFill="1" applyBorder="1"/>
    <xf numFmtId="0" fontId="0" fillId="9" borderId="27" xfId="0" applyFill="1" applyBorder="1" applyAlignment="1">
      <alignment vertical="top" wrapText="1"/>
    </xf>
    <xf numFmtId="0" fontId="15" fillId="0" borderId="28" xfId="0" applyFont="1" applyBorder="1"/>
    <xf numFmtId="0" fontId="0" fillId="9" borderId="27" xfId="0" applyFill="1" applyBorder="1" applyAlignment="1">
      <alignment vertical="center" wrapText="1"/>
    </xf>
    <xf numFmtId="0" fontId="65" fillId="9" borderId="8" xfId="0" applyFont="1" applyFill="1" applyBorder="1" applyProtection="1">
      <protection locked="0"/>
    </xf>
    <xf numFmtId="0" fontId="121" fillId="9" borderId="26" xfId="0" applyFont="1" applyFill="1" applyBorder="1" applyAlignment="1" applyProtection="1">
      <alignment horizontal="left" vertical="top" wrapText="1"/>
      <protection locked="0"/>
    </xf>
    <xf numFmtId="0" fontId="20" fillId="9" borderId="26" xfId="0" applyFont="1" applyFill="1" applyBorder="1" applyAlignment="1" applyProtection="1">
      <alignment horizontal="left" vertical="top" wrapText="1"/>
      <protection locked="0"/>
    </xf>
    <xf numFmtId="0" fontId="0" fillId="8" borderId="41" xfId="0" applyFill="1" applyBorder="1" applyAlignment="1" applyProtection="1">
      <alignment horizontal="center" vertical="center"/>
      <protection locked="0"/>
    </xf>
    <xf numFmtId="0" fontId="15" fillId="10" borderId="33" xfId="0" applyFont="1" applyFill="1" applyBorder="1" applyAlignment="1" applyProtection="1">
      <alignment horizontal="center"/>
      <protection locked="0"/>
    </xf>
    <xf numFmtId="0" fontId="100" fillId="8" borderId="0" xfId="0" applyFont="1" applyFill="1" applyProtection="1">
      <protection locked="0"/>
    </xf>
    <xf numFmtId="0" fontId="102" fillId="8" borderId="0" xfId="0" applyFont="1" applyFill="1"/>
    <xf numFmtId="0" fontId="103" fillId="8" borderId="0" xfId="0" applyFont="1" applyFill="1"/>
    <xf numFmtId="0" fontId="104" fillId="8" borderId="0" xfId="0" applyFont="1" applyFill="1"/>
    <xf numFmtId="0" fontId="32" fillId="8" borderId="7" xfId="0" applyFont="1" applyFill="1" applyBorder="1"/>
    <xf numFmtId="0" fontId="0" fillId="8" borderId="7" xfId="0" applyFill="1" applyBorder="1"/>
    <xf numFmtId="0" fontId="78" fillId="8" borderId="0" xfId="0" applyFont="1" applyFill="1" applyAlignment="1">
      <alignment horizontal="left" wrapText="1"/>
    </xf>
    <xf numFmtId="0" fontId="12" fillId="8" borderId="0" xfId="0" applyFont="1" applyFill="1" applyAlignment="1">
      <alignment horizontal="left" wrapText="1"/>
    </xf>
    <xf numFmtId="0" fontId="84" fillId="0" borderId="40" xfId="0" applyFont="1" applyBorder="1" applyAlignment="1" applyProtection="1">
      <alignment horizontal="center" vertical="center" wrapText="1"/>
      <protection locked="0"/>
    </xf>
    <xf numFmtId="0" fontId="33" fillId="8" borderId="7" xfId="0" applyFont="1" applyFill="1" applyBorder="1" applyProtection="1">
      <protection locked="0"/>
    </xf>
    <xf numFmtId="0" fontId="33" fillId="8" borderId="31" xfId="0" applyFont="1" applyFill="1" applyBorder="1" applyAlignment="1" applyProtection="1">
      <alignment horizontal="left"/>
      <protection locked="0"/>
    </xf>
    <xf numFmtId="0" fontId="29" fillId="8" borderId="0" xfId="0" applyFont="1" applyFill="1" applyProtection="1">
      <protection hidden="1"/>
    </xf>
    <xf numFmtId="0" fontId="29" fillId="8" borderId="0" xfId="0" applyFont="1" applyFill="1" applyAlignment="1" applyProtection="1">
      <alignment horizontal="center"/>
      <protection hidden="1"/>
    </xf>
    <xf numFmtId="0" fontId="0" fillId="8" borderId="0" xfId="0" applyFill="1" applyProtection="1">
      <protection locked="0" hidden="1"/>
    </xf>
    <xf numFmtId="0" fontId="12" fillId="0" borderId="0" xfId="0" applyFont="1" applyAlignment="1">
      <alignment horizontal="left" vertical="center" wrapText="1" indent="1"/>
    </xf>
    <xf numFmtId="0" fontId="122"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22" fillId="0" borderId="7" xfId="0" applyFont="1" applyBorder="1" applyAlignment="1">
      <alignment horizontal="left" vertical="center" wrapText="1" indent="1"/>
    </xf>
    <xf numFmtId="0" fontId="6" fillId="4" borderId="66" xfId="0" applyFont="1" applyFill="1" applyBorder="1" applyAlignment="1">
      <alignment horizontal="center" vertical="center"/>
    </xf>
    <xf numFmtId="0" fontId="6" fillId="8" borderId="0" xfId="0" applyFont="1" applyFill="1" applyAlignment="1">
      <alignment horizontal="center" vertical="center" wrapText="1"/>
    </xf>
    <xf numFmtId="0" fontId="6" fillId="4" borderId="83"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0" fillId="7" borderId="88" xfId="0" applyFill="1" applyBorder="1" applyAlignment="1">
      <alignment horizontal="center" vertical="center"/>
    </xf>
    <xf numFmtId="0" fontId="6" fillId="2" borderId="0" xfId="0" applyFont="1" applyFill="1" applyAlignment="1" applyProtection="1">
      <alignment horizontal="center" vertical="center" wrapText="1"/>
      <protection locked="0"/>
    </xf>
    <xf numFmtId="0" fontId="64" fillId="8" borderId="0" xfId="0" applyFont="1" applyFill="1" applyAlignment="1" applyProtection="1">
      <alignment vertical="center" wrapText="1"/>
      <protection locked="0"/>
    </xf>
    <xf numFmtId="0" fontId="0" fillId="7" borderId="66" xfId="0" applyFill="1" applyBorder="1" applyAlignment="1">
      <alignment horizontal="center" vertical="center"/>
    </xf>
    <xf numFmtId="0" fontId="65" fillId="0" borderId="96" xfId="0" applyFont="1" applyBorder="1" applyAlignment="1" applyProtection="1">
      <alignment horizontal="center" vertical="center"/>
      <protection locked="0"/>
    </xf>
    <xf numFmtId="0" fontId="0" fillId="7" borderId="67" xfId="0" applyFill="1" applyBorder="1" applyAlignment="1">
      <alignment horizontal="center" vertical="center"/>
    </xf>
    <xf numFmtId="0" fontId="0" fillId="17" borderId="67" xfId="0" applyFill="1" applyBorder="1" applyAlignment="1">
      <alignment horizontal="center" vertical="center"/>
    </xf>
    <xf numFmtId="0" fontId="65" fillId="8" borderId="67" xfId="0" applyFont="1" applyFill="1" applyBorder="1" applyAlignment="1" applyProtection="1">
      <alignment horizontal="center" vertical="center"/>
      <protection locked="0"/>
    </xf>
    <xf numFmtId="0" fontId="0" fillId="17" borderId="88" xfId="0"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123" fillId="9" borderId="0" xfId="0" applyFont="1" applyFill="1" applyAlignment="1" applyProtection="1">
      <alignment horizontal="center" wrapText="1"/>
      <protection locked="0"/>
    </xf>
    <xf numFmtId="0" fontId="6" fillId="4" borderId="97"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2" borderId="67" xfId="0" applyFont="1" applyFill="1" applyBorder="1" applyAlignment="1" applyProtection="1">
      <alignment horizontal="center" vertical="center" wrapText="1"/>
      <protection locked="0"/>
    </xf>
    <xf numFmtId="0" fontId="65" fillId="0" borderId="6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64" fillId="8" borderId="0" xfId="0" applyFont="1" applyFill="1" applyAlignment="1" applyProtection="1">
      <alignment horizontal="left"/>
      <protection locked="0"/>
    </xf>
    <xf numFmtId="49" fontId="17" fillId="8" borderId="0" xfId="0" applyNumberFormat="1"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61" fillId="8" borderId="0" xfId="0" applyFont="1" applyFill="1" applyAlignment="1" applyProtection="1">
      <alignment horizontal="left" vertical="center"/>
      <protection locked="0"/>
    </xf>
    <xf numFmtId="0" fontId="60" fillId="8" borderId="0" xfId="0" applyFont="1" applyFill="1" applyAlignment="1" applyProtection="1">
      <alignment horizontal="left" vertical="center"/>
      <protection locked="0"/>
    </xf>
    <xf numFmtId="0" fontId="13" fillId="7" borderId="67" xfId="0" applyFont="1" applyFill="1" applyBorder="1" applyAlignment="1">
      <alignment horizontal="center" vertical="center"/>
    </xf>
    <xf numFmtId="0" fontId="13" fillId="7" borderId="100" xfId="0" applyFont="1" applyFill="1" applyBorder="1" applyAlignment="1">
      <alignment horizontal="center" vertical="center"/>
    </xf>
    <xf numFmtId="0" fontId="0" fillId="7" borderId="100" xfId="0" applyFill="1" applyBorder="1" applyAlignment="1">
      <alignment horizontal="center" vertical="center"/>
    </xf>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13" fillId="7" borderId="66" xfId="0" applyFont="1" applyFill="1" applyBorder="1" applyAlignment="1">
      <alignment vertical="top" wrapText="1"/>
    </xf>
    <xf numFmtId="0" fontId="13" fillId="7" borderId="66" xfId="0" applyFont="1" applyFill="1" applyBorder="1" applyAlignment="1">
      <alignment horizontal="center" vertical="center"/>
    </xf>
    <xf numFmtId="0" fontId="14" fillId="7" borderId="67" xfId="0" applyFont="1" applyFill="1" applyBorder="1" applyAlignment="1">
      <alignment vertical="top" wrapText="1"/>
    </xf>
    <xf numFmtId="0" fontId="14" fillId="7" borderId="100" xfId="0" applyFont="1" applyFill="1" applyBorder="1" applyAlignment="1">
      <alignment vertical="top" wrapText="1"/>
    </xf>
    <xf numFmtId="0" fontId="79" fillId="8" borderId="0" xfId="0" applyFont="1" applyFill="1" applyAlignment="1" applyProtection="1">
      <alignment vertical="center"/>
      <protection locked="0"/>
    </xf>
    <xf numFmtId="0" fontId="7" fillId="2" borderId="102" xfId="0" applyFont="1" applyFill="1" applyBorder="1" applyAlignment="1" applyProtection="1">
      <alignment horizontal="center" vertical="center" wrapText="1"/>
      <protection locked="0"/>
    </xf>
    <xf numFmtId="0" fontId="7" fillId="2" borderId="104" xfId="0" applyFont="1" applyFill="1" applyBorder="1" applyAlignment="1" applyProtection="1">
      <alignment horizontal="center" vertical="center" wrapText="1"/>
      <protection locked="0"/>
    </xf>
    <xf numFmtId="0" fontId="0" fillId="0" borderId="104" xfId="0" applyBorder="1" applyAlignment="1" applyProtection="1">
      <alignment horizontal="center" vertical="center"/>
      <protection locked="0"/>
    </xf>
    <xf numFmtId="0" fontId="0" fillId="7" borderId="106" xfId="0" applyFill="1" applyBorder="1" applyAlignment="1">
      <alignment horizontal="center" vertical="center"/>
    </xf>
    <xf numFmtId="0" fontId="0" fillId="0" borderId="108" xfId="0" applyBorder="1" applyAlignment="1" applyProtection="1">
      <alignment horizontal="center" vertical="center"/>
      <protection locked="0"/>
    </xf>
    <xf numFmtId="0" fontId="37" fillId="0" borderId="0" xfId="0" applyFont="1" applyAlignment="1">
      <alignment vertical="center"/>
    </xf>
    <xf numFmtId="0" fontId="37" fillId="8" borderId="0" xfId="0" applyFont="1" applyFill="1" applyAlignment="1" applyProtection="1">
      <alignment vertical="center" wrapText="1"/>
      <protection locked="0"/>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6" fillId="4" borderId="111" xfId="0" applyFont="1" applyFill="1" applyBorder="1" applyAlignment="1">
      <alignment horizontal="center" vertical="center"/>
    </xf>
    <xf numFmtId="0" fontId="7" fillId="2" borderId="112" xfId="0" applyFont="1" applyFill="1" applyBorder="1" applyAlignment="1" applyProtection="1">
      <alignment horizontal="center" vertical="center" wrapText="1"/>
      <protection locked="0"/>
    </xf>
    <xf numFmtId="0" fontId="7" fillId="4" borderId="114" xfId="0" applyFont="1" applyFill="1" applyBorder="1" applyAlignment="1">
      <alignment horizontal="center" vertical="center"/>
    </xf>
    <xf numFmtId="0" fontId="7" fillId="4" borderId="114" xfId="0" applyFont="1" applyFill="1" applyBorder="1" applyAlignment="1">
      <alignment horizontal="center" vertical="center" wrapText="1"/>
    </xf>
    <xf numFmtId="0" fontId="7" fillId="2" borderId="115"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16" fillId="7" borderId="116" xfId="0" applyFont="1" applyFill="1" applyBorder="1" applyAlignment="1">
      <alignment vertical="top" wrapText="1"/>
    </xf>
    <xf numFmtId="0" fontId="13" fillId="7" borderId="117" xfId="0" applyFont="1"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16" fillId="7" borderId="119" xfId="0" applyFont="1" applyFill="1" applyBorder="1" applyAlignment="1">
      <alignment vertical="top" wrapText="1"/>
    </xf>
    <xf numFmtId="0" fontId="13" fillId="7" borderId="119" xfId="0" applyFont="1" applyFill="1" applyBorder="1" applyAlignment="1">
      <alignment horizontal="center" vertical="center"/>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63" fillId="0" borderId="119" xfId="0" applyFont="1" applyBorder="1" applyAlignment="1" applyProtection="1">
      <alignment horizontal="center" vertical="center"/>
      <protection locked="0"/>
    </xf>
    <xf numFmtId="0" fontId="16" fillId="7" borderId="121" xfId="0" applyFont="1" applyFill="1" applyBorder="1" applyAlignment="1">
      <alignment vertical="top" wrapText="1"/>
    </xf>
    <xf numFmtId="0" fontId="63" fillId="0" borderId="121" xfId="0" applyFont="1" applyBorder="1" applyAlignment="1" applyProtection="1">
      <alignment horizontal="center" vertical="center"/>
      <protection locked="0"/>
    </xf>
    <xf numFmtId="0" fontId="13" fillId="7" borderId="121" xfId="0" applyFont="1" applyFill="1" applyBorder="1" applyAlignment="1">
      <alignment horizontal="center" vertical="center"/>
    </xf>
    <xf numFmtId="0" fontId="0" fillId="7" borderId="121" xfId="0" applyFill="1" applyBorder="1" applyAlignment="1">
      <alignment horizontal="center" vertical="center"/>
    </xf>
    <xf numFmtId="0" fontId="0" fillId="7" borderId="122" xfId="0" applyFill="1" applyBorder="1" applyAlignment="1">
      <alignment horizontal="center" vertical="center"/>
    </xf>
    <xf numFmtId="0" fontId="88" fillId="0" borderId="0" xfId="0" applyFont="1" applyAlignment="1" applyProtection="1">
      <alignment vertical="center" wrapText="1"/>
      <protection locked="0"/>
    </xf>
    <xf numFmtId="0" fontId="63" fillId="0" borderId="0" xfId="0" applyFont="1"/>
    <xf numFmtId="0" fontId="63" fillId="8" borderId="0" xfId="0" applyFont="1" applyFill="1" applyProtection="1">
      <protection locked="0"/>
    </xf>
    <xf numFmtId="0" fontId="63" fillId="0" borderId="0" xfId="0" applyFont="1" applyAlignment="1">
      <alignment horizontal="center" vertical="center"/>
    </xf>
    <xf numFmtId="0" fontId="6" fillId="4" borderId="116" xfId="0" applyFont="1" applyFill="1" applyBorder="1" applyAlignment="1">
      <alignment horizontal="center" vertical="center"/>
    </xf>
    <xf numFmtId="0" fontId="6" fillId="4" borderId="123" xfId="0" applyFont="1" applyFill="1" applyBorder="1" applyAlignment="1">
      <alignment horizontal="center" vertical="center"/>
    </xf>
    <xf numFmtId="0" fontId="7" fillId="2" borderId="116" xfId="0" applyFont="1" applyFill="1" applyBorder="1" applyAlignment="1" applyProtection="1">
      <alignment horizontal="center" vertical="center" wrapText="1"/>
      <protection locked="0"/>
    </xf>
    <xf numFmtId="0" fontId="7" fillId="4" borderId="119" xfId="0" applyFont="1" applyFill="1" applyBorder="1" applyAlignment="1">
      <alignment horizontal="center" vertical="center"/>
    </xf>
    <xf numFmtId="0" fontId="7" fillId="4" borderId="119"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2" borderId="119" xfId="0" applyFont="1" applyFill="1" applyBorder="1" applyAlignment="1" applyProtection="1">
      <alignment horizontal="center" vertical="center" wrapText="1"/>
      <protection locked="0"/>
    </xf>
    <xf numFmtId="0" fontId="0" fillId="7" borderId="119" xfId="0" applyFill="1" applyBorder="1" applyProtection="1">
      <protection locked="0"/>
    </xf>
    <xf numFmtId="0" fontId="0" fillId="7" borderId="119" xfId="0" applyFill="1" applyBorder="1"/>
    <xf numFmtId="0" fontId="0" fillId="8" borderId="119" xfId="0" applyFill="1" applyBorder="1" applyAlignment="1" applyProtection="1">
      <alignment horizontal="center"/>
      <protection locked="0"/>
    </xf>
    <xf numFmtId="0" fontId="96" fillId="7" borderId="119" xfId="0" applyFont="1" applyFill="1" applyBorder="1" applyAlignment="1">
      <alignment horizontal="center" vertical="center" wrapText="1"/>
    </xf>
    <xf numFmtId="0" fontId="96" fillId="15" borderId="119" xfId="0" applyFont="1" applyFill="1" applyBorder="1" applyAlignment="1">
      <alignment vertical="center" wrapText="1"/>
    </xf>
    <xf numFmtId="0" fontId="97" fillId="0" borderId="119" xfId="0" applyFont="1" applyBorder="1" applyAlignment="1" applyProtection="1">
      <alignment horizontal="center" vertical="center" wrapText="1"/>
      <protection locked="0"/>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97" fillId="0" borderId="121" xfId="0" applyFont="1" applyBorder="1" applyAlignment="1" applyProtection="1">
      <alignment horizontal="center" vertical="center" wrapText="1"/>
      <protection locked="0"/>
    </xf>
    <xf numFmtId="0" fontId="63" fillId="0" borderId="54" xfId="0" applyFont="1" applyBorder="1" applyAlignment="1" applyProtection="1">
      <alignment horizontal="center" vertical="center" wrapText="1"/>
      <protection locked="0"/>
    </xf>
    <xf numFmtId="0" fontId="63" fillId="0" borderId="109" xfId="0" applyFont="1" applyBorder="1" applyAlignment="1" applyProtection="1">
      <alignment horizontal="center" vertical="center" wrapText="1"/>
      <protection locked="0"/>
    </xf>
    <xf numFmtId="0" fontId="73"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top" wrapText="1"/>
    </xf>
    <xf numFmtId="0" fontId="14" fillId="0" borderId="127" xfId="0" applyFont="1" applyBorder="1" applyAlignment="1">
      <alignment vertical="center" wrapText="1"/>
    </xf>
    <xf numFmtId="0" fontId="14" fillId="0" borderId="0" xfId="0" applyFont="1" applyAlignment="1">
      <alignment vertical="center" wrapText="1"/>
    </xf>
    <xf numFmtId="0" fontId="13" fillId="10" borderId="41" xfId="0" applyFont="1" applyFill="1" applyBorder="1" applyAlignment="1" applyProtection="1">
      <alignment horizontal="center" vertical="center"/>
      <protection locked="0"/>
    </xf>
    <xf numFmtId="0" fontId="10" fillId="19" borderId="0" xfId="0" applyFont="1" applyFill="1"/>
    <xf numFmtId="0" fontId="12" fillId="7" borderId="39" xfId="0" applyFont="1" applyFill="1" applyBorder="1" applyAlignment="1">
      <alignment vertical="center" wrapText="1"/>
    </xf>
    <xf numFmtId="0" fontId="15" fillId="10" borderId="0" xfId="0" applyFont="1" applyFill="1" applyAlignment="1" applyProtection="1">
      <alignment vertical="center"/>
      <protection locked="0"/>
    </xf>
    <xf numFmtId="0" fontId="13" fillId="4" borderId="0" xfId="0" applyFont="1" applyFill="1" applyAlignment="1">
      <alignment vertical="center"/>
    </xf>
    <xf numFmtId="0" fontId="4" fillId="4" borderId="10" xfId="0" applyFont="1" applyFill="1" applyBorder="1" applyAlignment="1" applyProtection="1">
      <alignment horizontal="left" vertical="top" wrapText="1" indent="1"/>
      <protection locked="0"/>
    </xf>
    <xf numFmtId="0" fontId="2" fillId="8" borderId="7" xfId="0" applyFont="1" applyFill="1" applyBorder="1" applyAlignment="1" applyProtection="1">
      <alignment wrapText="1"/>
      <protection locked="0"/>
    </xf>
    <xf numFmtId="0" fontId="3" fillId="8" borderId="0" xfId="0" applyFont="1" applyFill="1" applyAlignment="1" applyProtection="1">
      <alignment vertical="center" wrapText="1"/>
      <protection locked="0"/>
    </xf>
    <xf numFmtId="0" fontId="12" fillId="7" borderId="48" xfId="0" applyFont="1" applyFill="1" applyBorder="1" applyAlignment="1">
      <alignment vertical="center" wrapText="1"/>
    </xf>
    <xf numFmtId="0" fontId="96" fillId="7" borderId="44" xfId="0" applyFont="1" applyFill="1" applyBorder="1" applyAlignment="1">
      <alignment vertical="center" wrapText="1"/>
    </xf>
    <xf numFmtId="0" fontId="2" fillId="5" borderId="5" xfId="0" applyFont="1" applyFill="1" applyBorder="1"/>
    <xf numFmtId="0" fontId="10" fillId="5" borderId="22" xfId="0" applyFont="1" applyFill="1" applyBorder="1" applyAlignment="1">
      <alignment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vertical="center" wrapText="1"/>
    </xf>
    <xf numFmtId="49" fontId="17" fillId="8" borderId="0" xfId="0" applyNumberFormat="1" applyFont="1" applyFill="1" applyAlignment="1" applyProtection="1">
      <alignment horizontal="left"/>
      <protection locked="0"/>
    </xf>
    <xf numFmtId="0" fontId="4" fillId="8" borderId="0" xfId="0" applyFont="1" applyFill="1" applyAlignment="1" applyProtection="1">
      <alignment wrapText="1"/>
      <protection locked="0"/>
    </xf>
    <xf numFmtId="0" fontId="10" fillId="2" borderId="5" xfId="0" applyFont="1" applyFill="1" applyBorder="1" applyAlignment="1">
      <alignment horizontal="center" vertical="center"/>
    </xf>
    <xf numFmtId="0" fontId="5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68" fillId="8" borderId="0" xfId="0" applyFont="1" applyFill="1" applyAlignment="1">
      <alignment horizontal="center"/>
    </xf>
    <xf numFmtId="0" fontId="67" fillId="8" borderId="0" xfId="0" applyFont="1" applyFill="1" applyAlignment="1">
      <alignment horizontal="center"/>
    </xf>
    <xf numFmtId="0" fontId="4" fillId="2" borderId="129"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0" fillId="19" borderId="0" xfId="0" applyFill="1" applyProtection="1">
      <protection locked="0"/>
    </xf>
    <xf numFmtId="0" fontId="4" fillId="0" borderId="5" xfId="0" applyFont="1" applyBorder="1" applyAlignment="1">
      <alignment horizontal="center" vertical="center" wrapText="1"/>
    </xf>
    <xf numFmtId="0" fontId="13" fillId="7" borderId="39" xfId="0" applyFont="1" applyFill="1" applyBorder="1" applyAlignment="1" applyProtection="1">
      <alignment vertical="center" wrapText="1"/>
      <protection locked="0"/>
    </xf>
    <xf numFmtId="0" fontId="44" fillId="7" borderId="39" xfId="0" applyFont="1" applyFill="1" applyBorder="1" applyAlignment="1" applyProtection="1">
      <alignment horizontal="left" vertical="center" wrapText="1"/>
      <protection locked="0"/>
    </xf>
    <xf numFmtId="0" fontId="13" fillId="7" borderId="39" xfId="0" applyFont="1" applyFill="1" applyBorder="1" applyAlignment="1" applyProtection="1">
      <alignment vertical="center"/>
      <protection locked="0"/>
    </xf>
    <xf numFmtId="0" fontId="13"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vertical="top" wrapText="1"/>
      <protection locked="0"/>
    </xf>
    <xf numFmtId="0" fontId="13" fillId="7" borderId="39" xfId="0" applyFont="1" applyFill="1" applyBorder="1" applyAlignment="1" applyProtection="1">
      <alignment vertical="top" wrapText="1"/>
      <protection locked="0"/>
    </xf>
    <xf numFmtId="0" fontId="20" fillId="7" borderId="39" xfId="0" applyFont="1" applyFill="1" applyBorder="1" applyAlignment="1" applyProtection="1">
      <alignment vertical="center" wrapText="1"/>
      <protection locked="0"/>
    </xf>
    <xf numFmtId="0" fontId="13" fillId="7" borderId="52" xfId="0" applyFont="1" applyFill="1" applyBorder="1" applyAlignment="1" applyProtection="1">
      <alignment vertical="center" wrapText="1"/>
      <protection locked="0"/>
    </xf>
    <xf numFmtId="0" fontId="15" fillId="13" borderId="28" xfId="0" applyFont="1" applyFill="1" applyBorder="1" applyAlignment="1" applyProtection="1">
      <alignment vertical="center"/>
      <protection locked="0"/>
    </xf>
    <xf numFmtId="0" fontId="10" fillId="19" borderId="5" xfId="0" applyFont="1" applyFill="1" applyBorder="1" applyAlignment="1" applyProtection="1">
      <alignment vertical="center"/>
      <protection locked="0"/>
    </xf>
    <xf numFmtId="0" fontId="13" fillId="7" borderId="139" xfId="0" applyFont="1" applyFill="1" applyBorder="1" applyAlignment="1" applyProtection="1">
      <alignment vertical="center" wrapText="1"/>
      <protection locked="0"/>
    </xf>
    <xf numFmtId="0" fontId="0" fillId="7" borderId="72" xfId="0" applyFill="1" applyBorder="1" applyAlignment="1">
      <alignment horizontal="center" vertical="center"/>
    </xf>
    <xf numFmtId="0" fontId="69" fillId="7" borderId="72" xfId="0" applyFont="1" applyFill="1" applyBorder="1" applyAlignment="1">
      <alignment horizontal="center" vertical="center"/>
    </xf>
    <xf numFmtId="0" fontId="0" fillId="8" borderId="0" xfId="0" applyFill="1" applyAlignment="1">
      <alignment vertical="center"/>
    </xf>
    <xf numFmtId="0" fontId="15" fillId="13" borderId="28" xfId="0" applyFont="1" applyFill="1" applyBorder="1" applyAlignment="1">
      <alignment vertical="center"/>
    </xf>
    <xf numFmtId="0" fontId="10" fillId="13" borderId="5" xfId="0" applyFont="1" applyFill="1" applyBorder="1" applyAlignment="1" applyProtection="1">
      <alignment horizontal="center" vertical="center"/>
      <protection locked="0"/>
    </xf>
    <xf numFmtId="0" fontId="4" fillId="19" borderId="0" xfId="0" applyFont="1" applyFill="1" applyAlignment="1" applyProtection="1">
      <alignment horizontal="center" vertical="center"/>
      <protection locked="0"/>
    </xf>
    <xf numFmtId="0" fontId="68" fillId="8" borderId="79" xfId="0" applyFont="1" applyFill="1" applyBorder="1" applyAlignment="1" applyProtection="1">
      <alignment vertical="center"/>
      <protection locked="0"/>
    </xf>
    <xf numFmtId="164" fontId="127" fillId="8" borderId="0" xfId="0" applyNumberFormat="1" applyFont="1" applyFill="1" applyAlignment="1">
      <alignment horizontal="left" vertical="center" wrapText="1"/>
    </xf>
    <xf numFmtId="0" fontId="49" fillId="8" borderId="0" xfId="0" applyFont="1" applyFill="1" applyAlignment="1">
      <alignment horizontal="center" vertical="center"/>
    </xf>
    <xf numFmtId="0" fontId="68" fillId="8" borderId="79" xfId="0" applyFont="1" applyFill="1" applyBorder="1" applyAlignment="1">
      <alignment vertical="center"/>
    </xf>
    <xf numFmtId="0" fontId="19" fillId="2" borderId="134" xfId="0" applyFont="1" applyFill="1" applyBorder="1" applyAlignment="1">
      <alignment horizontal="center" vertical="center" wrapText="1"/>
    </xf>
    <xf numFmtId="0" fontId="26" fillId="5" borderId="43" xfId="0" applyFont="1" applyFill="1" applyBorder="1" applyAlignment="1" applyProtection="1">
      <alignment horizontal="left" vertical="top" wrapText="1"/>
      <protection locked="0"/>
    </xf>
    <xf numFmtId="0" fontId="0" fillId="8" borderId="0" xfId="0" applyFill="1" applyAlignment="1">
      <alignment horizontal="center"/>
    </xf>
    <xf numFmtId="0" fontId="19" fillId="2" borderId="134" xfId="0" applyFont="1" applyFill="1" applyBorder="1" applyAlignment="1">
      <alignment horizontal="center" vertical="center"/>
    </xf>
    <xf numFmtId="0" fontId="10" fillId="13" borderId="0" xfId="0" applyFont="1" applyFill="1" applyAlignment="1">
      <alignment horizontal="center" vertical="center"/>
    </xf>
    <xf numFmtId="0" fontId="72" fillId="8" borderId="0" xfId="0" applyFont="1" applyFill="1" applyAlignment="1">
      <alignment horizontal="left" vertical="center" wrapText="1"/>
    </xf>
    <xf numFmtId="0" fontId="43" fillId="8" borderId="0" xfId="0" applyFont="1" applyFill="1" applyAlignment="1">
      <alignment horizontal="left" vertical="center" wrapText="1"/>
    </xf>
    <xf numFmtId="0" fontId="64" fillId="8" borderId="0" xfId="0" applyFont="1" applyFill="1" applyAlignment="1">
      <alignment vertical="center"/>
    </xf>
    <xf numFmtId="0" fontId="98" fillId="8" borderId="0" xfId="0" applyFont="1" applyFill="1" applyAlignment="1">
      <alignment vertical="center" wrapText="1"/>
    </xf>
    <xf numFmtId="2" fontId="29" fillId="8" borderId="0" xfId="0" applyNumberFormat="1" applyFont="1" applyFill="1"/>
    <xf numFmtId="0" fontId="64" fillId="8" borderId="0" xfId="0" applyFont="1" applyFill="1" applyAlignment="1">
      <alignment horizontal="right" vertical="center"/>
    </xf>
    <xf numFmtId="2" fontId="19" fillId="8" borderId="0" xfId="0" applyNumberFormat="1" applyFont="1" applyFill="1" applyAlignment="1">
      <alignment horizontal="center" vertical="center"/>
    </xf>
    <xf numFmtId="0" fontId="15" fillId="8" borderId="0" xfId="0" applyFont="1" applyFill="1" applyAlignment="1">
      <alignment vertical="center" wrapText="1"/>
    </xf>
    <xf numFmtId="0" fontId="98" fillId="8" borderId="0" xfId="0" applyFont="1" applyFill="1" applyAlignment="1">
      <alignment wrapText="1"/>
    </xf>
    <xf numFmtId="0" fontId="18" fillId="8" borderId="0" xfId="0" applyFont="1" applyFill="1" applyAlignment="1">
      <alignment horizontal="right"/>
    </xf>
    <xf numFmtId="2" fontId="19" fillId="8" borderId="0" xfId="0" applyNumberFormat="1" applyFont="1" applyFill="1" applyAlignment="1">
      <alignment horizontal="center"/>
    </xf>
    <xf numFmtId="0" fontId="64" fillId="8" borderId="0" xfId="0" applyFont="1" applyFill="1" applyAlignment="1">
      <alignment horizontal="left" vertical="center" wrapText="1"/>
    </xf>
    <xf numFmtId="0" fontId="15" fillId="8" borderId="0" xfId="0" applyFont="1" applyFill="1" applyAlignment="1">
      <alignment horizontal="center" vertical="center"/>
    </xf>
    <xf numFmtId="0" fontId="64" fillId="8" borderId="0" xfId="0" applyFont="1" applyFill="1" applyAlignment="1">
      <alignment horizontal="left" vertical="center"/>
    </xf>
    <xf numFmtId="0" fontId="98" fillId="8" borderId="0" xfId="0" applyFont="1" applyFill="1" applyAlignment="1">
      <alignment horizontal="left" vertical="center" wrapText="1"/>
    </xf>
    <xf numFmtId="0" fontId="0" fillId="8" borderId="0" xfId="0" applyFill="1" applyAlignment="1">
      <alignment horizontal="left" vertical="center"/>
    </xf>
    <xf numFmtId="0" fontId="18" fillId="8" borderId="0" xfId="0" applyFont="1" applyFill="1" applyAlignment="1">
      <alignment horizontal="right" vertical="center"/>
    </xf>
    <xf numFmtId="0" fontId="12" fillId="8" borderId="0" xfId="0" applyFont="1" applyFill="1" applyAlignment="1">
      <alignment horizontal="center" vertical="center"/>
    </xf>
    <xf numFmtId="0" fontId="37" fillId="8" borderId="0" xfId="0" applyFont="1" applyFill="1" applyAlignment="1">
      <alignment horizontal="center" vertical="center" wrapText="1"/>
    </xf>
    <xf numFmtId="0" fontId="88" fillId="8" borderId="0" xfId="0" applyFont="1" applyFill="1" applyAlignment="1">
      <alignment vertical="center" wrapText="1"/>
    </xf>
    <xf numFmtId="0" fontId="46" fillId="8" borderId="0" xfId="0" applyFont="1" applyFill="1" applyAlignment="1">
      <alignment vertical="center" wrapText="1"/>
    </xf>
    <xf numFmtId="2" fontId="46" fillId="8" borderId="0" xfId="0" applyNumberFormat="1" applyFont="1" applyFill="1" applyAlignment="1">
      <alignment vertical="center" wrapText="1"/>
    </xf>
    <xf numFmtId="0" fontId="4" fillId="8" borderId="0" xfId="0" applyFont="1" applyFill="1" applyAlignment="1">
      <alignment horizontal="left" vertical="center" wrapText="1"/>
    </xf>
    <xf numFmtId="0" fontId="26" fillId="8" borderId="0" xfId="0" applyFont="1" applyFill="1" applyAlignment="1">
      <alignment horizontal="center" vertical="center"/>
    </xf>
    <xf numFmtId="2" fontId="26" fillId="8" borderId="0" xfId="0" applyNumberFormat="1" applyFont="1" applyFill="1" applyAlignment="1">
      <alignment horizontal="center" vertical="center"/>
    </xf>
    <xf numFmtId="0" fontId="4" fillId="8" borderId="0" xfId="0" applyFont="1" applyFill="1" applyAlignment="1">
      <alignment vertical="center" wrapText="1"/>
    </xf>
    <xf numFmtId="0" fontId="26" fillId="8" borderId="0" xfId="0" applyFont="1" applyFill="1" applyAlignment="1">
      <alignment vertical="center"/>
    </xf>
    <xf numFmtId="0" fontId="0" fillId="4" borderId="10" xfId="0" applyFill="1" applyBorder="1"/>
    <xf numFmtId="0" fontId="83" fillId="7" borderId="39" xfId="0" applyFont="1" applyFill="1" applyBorder="1" applyAlignment="1">
      <alignment vertical="center" wrapText="1"/>
    </xf>
    <xf numFmtId="0" fontId="83" fillId="7" borderId="39" xfId="0" applyFont="1" applyFill="1" applyBorder="1" applyAlignment="1">
      <alignment horizontal="center" vertical="center" wrapText="1"/>
    </xf>
    <xf numFmtId="2" fontId="15" fillId="7" borderId="41" xfId="0" applyNumberFormat="1" applyFont="1" applyFill="1" applyBorder="1" applyAlignment="1">
      <alignment horizontal="center" vertical="center"/>
    </xf>
    <xf numFmtId="0" fontId="12" fillId="8" borderId="41" xfId="0" applyFont="1" applyFill="1" applyBorder="1" applyAlignment="1">
      <alignment horizontal="center" vertical="center"/>
    </xf>
    <xf numFmtId="0" fontId="88" fillId="7" borderId="41" xfId="0" applyFont="1" applyFill="1" applyBorder="1" applyAlignment="1">
      <alignment horizontal="center" vertical="center"/>
    </xf>
    <xf numFmtId="2" fontId="63" fillId="7" borderId="41" xfId="0" applyNumberFormat="1" applyFont="1" applyFill="1" applyBorder="1" applyAlignment="1">
      <alignment horizontal="center" vertical="center"/>
    </xf>
    <xf numFmtId="0" fontId="83" fillId="0" borderId="39" xfId="0" applyFont="1" applyBorder="1" applyAlignment="1">
      <alignment vertical="center" wrapText="1"/>
    </xf>
    <xf numFmtId="0" fontId="83" fillId="7" borderId="44" xfId="0" applyFont="1" applyFill="1" applyBorder="1" applyAlignment="1" applyProtection="1">
      <alignment vertical="center"/>
      <protection locked="0"/>
    </xf>
    <xf numFmtId="0" fontId="83" fillId="7" borderId="41" xfId="0" applyFont="1" applyFill="1" applyBorder="1" applyAlignment="1" applyProtection="1">
      <alignment vertical="center"/>
      <protection locked="0"/>
    </xf>
    <xf numFmtId="0" fontId="14" fillId="8" borderId="41" xfId="0" applyFont="1" applyFill="1" applyBorder="1" applyAlignment="1" applyProtection="1">
      <alignment horizontal="center" vertical="center" wrapText="1"/>
      <protection locked="0"/>
    </xf>
    <xf numFmtId="0" fontId="15" fillId="10" borderId="43" xfId="0" applyFont="1" applyFill="1" applyBorder="1" applyAlignment="1" applyProtection="1">
      <alignment horizontal="center"/>
      <protection locked="0"/>
    </xf>
    <xf numFmtId="0" fontId="15" fillId="10" borderId="80" xfId="0" applyFont="1" applyFill="1" applyBorder="1" applyAlignment="1" applyProtection="1">
      <alignment vertical="center"/>
      <protection locked="0"/>
    </xf>
    <xf numFmtId="0" fontId="4" fillId="4" borderId="10" xfId="0" applyFont="1" applyFill="1" applyBorder="1" applyAlignment="1">
      <alignment horizontal="left" vertical="top" wrapText="1" indent="1"/>
    </xf>
    <xf numFmtId="0" fontId="7" fillId="8" borderId="0" xfId="0" applyFont="1" applyFill="1" applyAlignment="1">
      <alignment vertical="center" textRotation="90"/>
    </xf>
    <xf numFmtId="164" fontId="88" fillId="7" borderId="41" xfId="0" applyNumberFormat="1" applyFont="1" applyFill="1" applyBorder="1" applyAlignment="1">
      <alignment horizontal="center" vertical="center"/>
    </xf>
    <xf numFmtId="164" fontId="63" fillId="7" borderId="41" xfId="0" applyNumberFormat="1" applyFont="1" applyFill="1" applyBorder="1" applyAlignment="1">
      <alignment horizontal="center" vertical="center"/>
    </xf>
    <xf numFmtId="1" fontId="0" fillId="7" borderId="41" xfId="0" applyNumberFormat="1" applyFill="1" applyBorder="1" applyAlignment="1">
      <alignment horizontal="center" vertical="center"/>
    </xf>
    <xf numFmtId="0" fontId="12" fillId="8" borderId="3" xfId="0" applyFont="1" applyFill="1" applyBorder="1" applyAlignment="1">
      <alignment horizontal="center" vertical="center"/>
    </xf>
    <xf numFmtId="164" fontId="0" fillId="7" borderId="41" xfId="0" applyNumberFormat="1" applyFill="1" applyBorder="1" applyAlignment="1">
      <alignment horizontal="center" vertical="center"/>
    </xf>
    <xf numFmtId="2" fontId="0" fillId="7" borderId="41" xfId="0" applyNumberFormat="1" applyFill="1" applyBorder="1" applyAlignment="1">
      <alignment horizontal="center" vertical="center"/>
    </xf>
    <xf numFmtId="0" fontId="83" fillId="7" borderId="81" xfId="0" applyFont="1" applyFill="1" applyBorder="1" applyAlignment="1">
      <alignment vertical="center" wrapText="1"/>
    </xf>
    <xf numFmtId="164" fontId="88" fillId="7" borderId="82" xfId="0" applyNumberFormat="1" applyFont="1" applyFill="1" applyBorder="1" applyAlignment="1">
      <alignment horizontal="center" vertical="center"/>
    </xf>
    <xf numFmtId="2" fontId="15" fillId="7" borderId="82" xfId="0" applyNumberFormat="1" applyFont="1" applyFill="1" applyBorder="1" applyAlignment="1">
      <alignment horizontal="center" vertical="center"/>
    </xf>
    <xf numFmtId="0" fontId="12" fillId="8" borderId="82" xfId="0" applyFont="1" applyFill="1" applyBorder="1" applyAlignment="1">
      <alignment horizontal="center" vertical="center"/>
    </xf>
    <xf numFmtId="2" fontId="0" fillId="7" borderId="82" xfId="0" applyNumberFormat="1" applyFill="1" applyBorder="1" applyAlignment="1">
      <alignment horizontal="center" vertical="center"/>
    </xf>
    <xf numFmtId="0" fontId="12" fillId="8" borderId="62" xfId="0" applyFont="1" applyFill="1" applyBorder="1" applyAlignment="1">
      <alignment horizontal="center" vertical="center"/>
    </xf>
    <xf numFmtId="0" fontId="29" fillId="8" borderId="0" xfId="0" applyFont="1" applyFill="1" applyAlignment="1" applyProtection="1">
      <alignment horizontal="left"/>
      <protection hidden="1"/>
    </xf>
    <xf numFmtId="0" fontId="44" fillId="7" borderId="74" xfId="0" applyFont="1" applyFill="1" applyBorder="1" applyAlignment="1">
      <alignment horizontal="left" vertical="center" wrapText="1"/>
    </xf>
    <xf numFmtId="0" fontId="0" fillId="7" borderId="72" xfId="0" applyFill="1" applyBorder="1"/>
    <xf numFmtId="0" fontId="10" fillId="7" borderId="72" xfId="0" applyFont="1" applyFill="1" applyBorder="1" applyAlignment="1">
      <alignment horizontal="center" vertical="center"/>
    </xf>
    <xf numFmtId="0" fontId="5" fillId="7" borderId="72" xfId="0" applyFont="1" applyFill="1" applyBorder="1" applyAlignment="1">
      <alignment horizontal="center" vertical="center"/>
    </xf>
    <xf numFmtId="0" fontId="0" fillId="7" borderId="75" xfId="0" applyFill="1" applyBorder="1"/>
    <xf numFmtId="0" fontId="11" fillId="7" borderId="16" xfId="0" applyFont="1" applyFill="1" applyBorder="1" applyAlignment="1">
      <alignment vertical="center"/>
    </xf>
    <xf numFmtId="0" fontId="44" fillId="7" borderId="39" xfId="0" applyFont="1" applyFill="1" applyBorder="1" applyAlignment="1">
      <alignment horizontal="left" vertical="center" wrapText="1"/>
    </xf>
    <xf numFmtId="0" fontId="0" fillId="7" borderId="40" xfId="0" applyFill="1" applyBorder="1"/>
    <xf numFmtId="0" fontId="0" fillId="8" borderId="8" xfId="0" applyFill="1" applyBorder="1"/>
    <xf numFmtId="0" fontId="11" fillId="7" borderId="16" xfId="0" applyFont="1" applyFill="1" applyBorder="1" applyAlignment="1">
      <alignment vertical="center" wrapText="1"/>
    </xf>
    <xf numFmtId="0" fontId="0" fillId="8" borderId="3" xfId="0" applyFill="1" applyBorder="1"/>
    <xf numFmtId="0" fontId="13" fillId="7" borderId="39" xfId="0" applyFont="1" applyFill="1" applyBorder="1" applyAlignment="1">
      <alignment horizontal="left" vertical="center" wrapText="1"/>
    </xf>
    <xf numFmtId="0" fontId="69" fillId="7" borderId="40" xfId="0" applyFont="1" applyFill="1" applyBorder="1" applyAlignment="1">
      <alignment horizontal="center" vertical="center"/>
    </xf>
    <xf numFmtId="0" fontId="74" fillId="7" borderId="40" xfId="0" applyFont="1" applyFill="1" applyBorder="1" applyAlignment="1">
      <alignment horizontal="center" vertical="center"/>
    </xf>
    <xf numFmtId="0" fontId="13" fillId="7" borderId="39" xfId="0" applyFont="1" applyFill="1" applyBorder="1" applyAlignment="1">
      <alignment horizontal="left" vertical="top" wrapText="1"/>
    </xf>
    <xf numFmtId="0" fontId="25" fillId="7" borderId="40" xfId="0" applyFont="1" applyFill="1" applyBorder="1" applyAlignment="1">
      <alignment horizontal="center" vertical="center" wrapText="1"/>
    </xf>
    <xf numFmtId="0" fontId="13" fillId="7" borderId="39" xfId="0" applyFont="1" applyFill="1" applyBorder="1" applyAlignment="1">
      <alignment horizontal="left" vertical="center"/>
    </xf>
    <xf numFmtId="0" fontId="91" fillId="7" borderId="40" xfId="0" applyFont="1" applyFill="1" applyBorder="1" applyAlignment="1">
      <alignment horizontal="center" vertical="center" wrapText="1"/>
    </xf>
    <xf numFmtId="0" fontId="11" fillId="7" borderId="20" xfId="0" applyFont="1" applyFill="1" applyBorder="1" applyAlignment="1">
      <alignment vertical="center"/>
    </xf>
    <xf numFmtId="0" fontId="11" fillId="19" borderId="37" xfId="0" applyFont="1" applyFill="1" applyBorder="1" applyAlignment="1">
      <alignment vertical="center"/>
    </xf>
    <xf numFmtId="0" fontId="13" fillId="7" borderId="74" xfId="0" applyFont="1" applyFill="1" applyBorder="1" applyAlignment="1">
      <alignment vertical="center"/>
    </xf>
    <xf numFmtId="0" fontId="91" fillId="7" borderId="72" xfId="0" applyFont="1" applyFill="1" applyBorder="1" applyAlignment="1">
      <alignment horizontal="center" vertical="center" wrapText="1"/>
    </xf>
    <xf numFmtId="0" fontId="91" fillId="7" borderId="75" xfId="0" applyFont="1" applyFill="1" applyBorder="1" applyAlignment="1">
      <alignment horizontal="center" vertical="center" wrapText="1"/>
    </xf>
    <xf numFmtId="0" fontId="11" fillId="7" borderId="38" xfId="0" applyFont="1" applyFill="1" applyBorder="1" applyAlignment="1">
      <alignment vertical="center" wrapText="1"/>
    </xf>
    <xf numFmtId="0" fontId="13" fillId="7" borderId="39" xfId="0" applyFont="1" applyFill="1" applyBorder="1" applyAlignment="1">
      <alignment vertical="center" wrapText="1"/>
    </xf>
    <xf numFmtId="0" fontId="90" fillId="7" borderId="41" xfId="0" applyFont="1" applyFill="1" applyBorder="1"/>
    <xf numFmtId="0" fontId="77" fillId="7" borderId="52" xfId="0" applyFont="1" applyFill="1" applyBorder="1" applyAlignment="1">
      <alignment vertical="center" wrapText="1"/>
    </xf>
    <xf numFmtId="0" fontId="91" fillId="7" borderId="56" xfId="0" applyFont="1" applyFill="1" applyBorder="1" applyAlignment="1">
      <alignment horizontal="center" vertical="center" wrapText="1"/>
    </xf>
    <xf numFmtId="0" fontId="90" fillId="7" borderId="56" xfId="0" applyFont="1" applyFill="1" applyBorder="1"/>
    <xf numFmtId="0" fontId="69" fillId="7" borderId="57" xfId="0" applyFont="1" applyFill="1" applyBorder="1" applyAlignment="1">
      <alignment horizontal="center" vertical="center"/>
    </xf>
    <xf numFmtId="0" fontId="0" fillId="19" borderId="37" xfId="0" applyFill="1" applyBorder="1"/>
    <xf numFmtId="0" fontId="13" fillId="7" borderId="74" xfId="0" applyFont="1" applyFill="1" applyBorder="1" applyAlignment="1">
      <alignment vertical="center" wrapText="1"/>
    </xf>
    <xf numFmtId="0" fontId="11" fillId="7" borderId="63" xfId="0" applyFont="1" applyFill="1" applyBorder="1" applyAlignment="1">
      <alignment vertical="center"/>
    </xf>
    <xf numFmtId="0" fontId="11" fillId="7" borderId="3" xfId="0" applyFont="1" applyFill="1" applyBorder="1" applyAlignment="1">
      <alignment vertical="center"/>
    </xf>
    <xf numFmtId="0" fontId="13" fillId="7" borderId="39" xfId="0" applyFont="1" applyFill="1" applyBorder="1" applyAlignment="1">
      <alignment vertical="top" wrapText="1"/>
    </xf>
    <xf numFmtId="0" fontId="13" fillId="7" borderId="52" xfId="0" applyFont="1" applyFill="1" applyBorder="1" applyAlignment="1">
      <alignment vertical="center" wrapText="1"/>
    </xf>
    <xf numFmtId="0" fontId="11" fillId="7" borderId="29" xfId="0" applyFont="1" applyFill="1" applyBorder="1" applyAlignment="1">
      <alignment vertical="center"/>
    </xf>
    <xf numFmtId="2" fontId="46" fillId="8" borderId="0" xfId="0" applyNumberFormat="1" applyFont="1" applyFill="1" applyAlignment="1" applyProtection="1">
      <alignment vertical="center" wrapText="1"/>
      <protection hidden="1"/>
    </xf>
    <xf numFmtId="0" fontId="45" fillId="8" borderId="0" xfId="0" applyFont="1" applyFill="1" applyAlignment="1">
      <alignment horizontal="center" wrapText="1"/>
    </xf>
    <xf numFmtId="0" fontId="2" fillId="8" borderId="105" xfId="0" applyFont="1" applyFill="1" applyBorder="1" applyAlignment="1">
      <alignment horizont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3" xfId="0" applyFont="1" applyFill="1" applyBorder="1" applyAlignment="1">
      <alignment horizontal="center" vertical="center" wrapText="1"/>
    </xf>
    <xf numFmtId="49" fontId="17" fillId="8" borderId="105" xfId="0" applyNumberFormat="1" applyFont="1" applyFill="1" applyBorder="1" applyAlignment="1">
      <alignment vertical="top"/>
    </xf>
    <xf numFmtId="0" fontId="0" fillId="7" borderId="103" xfId="0" applyFill="1" applyBorder="1" applyAlignment="1">
      <alignment horizontal="center" vertical="center"/>
    </xf>
    <xf numFmtId="0" fontId="0" fillId="16" borderId="103" xfId="0" applyFill="1" applyBorder="1" applyAlignment="1">
      <alignment horizontal="center" vertical="center"/>
    </xf>
    <xf numFmtId="0" fontId="0" fillId="6" borderId="107" xfId="0" applyFill="1" applyBorder="1" applyAlignment="1">
      <alignment horizontal="left" vertical="top" indent="1"/>
    </xf>
    <xf numFmtId="0" fontId="0" fillId="16" borderId="107" xfId="0" applyFill="1" applyBorder="1" applyAlignment="1">
      <alignment horizontal="center" vertical="center"/>
    </xf>
    <xf numFmtId="0" fontId="79" fillId="8" borderId="0" xfId="0" applyFont="1" applyFill="1" applyAlignment="1">
      <alignment vertical="center"/>
    </xf>
    <xf numFmtId="0" fontId="15" fillId="8" borderId="0" xfId="0" applyFont="1" applyFill="1" applyAlignment="1">
      <alignment horizontal="right"/>
    </xf>
    <xf numFmtId="0" fontId="12" fillId="0" borderId="0" xfId="0" applyFont="1"/>
    <xf numFmtId="0" fontId="15" fillId="8" borderId="0" xfId="0" applyFont="1" applyFill="1" applyAlignment="1">
      <alignment horizontal="left" vertical="center" wrapText="1"/>
    </xf>
    <xf numFmtId="0" fontId="88" fillId="7" borderId="3" xfId="0" applyFont="1" applyFill="1" applyBorder="1" applyAlignment="1">
      <alignment horizontal="center" vertical="center"/>
    </xf>
    <xf numFmtId="1" fontId="15" fillId="7" borderId="3" xfId="0" applyNumberFormat="1" applyFont="1" applyFill="1" applyBorder="1" applyAlignment="1">
      <alignment horizontal="center" vertical="center"/>
    </xf>
    <xf numFmtId="164" fontId="63" fillId="7" borderId="3" xfId="0" applyNumberFormat="1" applyFont="1" applyFill="1" applyBorder="1" applyAlignment="1">
      <alignment horizontal="center" vertical="center"/>
    </xf>
    <xf numFmtId="0" fontId="20" fillId="7" borderId="39" xfId="0" applyFont="1" applyFill="1" applyBorder="1" applyAlignment="1">
      <alignment vertical="center" wrapText="1"/>
    </xf>
    <xf numFmtId="0" fontId="20" fillId="7" borderId="39" xfId="0" applyFont="1" applyFill="1" applyBorder="1" applyAlignment="1">
      <alignment horizontal="left" vertical="center" wrapText="1"/>
    </xf>
    <xf numFmtId="0" fontId="21" fillId="7" borderId="39" xfId="0" applyFont="1" applyFill="1" applyBorder="1" applyAlignment="1">
      <alignment horizontal="left" vertical="center" wrapText="1"/>
    </xf>
    <xf numFmtId="0" fontId="75" fillId="7" borderId="39" xfId="0" applyFont="1" applyFill="1" applyBorder="1" applyAlignment="1">
      <alignment horizontal="left" vertical="center" wrapText="1"/>
    </xf>
    <xf numFmtId="0" fontId="75" fillId="7" borderId="81" xfId="0" applyFont="1" applyFill="1" applyBorder="1" applyAlignment="1">
      <alignment horizontal="left" vertical="center" wrapText="1"/>
    </xf>
    <xf numFmtId="0" fontId="117" fillId="8" borderId="0" xfId="0" applyFont="1" applyFill="1" applyProtection="1">
      <protection hidden="1"/>
    </xf>
    <xf numFmtId="0" fontId="4" fillId="13" borderId="5" xfId="0" applyFont="1" applyFill="1" applyBorder="1" applyAlignment="1">
      <alignment horizontal="center" vertical="center"/>
    </xf>
    <xf numFmtId="0" fontId="13" fillId="7" borderId="48" xfId="0" applyFont="1" applyFill="1" applyBorder="1" applyAlignment="1">
      <alignment vertical="center"/>
    </xf>
    <xf numFmtId="0" fontId="69" fillId="7" borderId="77" xfId="0" applyFont="1" applyFill="1" applyBorder="1" applyAlignment="1">
      <alignment horizontal="center" vertical="center"/>
    </xf>
    <xf numFmtId="0" fontId="69" fillId="7" borderId="76" xfId="0" applyFont="1" applyFill="1" applyBorder="1" applyAlignment="1">
      <alignment horizontal="center" vertical="center"/>
    </xf>
    <xf numFmtId="0" fontId="0" fillId="7" borderId="44" xfId="0" applyFill="1" applyBorder="1"/>
    <xf numFmtId="0" fontId="10" fillId="7" borderId="44" xfId="0" applyFont="1" applyFill="1" applyBorder="1" applyAlignment="1">
      <alignment horizontal="center" vertical="center"/>
    </xf>
    <xf numFmtId="0" fontId="5" fillId="7" borderId="44" xfId="0" applyFont="1" applyFill="1" applyBorder="1" applyAlignment="1">
      <alignment horizontal="center" vertical="center"/>
    </xf>
    <xf numFmtId="0" fontId="0" fillId="7" borderId="47" xfId="0" applyFill="1" applyBorder="1"/>
    <xf numFmtId="0" fontId="0" fillId="7" borderId="8" xfId="0" applyFill="1" applyBorder="1"/>
    <xf numFmtId="0" fontId="0" fillId="7" borderId="39" xfId="0" applyFill="1" applyBorder="1"/>
    <xf numFmtId="0" fontId="0" fillId="7" borderId="3" xfId="0" applyFill="1" applyBorder="1"/>
    <xf numFmtId="0" fontId="90" fillId="7" borderId="40" xfId="0" applyFont="1" applyFill="1" applyBorder="1" applyAlignment="1">
      <alignment horizontal="center" vertical="center"/>
    </xf>
    <xf numFmtId="0" fontId="0" fillId="7" borderId="39" xfId="0" applyFill="1" applyBorder="1" applyAlignment="1">
      <alignment vertical="center"/>
    </xf>
    <xf numFmtId="0" fontId="0" fillId="7" borderId="40" xfId="0" applyFill="1" applyBorder="1" applyAlignment="1">
      <alignment vertical="center"/>
    </xf>
    <xf numFmtId="0" fontId="69" fillId="7" borderId="39" xfId="0" applyFont="1" applyFill="1" applyBorder="1" applyAlignment="1">
      <alignment horizontal="center" vertical="center"/>
    </xf>
    <xf numFmtId="0" fontId="0" fillId="7" borderId="0" xfId="0" applyFill="1"/>
    <xf numFmtId="0" fontId="13" fillId="7" borderId="52" xfId="0" applyFont="1" applyFill="1" applyBorder="1" applyAlignment="1">
      <alignment horizontal="left"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13" fillId="7" borderId="142" xfId="0" applyFont="1" applyFill="1" applyBorder="1" applyAlignment="1">
      <alignment vertical="center" wrapText="1"/>
    </xf>
    <xf numFmtId="0" fontId="0" fillId="7" borderId="74" xfId="0" applyFill="1" applyBorder="1" applyAlignment="1">
      <alignment horizontal="center" vertical="center"/>
    </xf>
    <xf numFmtId="0" fontId="69" fillId="7" borderId="75" xfId="0" applyFont="1" applyFill="1" applyBorder="1" applyAlignment="1">
      <alignment horizontal="center" vertical="center"/>
    </xf>
    <xf numFmtId="0" fontId="11" fillId="7" borderId="8" xfId="0" applyFont="1" applyFill="1" applyBorder="1" applyAlignment="1">
      <alignment vertical="center"/>
    </xf>
    <xf numFmtId="0" fontId="13" fillId="7" borderId="143" xfId="0" applyFont="1" applyFill="1" applyBorder="1" applyAlignment="1">
      <alignment vertical="center" wrapText="1"/>
    </xf>
    <xf numFmtId="0" fontId="11" fillId="7" borderId="144" xfId="0" applyFont="1" applyFill="1" applyBorder="1" applyAlignment="1">
      <alignment vertical="top" wrapText="1"/>
    </xf>
    <xf numFmtId="0" fontId="69" fillId="7" borderId="145" xfId="0" applyFont="1" applyFill="1" applyBorder="1" applyAlignment="1">
      <alignment horizontal="center" vertical="center"/>
    </xf>
    <xf numFmtId="0" fontId="1" fillId="8" borderId="0" xfId="0" applyFont="1" applyFill="1" applyAlignment="1">
      <alignment horizontal="left" vertical="center" wrapText="1"/>
    </xf>
    <xf numFmtId="0" fontId="1" fillId="9" borderId="8" xfId="0" applyFont="1" applyFill="1" applyBorder="1"/>
    <xf numFmtId="2" fontId="15" fillId="7" borderId="3" xfId="0" applyNumberFormat="1" applyFont="1" applyFill="1" applyBorder="1" applyAlignment="1">
      <alignment horizontal="center" vertical="center"/>
    </xf>
    <xf numFmtId="2" fontId="63" fillId="7" borderId="3" xfId="0" applyNumberFormat="1" applyFont="1" applyFill="1" applyBorder="1" applyAlignment="1">
      <alignment horizontal="center" vertical="center"/>
    </xf>
    <xf numFmtId="0" fontId="13" fillId="8" borderId="39" xfId="0" applyFont="1" applyFill="1" applyBorder="1" applyAlignment="1">
      <alignment vertical="center" wrapText="1"/>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13" fillId="0" borderId="39" xfId="0" applyFont="1" applyBorder="1" applyAlignment="1" applyProtection="1">
      <alignment horizontal="left" vertical="center" wrapText="1"/>
      <protection locked="0"/>
    </xf>
    <xf numFmtId="0" fontId="13" fillId="0" borderId="39" xfId="0" applyFont="1" applyBorder="1" applyAlignment="1" applyProtection="1">
      <alignment vertical="center" wrapText="1"/>
      <protection locked="0"/>
    </xf>
    <xf numFmtId="0" fontId="20" fillId="0" borderId="39" xfId="0" applyFont="1" applyBorder="1" applyAlignment="1" applyProtection="1">
      <alignment vertical="top" wrapText="1"/>
      <protection locked="0"/>
    </xf>
    <xf numFmtId="0" fontId="13" fillId="0" borderId="39" xfId="0" applyFont="1" applyBorder="1" applyAlignment="1" applyProtection="1">
      <alignment vertical="top" wrapText="1"/>
      <protection locked="0"/>
    </xf>
    <xf numFmtId="0" fontId="128" fillId="8" borderId="0" xfId="0" applyFont="1" applyFill="1"/>
    <xf numFmtId="0" fontId="128" fillId="8" borderId="0" xfId="0" applyFont="1" applyFill="1" applyProtection="1">
      <protection hidden="1"/>
    </xf>
    <xf numFmtId="0" fontId="129" fillId="8" borderId="0" xfId="0" applyFont="1" applyFill="1"/>
    <xf numFmtId="0" fontId="128" fillId="8" borderId="0" xfId="0" applyFont="1" applyFill="1" applyProtection="1">
      <protection locked="0"/>
    </xf>
    <xf numFmtId="0" fontId="128" fillId="8" borderId="0" xfId="0" applyFont="1" applyFill="1" applyProtection="1">
      <protection locked="0" hidden="1"/>
    </xf>
    <xf numFmtId="0" fontId="81" fillId="11" borderId="0" xfId="0" applyFont="1" applyFill="1" applyAlignment="1">
      <alignment horizontal="center" vertical="center"/>
    </xf>
    <xf numFmtId="0" fontId="68" fillId="8" borderId="0" xfId="0" applyFont="1" applyFill="1" applyAlignment="1">
      <alignment horizontal="center" vertical="center"/>
    </xf>
    <xf numFmtId="0" fontId="130" fillId="8" borderId="41" xfId="0" applyFont="1" applyFill="1" applyBorder="1" applyAlignment="1" applyProtection="1">
      <alignment horizontal="center" vertical="center" wrapText="1"/>
      <protection locked="0"/>
    </xf>
    <xf numFmtId="0" fontId="29" fillId="8" borderId="0" xfId="0" applyFont="1" applyFill="1" applyAlignment="1" applyProtection="1">
      <alignment wrapText="1"/>
      <protection hidden="1"/>
    </xf>
    <xf numFmtId="0" fontId="29" fillId="8" borderId="0" xfId="0" applyFont="1" applyFill="1" applyAlignment="1" applyProtection="1">
      <alignment horizontal="center" wrapText="1"/>
      <protection hidden="1"/>
    </xf>
    <xf numFmtId="164" fontId="127" fillId="8" borderId="0" xfId="0" applyNumberFormat="1" applyFont="1" applyFill="1" applyAlignment="1" applyProtection="1">
      <alignment horizontal="center" vertical="center" wrapText="1"/>
      <protection hidden="1"/>
    </xf>
    <xf numFmtId="164" fontId="49" fillId="8" borderId="0" xfId="0" applyNumberFormat="1" applyFont="1" applyFill="1" applyAlignment="1" applyProtection="1">
      <alignment horizontal="center" vertical="center" wrapText="1"/>
      <protection hidden="1"/>
    </xf>
    <xf numFmtId="0" fontId="49" fillId="8" borderId="0" xfId="0" applyFont="1" applyFill="1" applyAlignment="1" applyProtection="1">
      <alignment horizontal="center" vertical="center"/>
      <protection hidden="1"/>
    </xf>
    <xf numFmtId="2" fontId="26" fillId="8" borderId="0" xfId="0" applyNumberFormat="1" applyFont="1" applyFill="1" applyAlignment="1" applyProtection="1">
      <alignment horizontal="center" vertical="center"/>
      <protection hidden="1"/>
    </xf>
    <xf numFmtId="0" fontId="26" fillId="8" borderId="0" xfId="0" applyFont="1" applyFill="1" applyAlignment="1" applyProtection="1">
      <alignment horizontal="center" vertical="center"/>
      <protection hidden="1"/>
    </xf>
    <xf numFmtId="164" fontId="49" fillId="0" borderId="0" xfId="0" applyNumberFormat="1" applyFont="1" applyAlignment="1" applyProtection="1">
      <alignment horizontal="center" vertical="center" wrapText="1"/>
      <protection hidden="1"/>
    </xf>
    <xf numFmtId="0" fontId="127" fillId="8" borderId="0" xfId="0" applyFont="1" applyFill="1" applyAlignment="1" applyProtection="1">
      <alignment horizontal="center"/>
      <protection hidden="1"/>
    </xf>
    <xf numFmtId="0" fontId="74" fillId="8" borderId="25" xfId="0" applyFont="1" applyFill="1" applyBorder="1" applyAlignment="1" applyProtection="1">
      <alignment horizontal="center"/>
      <protection locked="0"/>
    </xf>
    <xf numFmtId="0" fontId="49" fillId="8" borderId="79" xfId="0" applyFont="1" applyFill="1" applyBorder="1" applyAlignment="1" applyProtection="1">
      <alignment vertical="center"/>
      <protection hidden="1"/>
    </xf>
    <xf numFmtId="0" fontId="129" fillId="8" borderId="0" xfId="0" applyFont="1" applyFill="1" applyProtection="1">
      <protection hidden="1"/>
    </xf>
    <xf numFmtId="0" fontId="128" fillId="8" borderId="0" xfId="0" applyFont="1" applyFill="1" applyAlignment="1" applyProtection="1">
      <alignment horizontal="left"/>
      <protection hidden="1"/>
    </xf>
    <xf numFmtId="0" fontId="29" fillId="8" borderId="0" xfId="0" applyFont="1" applyFill="1" applyAlignment="1">
      <alignment horizontal="center" vertical="center"/>
    </xf>
    <xf numFmtId="0" fontId="26" fillId="8" borderId="0" xfId="0" applyFont="1" applyFill="1" applyAlignment="1" applyProtection="1">
      <alignment vertical="center"/>
      <protection hidden="1"/>
    </xf>
    <xf numFmtId="0" fontId="133" fillId="8" borderId="0" xfId="0" applyFont="1" applyFill="1" applyAlignment="1" applyProtection="1">
      <alignment horizontal="center" vertical="center" wrapText="1" readingOrder="1"/>
      <protection locked="0"/>
    </xf>
    <xf numFmtId="0" fontId="134" fillId="8" borderId="0" xfId="0" applyFont="1" applyFill="1" applyAlignment="1" applyProtection="1">
      <alignment horizontal="center" vertical="center" wrapText="1" readingOrder="1"/>
      <protection locked="0"/>
    </xf>
    <xf numFmtId="0" fontId="128" fillId="8" borderId="0" xfId="0" applyFont="1" applyFill="1" applyAlignment="1" applyProtection="1">
      <alignment horizontal="center" vertical="center"/>
      <protection locked="0"/>
    </xf>
    <xf numFmtId="0" fontId="131" fillId="8" borderId="0" xfId="0" applyFont="1" applyFill="1" applyAlignment="1" applyProtection="1">
      <alignment horizontal="center" vertical="center"/>
      <protection locked="0"/>
    </xf>
    <xf numFmtId="0" fontId="136" fillId="8" borderId="0" xfId="0" applyFont="1" applyFill="1" applyAlignment="1" applyProtection="1">
      <alignment horizontal="center" vertical="center" wrapText="1" readingOrder="1"/>
      <protection locked="0"/>
    </xf>
    <xf numFmtId="0" fontId="29" fillId="8" borderId="0" xfId="0" applyFont="1" applyFill="1" applyAlignment="1" applyProtection="1">
      <alignment horizontal="center" vertical="center"/>
      <protection hidden="1"/>
    </xf>
    <xf numFmtId="0" fontId="128" fillId="8" borderId="0" xfId="0" applyFont="1" applyFill="1" applyAlignment="1" applyProtection="1">
      <alignment horizontal="left"/>
      <protection locked="0"/>
    </xf>
    <xf numFmtId="0" fontId="132" fillId="8" borderId="0" xfId="0" applyFont="1" applyFill="1" applyProtection="1">
      <protection locked="0"/>
    </xf>
    <xf numFmtId="0" fontId="131" fillId="8" borderId="0" xfId="0" applyFont="1" applyFill="1" applyProtection="1">
      <protection locked="0"/>
    </xf>
    <xf numFmtId="49" fontId="138" fillId="8" borderId="0" xfId="0" applyNumberFormat="1" applyFont="1" applyFill="1" applyAlignment="1" applyProtection="1">
      <alignment horizontal="left" vertical="top"/>
      <protection locked="0"/>
    </xf>
    <xf numFmtId="0" fontId="135" fillId="8" borderId="0" xfId="0" applyFont="1" applyFill="1" applyAlignment="1" applyProtection="1">
      <alignment vertical="center" wrapText="1"/>
      <protection locked="0"/>
    </xf>
    <xf numFmtId="0" fontId="128" fillId="8" borderId="0" xfId="0" applyFont="1" applyFill="1" applyAlignment="1">
      <alignment horizontal="left"/>
    </xf>
    <xf numFmtId="0" fontId="29" fillId="8" borderId="0" xfId="0" applyFont="1" applyFill="1" applyAlignment="1" applyProtection="1">
      <alignment horizontal="center" vertical="center"/>
      <protection locked="0"/>
    </xf>
    <xf numFmtId="0" fontId="63" fillId="7" borderId="116" xfId="0" applyFont="1" applyFill="1" applyBorder="1" applyAlignment="1">
      <alignment horizontal="center" vertical="center" wrapText="1"/>
    </xf>
    <xf numFmtId="0" fontId="63" fillId="7" borderId="66"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24" fillId="8" borderId="0" xfId="0" applyFont="1" applyFill="1" applyAlignment="1">
      <alignment vertical="center"/>
    </xf>
    <xf numFmtId="0" fontId="123" fillId="8" borderId="0" xfId="0" applyFont="1" applyFill="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14" fillId="7" borderId="121" xfId="0" applyFont="1" applyFill="1" applyBorder="1" applyAlignment="1">
      <alignment horizontal="left" vertical="center" wrapText="1" indent="1"/>
    </xf>
    <xf numFmtId="0" fontId="25" fillId="8" borderId="0" xfId="0" applyFont="1" applyFill="1" applyAlignment="1" applyProtection="1">
      <alignment horizontal="center" vertical="center"/>
      <protection locked="0"/>
    </xf>
    <xf numFmtId="0" fontId="14" fillId="7" borderId="119" xfId="0" applyFont="1" applyFill="1" applyBorder="1" applyAlignment="1">
      <alignment horizontal="left" vertical="center" wrapText="1" indent="1"/>
    </xf>
    <xf numFmtId="0" fontId="14" fillId="8" borderId="0" xfId="0" applyFont="1" applyFill="1" applyAlignment="1">
      <alignment horizontal="left" vertical="top" wrapText="1" indent="1"/>
    </xf>
    <xf numFmtId="0" fontId="64" fillId="8" borderId="0" xfId="0" applyFont="1" applyFill="1" applyAlignment="1" applyProtection="1">
      <alignment horizontal="right" wrapText="1"/>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37" fillId="8" borderId="0" xfId="0" applyFont="1" applyFill="1" applyProtection="1">
      <protection locked="0"/>
    </xf>
    <xf numFmtId="0" fontId="6"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3" fillId="7" borderId="54" xfId="0" applyFont="1" applyFill="1" applyBorder="1" applyAlignment="1">
      <alignment horizontal="left" vertical="top" wrapText="1"/>
    </xf>
    <xf numFmtId="0" fontId="96" fillId="7" borderId="119" xfId="0" applyFont="1" applyFill="1" applyBorder="1" applyAlignment="1">
      <alignment horizontal="center" vertical="center" wrapText="1"/>
    </xf>
    <xf numFmtId="0" fontId="64" fillId="8" borderId="0" xfId="0" applyFont="1" applyFill="1" applyAlignment="1" applyProtection="1">
      <alignment horizontal="right" vertical="center" wrapText="1"/>
      <protection locked="0"/>
    </xf>
    <xf numFmtId="0" fontId="12" fillId="0" borderId="54" xfId="0" applyFont="1" applyBorder="1" applyAlignment="1">
      <alignment horizontal="left" vertical="top" wrapText="1" indent="1"/>
    </xf>
    <xf numFmtId="0" fontId="12" fillId="0" borderId="109" xfId="0" applyFont="1" applyBorder="1" applyAlignment="1">
      <alignment horizontal="left" vertical="top" wrapText="1" indent="1"/>
    </xf>
    <xf numFmtId="0" fontId="13" fillId="7" borderId="121" xfId="0" applyFont="1" applyFill="1" applyBorder="1" applyAlignment="1">
      <alignment horizontal="left" vertical="top" indent="1"/>
    </xf>
    <xf numFmtId="0" fontId="14" fillId="7" borderId="116" xfId="0" applyFont="1" applyFill="1" applyBorder="1" applyAlignment="1">
      <alignment horizontal="left" vertical="top" wrapText="1" indent="1"/>
    </xf>
    <xf numFmtId="0" fontId="14" fillId="7" borderId="119" xfId="0" applyFont="1" applyFill="1" applyBorder="1" applyAlignment="1">
      <alignment horizontal="left" vertical="top" wrapText="1" inden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0" fillId="8" borderId="0" xfId="0" applyFill="1" applyAlignment="1" applyProtection="1">
      <alignment horizontal="left" wrapText="1"/>
      <protection locked="0"/>
    </xf>
    <xf numFmtId="0" fontId="13" fillId="8" borderId="0" xfId="0" applyFont="1" applyFill="1" applyAlignment="1" applyProtection="1">
      <alignment horizontal="left" vertical="top" wrapText="1"/>
      <protection locked="0"/>
    </xf>
    <xf numFmtId="0" fontId="63" fillId="8" borderId="0" xfId="0" applyFont="1" applyFill="1" applyAlignment="1" applyProtection="1">
      <alignment horizontal="left" vertical="center" wrapText="1"/>
      <protection locked="0"/>
    </xf>
    <xf numFmtId="0" fontId="63" fillId="8" borderId="0" xfId="0" applyFont="1" applyFill="1" applyAlignment="1" applyProtection="1">
      <alignment horizontal="left" wrapText="1"/>
      <protection locked="0"/>
    </xf>
    <xf numFmtId="0" fontId="12" fillId="7" borderId="119" xfId="0" applyFont="1" applyFill="1" applyBorder="1" applyAlignment="1">
      <alignment horizontal="center" vertical="center"/>
    </xf>
    <xf numFmtId="0" fontId="63" fillId="8" borderId="0" xfId="0" applyFont="1" applyFill="1" applyAlignment="1" applyProtection="1">
      <alignment horizontal="left" vertical="center"/>
      <protection locked="0"/>
    </xf>
    <xf numFmtId="0" fontId="67" fillId="8" borderId="0" xfId="0" applyFont="1" applyFill="1" applyAlignment="1" applyProtection="1">
      <alignment horizontal="left" vertical="top" wrapText="1"/>
      <protection locked="0"/>
    </xf>
    <xf numFmtId="0" fontId="95" fillId="8" borderId="0" xfId="0" applyFont="1" applyFill="1" applyAlignment="1" applyProtection="1">
      <alignment horizontal="right" vertical="center" wrapText="1"/>
      <protection locked="0"/>
    </xf>
    <xf numFmtId="0" fontId="10" fillId="5" borderId="110" xfId="0" applyFont="1" applyFill="1" applyBorder="1" applyAlignment="1">
      <alignment horizontal="center" vertical="center"/>
    </xf>
    <xf numFmtId="0" fontId="10" fillId="5" borderId="111" xfId="0" applyFont="1" applyFill="1" applyBorder="1" applyAlignment="1">
      <alignment horizontal="center" vertical="center"/>
    </xf>
    <xf numFmtId="0" fontId="10" fillId="5" borderId="113" xfId="0" applyFont="1" applyFill="1" applyBorder="1" applyAlignment="1">
      <alignment horizontal="center" vertical="center"/>
    </xf>
    <xf numFmtId="0" fontId="10" fillId="5" borderId="114" xfId="0" applyFont="1" applyFill="1" applyBorder="1" applyAlignment="1">
      <alignment horizontal="center" vertical="center"/>
    </xf>
    <xf numFmtId="0" fontId="64" fillId="8" borderId="0" xfId="0" applyFont="1" applyFill="1" applyAlignment="1" applyProtection="1">
      <alignment horizontal="right" vertical="center"/>
      <protection locked="0"/>
    </xf>
    <xf numFmtId="0" fontId="94" fillId="8" borderId="0" xfId="0" applyFont="1" applyFill="1" applyAlignment="1" applyProtection="1">
      <alignment horizontal="left" vertical="top" wrapText="1"/>
      <protection locked="0"/>
    </xf>
    <xf numFmtId="0" fontId="48" fillId="11" borderId="0" xfId="0" applyFont="1" applyFill="1" applyAlignment="1" applyProtection="1">
      <alignment horizontal="center" vertical="center"/>
      <protection locked="0"/>
    </xf>
    <xf numFmtId="0" fontId="10" fillId="3" borderId="111" xfId="0" applyFont="1" applyFill="1" applyBorder="1" applyAlignment="1">
      <alignment horizontal="center" vertical="center"/>
    </xf>
    <xf numFmtId="0" fontId="10" fillId="3" borderId="114" xfId="0" applyFont="1" applyFill="1" applyBorder="1" applyAlignment="1">
      <alignment horizontal="center" vertical="center"/>
    </xf>
    <xf numFmtId="0" fontId="13" fillId="7" borderId="109" xfId="0" applyFont="1" applyFill="1" applyBorder="1" applyAlignment="1">
      <alignment horizontal="left" vertical="top" wrapText="1"/>
    </xf>
    <xf numFmtId="0" fontId="78" fillId="8" borderId="0" xfId="0" applyFont="1" applyFill="1" applyAlignment="1">
      <alignment horizontal="left" wrapText="1"/>
    </xf>
    <xf numFmtId="0" fontId="12" fillId="7" borderId="121" xfId="0" applyFont="1" applyFill="1" applyBorder="1" applyAlignment="1">
      <alignment horizontal="center" vertical="center"/>
    </xf>
    <xf numFmtId="0" fontId="10" fillId="3" borderId="124"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26" xfId="0" applyFont="1" applyFill="1" applyBorder="1" applyAlignment="1">
      <alignment horizontal="center" vertical="center"/>
    </xf>
    <xf numFmtId="0" fontId="10" fillId="3" borderId="119" xfId="0" applyFont="1" applyFill="1" applyBorder="1" applyAlignment="1">
      <alignment horizontal="center" vertical="center"/>
    </xf>
    <xf numFmtId="0" fontId="14" fillId="7" borderId="119" xfId="0" applyFont="1" applyFill="1" applyBorder="1" applyAlignment="1">
      <alignment horizontal="left" vertical="center" wrapText="1"/>
    </xf>
    <xf numFmtId="0" fontId="14" fillId="7" borderId="121" xfId="0" applyFont="1" applyFill="1" applyBorder="1" applyAlignment="1">
      <alignment horizontal="left" vertical="center" wrapText="1"/>
    </xf>
    <xf numFmtId="0" fontId="10" fillId="5" borderId="116" xfId="0" applyFont="1" applyFill="1" applyBorder="1" applyAlignment="1">
      <alignment horizontal="center" vertical="center"/>
    </xf>
    <xf numFmtId="0" fontId="10" fillId="5" borderId="123" xfId="0" applyFont="1" applyFill="1" applyBorder="1" applyAlignment="1">
      <alignment horizontal="center" vertical="center"/>
    </xf>
    <xf numFmtId="0" fontId="10" fillId="5" borderId="119" xfId="0" applyFont="1" applyFill="1" applyBorder="1" applyAlignment="1">
      <alignment horizontal="center" vertical="center"/>
    </xf>
    <xf numFmtId="0" fontId="10" fillId="5" borderId="125" xfId="0" applyFont="1" applyFill="1" applyBorder="1" applyAlignment="1">
      <alignment horizontal="center" vertical="center"/>
    </xf>
    <xf numFmtId="0" fontId="6" fillId="4" borderId="116" xfId="0" applyFont="1" applyFill="1" applyBorder="1" applyAlignment="1">
      <alignment horizontal="center" vertical="center"/>
    </xf>
    <xf numFmtId="0" fontId="7" fillId="4" borderId="119" xfId="0" applyFont="1" applyFill="1" applyBorder="1" applyAlignment="1">
      <alignment horizontal="center" vertical="center"/>
    </xf>
    <xf numFmtId="0" fontId="20" fillId="0" borderId="0" xfId="0" applyFont="1" applyAlignment="1">
      <alignment horizontal="left" vertical="top" wrapText="1"/>
    </xf>
    <xf numFmtId="0" fontId="53" fillId="8" borderId="0" xfId="0" applyFont="1" applyFill="1" applyAlignment="1" applyProtection="1">
      <alignment horizontal="left"/>
      <protection locked="0"/>
    </xf>
    <xf numFmtId="0" fontId="125" fillId="21" borderId="0" xfId="0" applyFont="1" applyFill="1" applyAlignment="1" applyProtection="1">
      <alignment horizontal="left" vertical="top" wrapText="1"/>
      <protection locked="0"/>
    </xf>
    <xf numFmtId="0" fontId="4" fillId="8" borderId="0" xfId="0" applyFont="1" applyFill="1" applyAlignment="1" applyProtection="1">
      <alignment horizontal="left" wrapText="1" indent="1"/>
      <protection locked="0"/>
    </xf>
    <xf numFmtId="0" fontId="10" fillId="19" borderId="0" xfId="0" applyFont="1" applyFill="1" applyAlignment="1" applyProtection="1">
      <alignment horizontal="left" vertical="center"/>
      <protection locked="0"/>
    </xf>
    <xf numFmtId="0" fontId="10" fillId="19" borderId="0" xfId="0" applyFont="1" applyFill="1" applyAlignment="1">
      <alignment horizontal="center" vertical="center"/>
    </xf>
    <xf numFmtId="0" fontId="4" fillId="8" borderId="0" xfId="0" applyFont="1" applyFill="1" applyAlignment="1" applyProtection="1">
      <alignment horizontal="left" vertical="top" wrapText="1" indent="1"/>
      <protection locked="0"/>
    </xf>
    <xf numFmtId="0" fontId="48" fillId="4" borderId="11" xfId="0" applyFont="1" applyFill="1" applyBorder="1" applyAlignment="1">
      <alignment horizontal="center" vertical="center" textRotation="90"/>
    </xf>
    <xf numFmtId="0" fontId="78" fillId="4" borderId="11" xfId="0" applyFont="1" applyFill="1" applyBorder="1" applyAlignment="1">
      <alignment horizontal="center" vertical="center" textRotation="90"/>
    </xf>
    <xf numFmtId="0" fontId="48" fillId="4" borderId="12" xfId="0" applyFont="1" applyFill="1" applyBorder="1" applyAlignment="1">
      <alignment horizontal="center" vertical="center" textRotation="90" wrapText="1"/>
    </xf>
    <xf numFmtId="0" fontId="48" fillId="4" borderId="0" xfId="0" applyFont="1" applyFill="1" applyAlignment="1">
      <alignment horizontal="center" vertical="center" textRotation="90" wrapText="1"/>
    </xf>
    <xf numFmtId="0" fontId="48" fillId="4" borderId="10" xfId="0" applyFont="1" applyFill="1" applyBorder="1" applyAlignment="1">
      <alignment horizontal="center" vertical="center" textRotation="90" wrapText="1"/>
    </xf>
    <xf numFmtId="0" fontId="40" fillId="4" borderId="12" xfId="0" applyFont="1" applyFill="1" applyBorder="1" applyAlignment="1">
      <alignment horizontal="center" vertical="center" textRotation="90"/>
    </xf>
    <xf numFmtId="0" fontId="40" fillId="4" borderId="0" xfId="0" applyFont="1" applyFill="1" applyAlignment="1">
      <alignment horizontal="center" vertical="center" textRotation="90"/>
    </xf>
    <xf numFmtId="0" fontId="40" fillId="4" borderId="66" xfId="0" applyFont="1" applyFill="1" applyBorder="1" applyAlignment="1">
      <alignment horizontal="center" vertical="center" textRotation="90"/>
    </xf>
    <xf numFmtId="0" fontId="1" fillId="9" borderId="0" xfId="0" applyFont="1" applyFill="1" applyAlignment="1">
      <alignment horizontal="left" vertical="center" wrapText="1"/>
    </xf>
    <xf numFmtId="0" fontId="80" fillId="9" borderId="0" xfId="0" applyFont="1" applyFill="1" applyAlignment="1" applyProtection="1">
      <alignment horizontal="left" vertical="center"/>
      <protection locked="0"/>
    </xf>
    <xf numFmtId="0" fontId="121" fillId="9" borderId="0" xfId="0" applyFont="1" applyFill="1" applyAlignment="1" applyProtection="1">
      <alignment horizontal="left" vertical="center" wrapText="1"/>
      <protection locked="0"/>
    </xf>
    <xf numFmtId="0" fontId="10" fillId="8" borderId="0" xfId="0" applyFont="1" applyFill="1" applyAlignment="1" applyProtection="1">
      <alignment horizontal="left" vertical="center" wrapText="1" indent="1"/>
      <protection locked="0"/>
    </xf>
    <xf numFmtId="0" fontId="4" fillId="8" borderId="0" xfId="0" applyFont="1" applyFill="1" applyAlignment="1" applyProtection="1">
      <alignment horizontal="left" vertical="center" wrapText="1" indent="1"/>
      <protection locked="0"/>
    </xf>
    <xf numFmtId="0" fontId="10" fillId="5" borderId="28"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9" fillId="2" borderId="128" xfId="0" applyFont="1" applyFill="1" applyBorder="1" applyAlignment="1">
      <alignment horizontal="left" vertical="center"/>
    </xf>
    <xf numFmtId="0" fontId="19" fillId="2" borderId="129" xfId="0" applyFont="1" applyFill="1" applyBorder="1" applyAlignment="1">
      <alignment horizontal="left" vertical="center"/>
    </xf>
    <xf numFmtId="0" fontId="25" fillId="8" borderId="0" xfId="0" applyFont="1" applyFill="1" applyAlignment="1" applyProtection="1">
      <alignment horizontal="left" vertical="center"/>
      <protection locked="0"/>
    </xf>
    <xf numFmtId="0" fontId="28" fillId="8" borderId="0" xfId="0" applyFont="1" applyFill="1" applyAlignment="1" applyProtection="1">
      <alignment horizontal="center" vertical="center"/>
      <protection locked="0"/>
    </xf>
    <xf numFmtId="0" fontId="2" fillId="8" borderId="0" xfId="0" applyFont="1" applyFill="1" applyAlignment="1" applyProtection="1">
      <alignment horizontal="center"/>
      <protection locked="0"/>
    </xf>
    <xf numFmtId="0" fontId="10" fillId="8" borderId="0" xfId="0" applyFont="1" applyFill="1" applyAlignment="1" applyProtection="1">
      <alignment horizontal="left" vertical="center"/>
      <protection locked="0"/>
    </xf>
    <xf numFmtId="0" fontId="15" fillId="8" borderId="0" xfId="0" applyFont="1" applyFill="1" applyAlignment="1" applyProtection="1">
      <alignment horizontal="left" wrapText="1"/>
      <protection locked="0"/>
    </xf>
    <xf numFmtId="0" fontId="9" fillId="8" borderId="0" xfId="0" applyFont="1" applyFill="1" applyAlignment="1" applyProtection="1">
      <alignment horizontal="center" vertical="center"/>
      <protection locked="0"/>
    </xf>
    <xf numFmtId="0" fontId="7" fillId="8" borderId="19" xfId="0" applyFont="1" applyFill="1" applyBorder="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protection locked="0"/>
    </xf>
    <xf numFmtId="0" fontId="137" fillId="8" borderId="0" xfId="0" applyFont="1" applyFill="1" applyAlignment="1" applyProtection="1">
      <alignment horizontal="center" vertical="center"/>
      <protection locked="0"/>
    </xf>
    <xf numFmtId="0" fontId="7" fillId="8" borderId="0" xfId="0" applyFont="1" applyFill="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wrapText="1"/>
      <protection locked="0"/>
    </xf>
    <xf numFmtId="0" fontId="7" fillId="8" borderId="0" xfId="0" applyFont="1" applyFill="1" applyAlignment="1" applyProtection="1">
      <alignment horizontal="center" vertical="center" textRotation="90" wrapText="1"/>
      <protection locked="0"/>
    </xf>
    <xf numFmtId="0" fontId="12" fillId="8" borderId="0" xfId="0" applyFont="1" applyFill="1" applyAlignment="1" applyProtection="1">
      <alignment horizontal="center"/>
      <protection locked="0"/>
    </xf>
    <xf numFmtId="0" fontId="0" fillId="8" borderId="0" xfId="0" applyFill="1" applyAlignment="1" applyProtection="1">
      <alignment horizontal="center" vertical="center"/>
      <protection locked="0"/>
    </xf>
    <xf numFmtId="0" fontId="7" fillId="8" borderId="0" xfId="0" applyFont="1" applyFill="1" applyAlignment="1">
      <alignment horizontal="center" vertical="top" textRotation="90" wrapText="1"/>
    </xf>
    <xf numFmtId="0" fontId="2" fillId="2" borderId="0" xfId="0" applyFont="1" applyFill="1" applyAlignment="1">
      <alignment horizontal="center"/>
    </xf>
    <xf numFmtId="0" fontId="10" fillId="2" borderId="28" xfId="0" applyFont="1" applyFill="1" applyBorder="1" applyAlignment="1">
      <alignment horizontal="left"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7" fillId="8" borderId="19"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protection locked="0"/>
    </xf>
    <xf numFmtId="0" fontId="7" fillId="8" borderId="7" xfId="0" applyFont="1" applyFill="1" applyBorder="1" applyAlignment="1" applyProtection="1">
      <alignment horizontal="center" vertical="center" textRotation="90"/>
      <protection locked="0"/>
    </xf>
    <xf numFmtId="0" fontId="80" fillId="8" borderId="64" xfId="0" applyFont="1" applyFill="1" applyBorder="1" applyAlignment="1" applyProtection="1">
      <alignment horizontal="left"/>
      <protection locked="0"/>
    </xf>
    <xf numFmtId="0" fontId="68" fillId="8" borderId="0" xfId="0" applyFont="1" applyFill="1" applyAlignment="1">
      <alignment horizontal="center"/>
    </xf>
    <xf numFmtId="0" fontId="67" fillId="8" borderId="0" xfId="0" applyFont="1" applyFill="1" applyAlignment="1">
      <alignment horizontal="center"/>
    </xf>
    <xf numFmtId="0" fontId="48" fillId="4" borderId="11" xfId="0" applyFont="1" applyFill="1" applyBorder="1" applyAlignment="1">
      <alignment horizontal="center" vertical="center" textRotation="90" wrapText="1"/>
    </xf>
    <xf numFmtId="0" fontId="40" fillId="4" borderId="11" xfId="0" applyFont="1" applyFill="1" applyBorder="1" applyAlignment="1">
      <alignment horizontal="center" vertical="center" textRotation="90"/>
    </xf>
    <xf numFmtId="0" fontId="10" fillId="12" borderId="22" xfId="0" applyFont="1" applyFill="1" applyBorder="1" applyAlignment="1">
      <alignment horizontal="center" vertical="center"/>
    </xf>
    <xf numFmtId="0" fontId="10" fillId="12" borderId="0" xfId="0" applyFont="1" applyFill="1" applyAlignment="1">
      <alignment horizontal="center" vertical="center"/>
    </xf>
    <xf numFmtId="0" fontId="4" fillId="13" borderId="22" xfId="0" applyFont="1" applyFill="1" applyBorder="1" applyAlignment="1">
      <alignment horizontal="center" vertical="center"/>
    </xf>
    <xf numFmtId="0" fontId="4" fillId="13" borderId="0" xfId="0" applyFont="1" applyFill="1" applyAlignment="1">
      <alignment horizontal="center" vertical="center"/>
    </xf>
    <xf numFmtId="0" fontId="4" fillId="13" borderId="28" xfId="0" applyFont="1"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46" fillId="11" borderId="0" xfId="0" applyFont="1" applyFill="1" applyAlignment="1" applyProtection="1">
      <alignment horizontal="center"/>
      <protection locked="0"/>
    </xf>
    <xf numFmtId="0" fontId="40" fillId="11" borderId="0" xfId="0" applyFont="1" applyFill="1" applyAlignment="1">
      <alignment horizontal="center"/>
    </xf>
    <xf numFmtId="0" fontId="0" fillId="8" borderId="0" xfId="0" applyFill="1" applyAlignment="1">
      <alignment horizontal="center"/>
    </xf>
    <xf numFmtId="0" fontId="10" fillId="11" borderId="0" xfId="0" applyFont="1" applyFill="1" applyAlignment="1" applyProtection="1">
      <alignment horizontal="center" vertical="center" wrapText="1"/>
      <protection locked="0"/>
    </xf>
    <xf numFmtId="0" fontId="10" fillId="12" borderId="22"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protection locked="0"/>
    </xf>
    <xf numFmtId="0" fontId="47" fillId="8" borderId="0" xfId="0" applyFont="1" applyFill="1" applyAlignment="1" applyProtection="1">
      <alignment horizontal="center" vertical="center" textRotation="90"/>
      <protection locked="0"/>
    </xf>
    <xf numFmtId="0" fontId="10" fillId="12" borderId="28" xfId="0" applyFont="1" applyFill="1" applyBorder="1" applyAlignment="1">
      <alignment horizontal="center" vertical="center"/>
    </xf>
    <xf numFmtId="0" fontId="10" fillId="12" borderId="28" xfId="0" applyFont="1" applyFill="1" applyBorder="1" applyAlignment="1" applyProtection="1">
      <alignment horizontal="center" vertical="center"/>
      <protection locked="0"/>
    </xf>
    <xf numFmtId="0" fontId="49" fillId="3" borderId="28" xfId="0" applyFont="1" applyFill="1" applyBorder="1" applyAlignment="1" applyProtection="1">
      <alignment horizontal="center" vertical="center"/>
      <protection locked="0"/>
    </xf>
    <xf numFmtId="0" fontId="49" fillId="3" borderId="138" xfId="0" applyFont="1" applyFill="1" applyBorder="1" applyAlignment="1" applyProtection="1">
      <alignment horizontal="center" vertical="center"/>
      <protection locked="0"/>
    </xf>
    <xf numFmtId="49" fontId="17" fillId="8" borderId="0" xfId="0" applyNumberFormat="1" applyFont="1" applyFill="1" applyAlignment="1" applyProtection="1">
      <alignment horizontal="center" vertical="top"/>
      <protection locked="0"/>
    </xf>
    <xf numFmtId="0" fontId="29" fillId="8" borderId="0" xfId="0" applyFont="1" applyFill="1" applyAlignment="1" applyProtection="1">
      <alignment horizontal="left" wrapText="1" indent="1"/>
      <protection locked="0"/>
    </xf>
    <xf numFmtId="49" fontId="10" fillId="8" borderId="8" xfId="0" applyNumberFormat="1" applyFont="1" applyFill="1" applyBorder="1" applyAlignment="1" applyProtection="1">
      <alignment horizontal="center" vertical="center" textRotation="90"/>
      <protection locked="0"/>
    </xf>
    <xf numFmtId="49" fontId="10" fillId="8" borderId="3" xfId="0" applyNumberFormat="1" applyFont="1" applyFill="1" applyBorder="1" applyAlignment="1" applyProtection="1">
      <alignment horizontal="center" vertical="center" textRotation="90"/>
      <protection locked="0"/>
    </xf>
    <xf numFmtId="49" fontId="10" fillId="8" borderId="9" xfId="0" applyNumberFormat="1" applyFont="1" applyFill="1" applyBorder="1" applyAlignment="1" applyProtection="1">
      <alignment horizontal="center" vertical="center" textRotation="90"/>
      <protection locked="0"/>
    </xf>
    <xf numFmtId="0" fontId="10" fillId="8" borderId="0" xfId="0" applyFont="1" applyFill="1" applyAlignment="1" applyProtection="1">
      <alignment horizontal="left" vertical="top" wrapText="1" indent="1"/>
      <protection locked="0"/>
    </xf>
    <xf numFmtId="0" fontId="10" fillId="13" borderId="22" xfId="0" applyFont="1" applyFill="1" applyBorder="1" applyAlignment="1" applyProtection="1">
      <alignment horizontal="center" vertical="center"/>
      <protection locked="0"/>
    </xf>
    <xf numFmtId="0" fontId="10" fillId="13" borderId="0" xfId="0" applyFont="1" applyFill="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99" xfId="0" applyFont="1" applyFill="1" applyBorder="1" applyAlignment="1">
      <alignment horizontal="center" vertical="center"/>
    </xf>
    <xf numFmtId="0" fontId="10" fillId="3" borderId="67" xfId="0" applyFont="1" applyFill="1" applyBorder="1" applyAlignment="1">
      <alignment horizontal="center" vertical="center"/>
    </xf>
    <xf numFmtId="0" fontId="14" fillId="7" borderId="67" xfId="0" applyFont="1" applyFill="1" applyBorder="1" applyAlignment="1">
      <alignment horizontal="left" vertical="top" wrapText="1"/>
    </xf>
    <xf numFmtId="0" fontId="6"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0" fillId="7" borderId="67" xfId="0" applyFill="1" applyBorder="1" applyAlignment="1">
      <alignment horizontal="center" vertical="center"/>
    </xf>
    <xf numFmtId="0" fontId="64" fillId="8" borderId="0" xfId="0" applyFont="1" applyFill="1" applyAlignment="1">
      <alignment horizontal="left" vertical="center" wrapText="1"/>
    </xf>
    <xf numFmtId="0" fontId="6" fillId="4" borderId="68" xfId="0" applyFont="1" applyFill="1" applyBorder="1" applyAlignment="1">
      <alignment horizontal="center" vertical="center"/>
    </xf>
    <xf numFmtId="0" fontId="7" fillId="4" borderId="0" xfId="0" applyFont="1" applyFill="1" applyAlignment="1">
      <alignment horizontal="center" vertical="center"/>
    </xf>
    <xf numFmtId="0" fontId="0" fillId="7" borderId="66" xfId="0" applyFill="1" applyBorder="1" applyAlignment="1">
      <alignment horizontal="center" vertical="center"/>
    </xf>
    <xf numFmtId="0" fontId="0" fillId="7" borderId="88" xfId="0" applyFill="1" applyBorder="1" applyAlignment="1">
      <alignment horizontal="center" vertical="center"/>
    </xf>
    <xf numFmtId="0" fontId="64" fillId="8" borderId="0" xfId="0" applyFont="1" applyFill="1" applyAlignment="1">
      <alignment horizontal="left" vertical="center"/>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94" fillId="8" borderId="0" xfId="0" applyFont="1" applyFill="1" applyAlignment="1">
      <alignment horizontal="left" vertical="center" wrapText="1"/>
    </xf>
    <xf numFmtId="0" fontId="10" fillId="3" borderId="68" xfId="0" applyFont="1" applyFill="1" applyBorder="1" applyAlignment="1">
      <alignment horizontal="center" vertical="center"/>
    </xf>
    <xf numFmtId="0" fontId="10" fillId="3" borderId="0" xfId="0" applyFont="1" applyFill="1" applyAlignment="1">
      <alignment horizontal="center" vertical="center"/>
    </xf>
    <xf numFmtId="0" fontId="14" fillId="7" borderId="66" xfId="0" applyFont="1" applyFill="1" applyBorder="1" applyAlignment="1">
      <alignment horizontal="left" vertical="top" wrapText="1"/>
    </xf>
    <xf numFmtId="0" fontId="12" fillId="7" borderId="100" xfId="0" applyFont="1" applyFill="1" applyBorder="1" applyAlignment="1">
      <alignment horizontal="left" vertical="top" wrapText="1" indent="1"/>
    </xf>
    <xf numFmtId="0" fontId="72" fillId="8" borderId="0" xfId="0" applyFont="1" applyFill="1" applyAlignment="1">
      <alignment horizontal="left" vertical="center" wrapText="1"/>
    </xf>
    <xf numFmtId="0" fontId="43" fillId="8" borderId="0" xfId="0" applyFont="1" applyFill="1" applyAlignment="1">
      <alignment horizontal="left" vertical="center" wrapText="1"/>
    </xf>
    <xf numFmtId="0" fontId="10" fillId="8" borderId="0" xfId="0" applyFont="1" applyFill="1" applyAlignment="1">
      <alignment horizontal="center" vertical="center"/>
    </xf>
    <xf numFmtId="0" fontId="10" fillId="8" borderId="66" xfId="0" applyFont="1" applyFill="1" applyBorder="1" applyAlignment="1">
      <alignment horizontal="center" vertical="center"/>
    </xf>
    <xf numFmtId="0" fontId="96" fillId="7" borderId="66" xfId="0" applyFont="1" applyFill="1" applyBorder="1" applyAlignment="1">
      <alignment horizontal="left" vertical="top" wrapText="1" indent="1"/>
    </xf>
    <xf numFmtId="0" fontId="96" fillId="7" borderId="88" xfId="0" applyFont="1" applyFill="1" applyBorder="1" applyAlignment="1">
      <alignment horizontal="left" vertical="top" wrapText="1" indent="1"/>
    </xf>
    <xf numFmtId="0" fontId="96" fillId="7" borderId="67" xfId="0" applyFont="1" applyFill="1" applyBorder="1" applyAlignment="1">
      <alignment horizontal="left" vertical="top" wrapText="1" indent="1"/>
    </xf>
    <xf numFmtId="0" fontId="67" fillId="8" borderId="0" xfId="0" applyFont="1" applyFill="1" applyAlignment="1">
      <alignment horizontal="left" vertical="top" wrapText="1"/>
    </xf>
    <xf numFmtId="0" fontId="10" fillId="20" borderId="68" xfId="0" applyFont="1" applyFill="1" applyBorder="1" applyAlignment="1">
      <alignment horizontal="center" vertical="center"/>
    </xf>
    <xf numFmtId="0" fontId="10" fillId="20" borderId="0" xfId="0" applyFont="1" applyFill="1" applyAlignment="1">
      <alignment horizontal="center" vertical="center"/>
    </xf>
    <xf numFmtId="0" fontId="10" fillId="3" borderId="90" xfId="0" applyFont="1" applyFill="1" applyBorder="1" applyAlignment="1">
      <alignment horizontal="center" vertical="center"/>
    </xf>
    <xf numFmtId="0" fontId="10" fillId="3" borderId="94" xfId="0" applyFont="1" applyFill="1" applyBorder="1" applyAlignment="1">
      <alignment horizontal="center" vertical="center"/>
    </xf>
    <xf numFmtId="0" fontId="10" fillId="20" borderId="89" xfId="0" applyFont="1" applyFill="1" applyBorder="1" applyAlignment="1">
      <alignment horizontal="center" vertical="center"/>
    </xf>
    <xf numFmtId="0" fontId="10" fillId="20" borderId="90" xfId="0" applyFont="1" applyFill="1" applyBorder="1" applyAlignment="1">
      <alignment horizontal="center" vertical="center"/>
    </xf>
    <xf numFmtId="0" fontId="10" fillId="20" borderId="93" xfId="0" applyFont="1" applyFill="1" applyBorder="1" applyAlignment="1">
      <alignment horizontal="center" vertical="center"/>
    </xf>
    <xf numFmtId="0" fontId="10" fillId="20" borderId="94" xfId="0" applyFont="1" applyFill="1" applyBorder="1" applyAlignment="1">
      <alignment horizontal="center" vertical="center"/>
    </xf>
    <xf numFmtId="0" fontId="12" fillId="7" borderId="66" xfId="0" applyFont="1" applyFill="1" applyBorder="1" applyAlignment="1">
      <alignment horizontal="left" vertical="top" wrapText="1" indent="1"/>
    </xf>
    <xf numFmtId="0" fontId="14" fillId="7" borderId="88" xfId="0" applyFont="1" applyFill="1" applyBorder="1" applyAlignment="1">
      <alignment horizontal="left" vertical="top" wrapText="1"/>
    </xf>
    <xf numFmtId="0" fontId="48" fillId="8" borderId="0" xfId="0" applyFont="1" applyFill="1" applyAlignment="1" applyProtection="1">
      <alignment horizontal="center" vertical="center"/>
      <protection locked="0"/>
    </xf>
    <xf numFmtId="0" fontId="6" fillId="8" borderId="0" xfId="0" applyFont="1" applyFill="1" applyAlignment="1">
      <alignment horizontal="center" vertical="center"/>
    </xf>
    <xf numFmtId="0" fontId="35" fillId="8" borderId="0" xfId="0" applyFont="1" applyFill="1" applyAlignment="1" applyProtection="1">
      <alignment horizontal="left" vertical="center" wrapText="1" indent="1"/>
      <protection locked="0"/>
    </xf>
    <xf numFmtId="0" fontId="10" fillId="5" borderId="6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98" xfId="0" applyFont="1" applyFill="1" applyBorder="1" applyAlignment="1">
      <alignment horizontal="center" vertical="center"/>
    </xf>
    <xf numFmtId="0" fontId="68" fillId="8" borderId="64" xfId="0" applyFont="1" applyFill="1" applyBorder="1" applyAlignment="1">
      <alignment horizontal="center" vertical="center"/>
    </xf>
    <xf numFmtId="0" fontId="49" fillId="3" borderId="79" xfId="0" applyFont="1" applyFill="1" applyBorder="1" applyAlignment="1">
      <alignment horizontal="center" vertical="center"/>
    </xf>
    <xf numFmtId="0" fontId="49" fillId="11" borderId="79" xfId="0" applyFont="1" applyFill="1" applyBorder="1" applyAlignment="1">
      <alignment horizontal="center" vertic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19" fillId="2" borderId="2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1" xfId="0" applyFont="1" applyFill="1" applyBorder="1" applyAlignment="1">
      <alignment horizontal="center" vertical="center"/>
    </xf>
    <xf numFmtId="0" fontId="19" fillId="2" borderId="58"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59" xfId="0" applyFont="1" applyFill="1" applyBorder="1" applyAlignment="1">
      <alignment horizontal="center" vertical="center"/>
    </xf>
    <xf numFmtId="0" fontId="19" fillId="2" borderId="134" xfId="0" applyFont="1" applyFill="1" applyBorder="1" applyAlignment="1">
      <alignment horizontal="center" vertical="center"/>
    </xf>
    <xf numFmtId="0" fontId="2" fillId="8" borderId="21" xfId="0" applyFont="1" applyFill="1" applyBorder="1" applyAlignment="1" applyProtection="1">
      <alignment horizontal="center"/>
      <protection locked="0"/>
    </xf>
    <xf numFmtId="0" fontId="7" fillId="8" borderId="30" xfId="0" applyFont="1" applyFill="1" applyBorder="1" applyAlignment="1" applyProtection="1">
      <alignment horizontal="center" vertical="center" textRotation="90" wrapText="1"/>
      <protection locked="0"/>
    </xf>
    <xf numFmtId="0" fontId="40" fillId="11" borderId="0" xfId="0" applyFont="1" applyFill="1" applyAlignment="1">
      <alignment horizontal="center" vertical="center"/>
    </xf>
    <xf numFmtId="0" fontId="45" fillId="7" borderId="6" xfId="0" applyFont="1" applyFill="1" applyBorder="1" applyAlignment="1" applyProtection="1">
      <alignment horizontal="left" vertical="center" wrapText="1"/>
      <protection locked="0"/>
    </xf>
    <xf numFmtId="0" fontId="45" fillId="7" borderId="146" xfId="0" applyFont="1" applyFill="1" applyBorder="1" applyAlignment="1" applyProtection="1">
      <alignment horizontal="left" vertical="center" wrapText="1"/>
      <protection locked="0"/>
    </xf>
    <xf numFmtId="0" fontId="47" fillId="8" borderId="0" xfId="0" applyFont="1" applyFill="1" applyAlignment="1" applyProtection="1">
      <alignment horizontal="center" textRotation="90"/>
      <protection locked="0"/>
    </xf>
    <xf numFmtId="0" fontId="49" fillId="3" borderId="28" xfId="0" applyFont="1" applyFill="1" applyBorder="1" applyAlignment="1">
      <alignment horizontal="center" vertical="center"/>
    </xf>
    <xf numFmtId="49" fontId="17" fillId="8" borderId="0" xfId="0" applyNumberFormat="1" applyFont="1" applyFill="1" applyAlignment="1" applyProtection="1">
      <alignment horizontal="center"/>
      <protection locked="0"/>
    </xf>
    <xf numFmtId="49" fontId="10" fillId="8" borderId="8" xfId="0" applyNumberFormat="1" applyFont="1" applyFill="1" applyBorder="1" applyAlignment="1" applyProtection="1">
      <alignment horizontal="center" textRotation="90"/>
      <protection locked="0"/>
    </xf>
    <xf numFmtId="49" fontId="10" fillId="8" borderId="3" xfId="0" applyNumberFormat="1" applyFont="1" applyFill="1" applyBorder="1" applyAlignment="1" applyProtection="1">
      <alignment horizontal="center" textRotation="90"/>
      <protection locked="0"/>
    </xf>
    <xf numFmtId="49" fontId="10" fillId="8" borderId="9" xfId="0" applyNumberFormat="1" applyFont="1" applyFill="1" applyBorder="1" applyAlignment="1" applyProtection="1">
      <alignment horizontal="center" textRotation="90"/>
      <protection locked="0"/>
    </xf>
    <xf numFmtId="0" fontId="40" fillId="19" borderId="29" xfId="0" applyFont="1" applyFill="1" applyBorder="1" applyAlignment="1">
      <alignment horizontal="left" vertical="center" wrapText="1"/>
    </xf>
    <xf numFmtId="0" fontId="26" fillId="3" borderId="5" xfId="0" applyFont="1" applyFill="1" applyBorder="1" applyAlignment="1">
      <alignment horizontal="center" vertical="center" wrapText="1"/>
    </xf>
    <xf numFmtId="0" fontId="26" fillId="3" borderId="140" xfId="0" applyFont="1" applyFill="1" applyBorder="1" applyAlignment="1">
      <alignment horizontal="center" vertical="center" wrapText="1"/>
    </xf>
    <xf numFmtId="0" fontId="99" fillId="8" borderId="0" xfId="0" applyFont="1" applyFill="1" applyAlignment="1" applyProtection="1">
      <alignment horizontal="left" vertical="top" wrapText="1" indent="1"/>
      <protection locked="0"/>
    </xf>
    <xf numFmtId="0" fontId="10" fillId="13" borderId="22" xfId="0" applyFont="1" applyFill="1" applyBorder="1" applyAlignment="1">
      <alignment horizontal="center" vertical="center"/>
    </xf>
    <xf numFmtId="0" fontId="10" fillId="13" borderId="0" xfId="0" applyFont="1" applyFill="1" applyAlignment="1">
      <alignment horizontal="center" vertical="center"/>
    </xf>
    <xf numFmtId="0" fontId="10" fillId="13" borderId="28" xfId="0" applyFont="1" applyFill="1" applyBorder="1" applyAlignment="1">
      <alignment horizontal="center" vertical="center"/>
    </xf>
    <xf numFmtId="0" fontId="45" fillId="7" borderId="6" xfId="0" applyFont="1" applyFill="1" applyBorder="1" applyAlignment="1">
      <alignment horizontal="left" vertical="center" wrapText="1"/>
    </xf>
    <xf numFmtId="0" fontId="45" fillId="7" borderId="146" xfId="0" applyFont="1" applyFill="1" applyBorder="1" applyAlignment="1">
      <alignment horizontal="left" vertical="center" wrapText="1"/>
    </xf>
    <xf numFmtId="0" fontId="79" fillId="8" borderId="0" xfId="0" applyFont="1" applyFill="1" applyAlignment="1">
      <alignment horizontal="center" vertic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0" fillId="7" borderId="103" xfId="0" applyFill="1" applyBorder="1" applyAlignment="1">
      <alignment horizontal="center" vertical="center"/>
    </xf>
    <xf numFmtId="0" fontId="0" fillId="7" borderId="107" xfId="0" applyFill="1" applyBorder="1" applyAlignment="1">
      <alignment horizontal="center" vertical="center"/>
    </xf>
    <xf numFmtId="0" fontId="8" fillId="8" borderId="0" xfId="0" applyFont="1" applyFill="1" applyAlignment="1" applyProtection="1">
      <alignment horizontal="center" vertical="center"/>
      <protection locked="0"/>
    </xf>
    <xf numFmtId="0" fontId="10" fillId="5" borderId="101" xfId="0" applyFont="1" applyFill="1" applyBorder="1" applyAlignment="1">
      <alignment horizontal="center" vertical="center"/>
    </xf>
    <xf numFmtId="0" fontId="10" fillId="5" borderId="103" xfId="0" applyFont="1" applyFill="1" applyBorder="1" applyAlignment="1">
      <alignment horizontal="center" vertical="center"/>
    </xf>
    <xf numFmtId="49" fontId="17" fillId="0" borderId="0" xfId="0" applyNumberFormat="1" applyFont="1" applyAlignment="1" applyProtection="1">
      <alignment horizontal="center" vertical="top"/>
      <protection locked="0"/>
    </xf>
    <xf numFmtId="0" fontId="96" fillId="7" borderId="107" xfId="0" applyFont="1" applyFill="1" applyBorder="1" applyAlignment="1">
      <alignment horizontal="left" vertical="top" wrapText="1" indent="1"/>
    </xf>
    <xf numFmtId="0" fontId="96" fillId="7" borderId="103" xfId="0" applyFont="1" applyFill="1" applyBorder="1" applyAlignment="1">
      <alignment horizontal="left" vertical="top" wrapText="1" indent="1"/>
    </xf>
    <xf numFmtId="0" fontId="26" fillId="8" borderId="0" xfId="0" applyFont="1" applyFill="1" applyAlignment="1" applyProtection="1">
      <alignment horizontal="left" vertical="center" wrapText="1" indent="1"/>
      <protection locked="0"/>
    </xf>
    <xf numFmtId="0" fontId="10" fillId="3" borderId="101" xfId="0" applyFont="1" applyFill="1" applyBorder="1" applyAlignment="1">
      <alignment horizontal="center" vertical="center"/>
    </xf>
    <xf numFmtId="0" fontId="10" fillId="3" borderId="103" xfId="0" applyFont="1" applyFill="1" applyBorder="1" applyAlignment="1">
      <alignment horizontal="center" vertical="center"/>
    </xf>
    <xf numFmtId="0" fontId="14" fillId="7" borderId="103" xfId="0" applyFont="1" applyFill="1" applyBorder="1" applyAlignment="1">
      <alignment horizontal="left" vertical="top" wrapText="1"/>
    </xf>
    <xf numFmtId="0" fontId="14" fillId="7" borderId="107" xfId="0" applyFont="1" applyFill="1" applyBorder="1" applyAlignment="1">
      <alignment horizontal="left" vertical="top" wrapText="1"/>
    </xf>
    <xf numFmtId="0" fontId="66" fillId="8" borderId="0" xfId="0" applyFont="1" applyFill="1" applyAlignment="1" applyProtection="1">
      <alignment horizontal="center" wrapText="1"/>
      <protection locked="0"/>
    </xf>
    <xf numFmtId="0" fontId="14" fillId="7" borderId="29" xfId="0" applyFont="1" applyFill="1" applyBorder="1" applyAlignment="1">
      <alignment horizontal="left" vertical="top" wrapText="1" indent="1"/>
    </xf>
    <xf numFmtId="0" fontId="96" fillId="7" borderId="29" xfId="0" applyFont="1" applyFill="1" applyBorder="1" applyAlignment="1">
      <alignment horizontal="left" vertical="top" wrapText="1" indent="1"/>
    </xf>
    <xf numFmtId="0" fontId="79" fillId="8" borderId="0" xfId="0" applyFont="1" applyFill="1" applyAlignment="1">
      <alignment horizontal="left" vertical="center"/>
    </xf>
    <xf numFmtId="0" fontId="98" fillId="0" borderId="0" xfId="0" applyFont="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2" borderId="66" xfId="0" applyFont="1" applyFill="1" applyBorder="1" applyAlignment="1" applyProtection="1">
      <alignment horizontal="center" vertical="center" wrapText="1"/>
      <protection locked="0"/>
    </xf>
    <xf numFmtId="0" fontId="19" fillId="2" borderId="137" xfId="0" applyFont="1" applyFill="1" applyBorder="1" applyAlignment="1">
      <alignment horizontal="center" vertical="center"/>
    </xf>
    <xf numFmtId="0" fontId="68" fillId="8" borderId="64" xfId="0" applyFont="1" applyFill="1" applyBorder="1" applyAlignment="1" applyProtection="1">
      <alignment horizontal="center" vertical="center"/>
      <protection locked="0"/>
    </xf>
    <xf numFmtId="0" fontId="19" fillId="2" borderId="131" xfId="0" applyFont="1" applyFill="1" applyBorder="1" applyAlignment="1">
      <alignment horizontal="left" vertical="center"/>
    </xf>
    <xf numFmtId="0" fontId="19" fillId="2" borderId="28" xfId="0" applyFont="1" applyFill="1" applyBorder="1" applyAlignment="1">
      <alignment horizontal="left" vertical="center"/>
    </xf>
    <xf numFmtId="49" fontId="10" fillId="14" borderId="8" xfId="0" applyNumberFormat="1" applyFont="1" applyFill="1" applyBorder="1" applyAlignment="1" applyProtection="1">
      <alignment horizontal="center" vertical="center" textRotation="90"/>
      <protection locked="0"/>
    </xf>
    <xf numFmtId="49" fontId="10" fillId="14" borderId="3" xfId="0" applyNumberFormat="1" applyFont="1" applyFill="1" applyBorder="1" applyAlignment="1" applyProtection="1">
      <alignment horizontal="center" vertical="center" textRotation="90"/>
      <protection locked="0"/>
    </xf>
    <xf numFmtId="49" fontId="10" fillId="14" borderId="9" xfId="0" applyNumberFormat="1" applyFont="1" applyFill="1" applyBorder="1" applyAlignment="1" applyProtection="1">
      <alignment horizontal="center" vertical="center" textRotation="90"/>
      <protection locked="0"/>
    </xf>
    <xf numFmtId="0" fontId="26" fillId="3" borderId="141" xfId="0" applyFont="1" applyFill="1" applyBorder="1" applyAlignment="1">
      <alignment horizontal="center" vertical="center" wrapText="1"/>
    </xf>
    <xf numFmtId="0" fontId="40" fillId="11" borderId="0" xfId="0" applyFont="1" applyFill="1" applyAlignment="1" applyProtection="1">
      <alignment horizontal="center"/>
      <protection locked="0"/>
    </xf>
    <xf numFmtId="0" fontId="0" fillId="8" borderId="0" xfId="0" applyFill="1" applyAlignment="1" applyProtection="1">
      <alignment horizontal="center"/>
      <protection locked="0"/>
    </xf>
    <xf numFmtId="0" fontId="33" fillId="8" borderId="0" xfId="0" applyFont="1" applyFill="1" applyAlignment="1" applyProtection="1">
      <alignment horizontal="left"/>
      <protection locked="0"/>
    </xf>
    <xf numFmtId="0" fontId="106" fillId="11" borderId="0" xfId="0" applyFont="1" applyFill="1" applyAlignment="1" applyProtection="1">
      <alignment horizontal="left" vertical="center"/>
      <protection locked="0"/>
    </xf>
    <xf numFmtId="0" fontId="106" fillId="20" borderId="0" xfId="0" applyFont="1" applyFill="1" applyAlignment="1" applyProtection="1">
      <alignment horizontal="left" vertical="center"/>
      <protection locked="0"/>
    </xf>
    <xf numFmtId="0" fontId="106" fillId="19" borderId="37" xfId="0" applyFont="1" applyFill="1" applyBorder="1" applyAlignment="1">
      <alignment horizontal="left" vertical="center"/>
    </xf>
    <xf numFmtId="0" fontId="0" fillId="0" borderId="0" xfId="0" applyAlignment="1" applyProtection="1">
      <alignment horizontal="center" vertical="center" wrapText="1"/>
      <protection locked="0"/>
    </xf>
  </cellXfs>
  <cellStyles count="1">
    <cellStyle name="Normal" xfId="0" builtinId="0"/>
  </cellStyles>
  <dxfs count="256">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val="0"/>
        <i val="0"/>
      </font>
      <fill>
        <patternFill patternType="lightUp"/>
      </fill>
    </dxf>
    <dxf>
      <font>
        <b val="0"/>
        <i val="0"/>
      </font>
      <fill>
        <patternFill patternType="lightUp"/>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ill>
        <patternFill patternType="lightUp"/>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ont>
        <color theme="1" tint="0.34998626667073579"/>
      </font>
      <fill>
        <patternFill patternType="solid">
          <fgColor theme="0"/>
          <bgColor rgb="FF4D4D4D"/>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ont>
        <b/>
        <i val="0"/>
      </font>
      <fill>
        <patternFill patternType="lightUp"/>
      </fill>
    </dxf>
    <dxf>
      <font>
        <b/>
        <i val="0"/>
      </font>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solid">
          <fgColor theme="0"/>
          <bgColor theme="9" tint="0.59996337778862885"/>
        </patternFill>
      </fill>
    </dxf>
    <dxf>
      <fill>
        <patternFill patternType="solid">
          <fgColor theme="0"/>
          <bgColor theme="7" tint="0.59996337778862885"/>
        </patternFill>
      </fill>
    </dxf>
    <dxf>
      <fill>
        <patternFill patternType="solid">
          <fgColor theme="0"/>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color rgb="FF660033"/>
      </font>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fgColor auto="1"/>
          <bgColor auto="1"/>
        </patternFill>
      </fill>
    </dxf>
    <dxf>
      <font>
        <b/>
        <i val="0"/>
        <strike val="0"/>
      </font>
      <fill>
        <patternFill>
          <bgColor theme="7" tint="0.59996337778862885"/>
        </patternFill>
      </fill>
    </dxf>
    <dxf>
      <font>
        <b/>
        <i val="0"/>
        <strike val="0"/>
      </font>
      <fill>
        <patternFill>
          <bgColor theme="9" tint="0.59996337778862885"/>
        </patternFill>
      </fill>
    </dxf>
    <dxf>
      <font>
        <b/>
        <i val="0"/>
        <strike val="0"/>
      </font>
      <fill>
        <patternFill>
          <bgColor rgb="FFFF7C80"/>
        </patternFill>
      </fill>
    </dxf>
    <dxf>
      <font>
        <b/>
        <i val="0"/>
        <strike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bgColor theme="0"/>
        </patternFill>
      </fill>
    </dxf>
    <dxf>
      <font>
        <color rgb="FF660033"/>
      </font>
      <fill>
        <patternFill>
          <bgColor rgb="FF660033"/>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lightUp"/>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color auto="1"/>
      </font>
      <fill>
        <patternFill>
          <bgColor rgb="FFFF9999"/>
        </patternFill>
      </fill>
    </dxf>
    <dxf>
      <font>
        <b/>
        <i val="0"/>
        <color auto="1"/>
      </font>
      <fill>
        <patternFill patternType="lightUp"/>
      </fill>
    </dxf>
    <dxf>
      <font>
        <b/>
        <i val="0"/>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ill>
        <patternFill patternType="lightUp"/>
      </fill>
    </dxf>
    <dxf>
      <fill>
        <patternFill patternType="solid">
          <bgColor theme="1" tint="0.34998626667073579"/>
        </patternFill>
      </fill>
    </dxf>
    <dxf>
      <fill>
        <patternFill patternType="solid">
          <bgColor theme="1" tint="0.34998626667073579"/>
        </patternFill>
      </fill>
    </dxf>
    <dxf>
      <font>
        <color theme="1" tint="0.34998626667073579"/>
      </font>
      <fill>
        <patternFill patternType="solid">
          <fgColor auto="1"/>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5050"/>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ont>
        <b/>
        <i val="0"/>
        <color auto="1"/>
      </font>
      <fill>
        <patternFill patternType="lightUp"/>
      </fill>
    </dxf>
    <dxf>
      <font>
        <color rgb="FF660033"/>
      </font>
    </dxf>
    <dxf>
      <font>
        <color rgb="FF660033"/>
      </font>
    </dxf>
    <dxf>
      <font>
        <b/>
        <i val="0"/>
        <color auto="1"/>
      </font>
      <fill>
        <patternFill>
          <fgColor theme="0"/>
          <bgColor theme="9" tint="0.59996337778862885"/>
        </patternFill>
      </fill>
    </dxf>
    <dxf>
      <font>
        <b/>
        <i val="0"/>
        <color auto="1"/>
      </font>
      <fill>
        <patternFill>
          <fgColor theme="0"/>
          <bgColor theme="7" tint="0.39994506668294322"/>
        </patternFill>
      </fill>
    </dxf>
    <dxf>
      <font>
        <b/>
        <i val="0"/>
        <color auto="1"/>
      </font>
      <fill>
        <patternFill>
          <fgColor theme="0"/>
          <bgColor rgb="FFFF9999"/>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color theme="0" tint="-4.9989318521683403E-2"/>
      </font>
    </dxf>
    <dxf>
      <font>
        <color theme="0"/>
      </font>
    </dxf>
  </dxfs>
  <tableStyles count="0" defaultTableStyle="TableStyleMedium2" defaultPivotStyle="PivotStyleLight16"/>
  <colors>
    <mruColors>
      <color rgb="FF930352"/>
      <color rgb="FFFFCCFF"/>
      <color rgb="FFFF9999"/>
      <color rgb="FF660033"/>
      <color rgb="FF262626"/>
      <color rgb="FF480024"/>
      <color rgb="FF990033"/>
      <color rgb="FF7E003F"/>
      <color rgb="FF4D4D4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svg"/><Relationship Id="rId3" Type="http://schemas.openxmlformats.org/officeDocument/2006/relationships/image" Target="../media/image1.png"/><Relationship Id="rId7" Type="http://schemas.openxmlformats.org/officeDocument/2006/relationships/hyperlink" Target="#Output!A1"/><Relationship Id="rId12" Type="http://schemas.openxmlformats.org/officeDocument/2006/relationships/image" Target="../media/image11.png"/><Relationship Id="rId17" Type="http://schemas.openxmlformats.org/officeDocument/2006/relationships/image" Target="../media/image16.svg"/><Relationship Id="rId2" Type="http://schemas.openxmlformats.org/officeDocument/2006/relationships/image" Target="../media/image4.svg"/><Relationship Id="rId16" Type="http://schemas.openxmlformats.org/officeDocument/2006/relationships/image" Target="../media/image15.png"/><Relationship Id="rId1" Type="http://schemas.openxmlformats.org/officeDocument/2006/relationships/image" Target="../media/image3.png"/><Relationship Id="rId6" Type="http://schemas.openxmlformats.org/officeDocument/2006/relationships/image" Target="../media/image6.svg"/><Relationship Id="rId11" Type="http://schemas.openxmlformats.org/officeDocument/2006/relationships/image" Target="../media/image10.svg"/><Relationship Id="rId5" Type="http://schemas.openxmlformats.org/officeDocument/2006/relationships/image" Target="../media/image5.png"/><Relationship Id="rId15" Type="http://schemas.openxmlformats.org/officeDocument/2006/relationships/image" Target="../media/image14.svg"/><Relationship Id="rId10" Type="http://schemas.openxmlformats.org/officeDocument/2006/relationships/image" Target="../media/image9.png"/><Relationship Id="rId4" Type="http://schemas.openxmlformats.org/officeDocument/2006/relationships/hyperlink" Target="#'Water-Step 1'!A1"/><Relationship Id="rId9" Type="http://schemas.openxmlformats.org/officeDocument/2006/relationships/image" Target="../media/image8.svg"/><Relationship Id="rId1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Intro!A1"/><Relationship Id="rId1" Type="http://schemas.openxmlformats.org/officeDocument/2006/relationships/hyperlink" Target="https://interactive-atlas.ipcc.ch/" TargetMode="External"/><Relationship Id="rId6" Type="http://schemas.openxmlformats.org/officeDocument/2006/relationships/hyperlink" Target="#'Water_Soil-Step 2'!A1"/><Relationship Id="rId5" Type="http://schemas.openxmlformats.org/officeDocument/2006/relationships/image" Target="../media/image19.png"/><Relationship Id="rId4" Type="http://schemas.openxmlformats.org/officeDocument/2006/relationships/image" Target="../media/image18.svg"/></Relationships>
</file>

<file path=xl/drawings/_rels/drawing4.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Water_Soil-Step 1'!A1"/><Relationship Id="rId4" Type="http://schemas.openxmlformats.org/officeDocument/2006/relationships/hyperlink" Target="#'Water_Soil-Step 3'!A1"/></Relationships>
</file>

<file path=xl/drawings/_rels/drawing5.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ater_Soil-Step 2'!A1"/><Relationship Id="rId4" Type="http://schemas.openxmlformats.org/officeDocument/2006/relationships/hyperlink" Target="#'Water_Soil-Step 4'!A1"/></Relationships>
</file>

<file path=xl/drawings/_rels/drawing6.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Water_Soil-Step 3'!A1"/><Relationship Id="rId4" Type="http://schemas.openxmlformats.org/officeDocument/2006/relationships/hyperlink" Target="#'Temperature-Step 1'!A1"/></Relationships>
</file>

<file path=xl/drawings/_rels/drawing7.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ater_Soil-Step 4'!A1"/><Relationship Id="rId4" Type="http://schemas.openxmlformats.org/officeDocument/2006/relationships/hyperlink" Target="#'Temperature-Step 2'!A1"/></Relationships>
</file>

<file path=xl/drawings/_rels/drawing8.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Temperature-Step 1'!A1"/><Relationship Id="rId4" Type="http://schemas.openxmlformats.org/officeDocument/2006/relationships/hyperlink" Target="#'Temperature-Step 3'!A1"/></Relationships>
</file>

<file path=xl/drawings/_rels/drawing9.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Temperature-Step 2'!A1"/><Relationship Id="rId4" Type="http://schemas.openxmlformats.org/officeDocument/2006/relationships/hyperlink" Target="#'Temperature-Step 4'!A1"/></Relationships>
</file>

<file path=xl/drawings/_rels/drawing10.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Temperature-Step 3'!A1"/><Relationship Id="rId4" Type="http://schemas.openxmlformats.org/officeDocument/2006/relationships/hyperlink" Target="#'Wind-Step 1'!A1"/></Relationships>
</file>

<file path=xl/drawings/_rels/drawing11.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3.png"/><Relationship Id="rId5" Type="http://schemas.openxmlformats.org/officeDocument/2006/relationships/hyperlink" Target="#'Temperature-Step 4'!A1"/><Relationship Id="rId4" Type="http://schemas.openxmlformats.org/officeDocument/2006/relationships/hyperlink" Target="#'Wind-Step 2'!A1"/></Relationships>
</file>

<file path=xl/drawings/_rels/drawing12.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Wind-Step 1'!A1"/><Relationship Id="rId4" Type="http://schemas.openxmlformats.org/officeDocument/2006/relationships/hyperlink" Target="#'Wind-Step 3'!A1"/></Relationships>
</file>

<file path=xl/drawings/_rels/drawing13.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ind-Step 2'!A1"/><Relationship Id="rId4" Type="http://schemas.openxmlformats.org/officeDocument/2006/relationships/hyperlink" Target="#'Wind-Step 4'!A1"/></Relationships>
</file>

<file path=xl/drawings/_rels/drawing14.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Wind-Step 3'!A1"/><Relationship Id="rId4" Type="http://schemas.openxmlformats.org/officeDocument/2006/relationships/hyperlink" Target="#Outpu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image" Target="../media/image24.png"/><Relationship Id="rId4" Type="http://schemas.openxmlformats.org/officeDocument/2006/relationships/hyperlink" Target="#'Wind-Step 4'!A1"/></Relationships>
</file>

<file path=xl/drawings/drawing1.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8533D710-9963-428C-9EF0-5A73CD4C0C72}"/>
            </a:ext>
          </a:extLst>
        </xdr:cNvPr>
        <xdr:cNvSpPr txBox="1"/>
      </xdr:nvSpPr>
      <xdr:spPr>
        <a:xfrm>
          <a:off x="2832100" y="7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53422</xdr:colOff>
      <xdr:row>1</xdr:row>
      <xdr:rowOff>115957</xdr:rowOff>
    </xdr:from>
    <xdr:to>
      <xdr:col>11</xdr:col>
      <xdr:colOff>495299</xdr:colOff>
      <xdr:row>3</xdr:row>
      <xdr:rowOff>115957</xdr:rowOff>
    </xdr:to>
    <xdr:sp macro="" textlink="">
      <xdr:nvSpPr>
        <xdr:cNvPr id="3" name="TextBox 2">
          <a:extLst>
            <a:ext uri="{FF2B5EF4-FFF2-40B4-BE49-F238E27FC236}">
              <a16:creationId xmlns:a16="http://schemas.microsoft.com/office/drawing/2014/main" id="{EB3C6057-3644-40C4-B095-4CF146C806B1}"/>
            </a:ext>
          </a:extLst>
        </xdr:cNvPr>
        <xdr:cNvSpPr txBox="1"/>
      </xdr:nvSpPr>
      <xdr:spPr>
        <a:xfrm>
          <a:off x="1272622" y="306457"/>
          <a:ext cx="5928277" cy="38100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DISCLAIMER</a:t>
          </a:r>
          <a:endParaRPr lang="en-US" sz="1800" b="1">
            <a:solidFill>
              <a:schemeClr val="bg1"/>
            </a:solidFill>
          </a:endParaRPr>
        </a:p>
      </xdr:txBody>
    </xdr:sp>
    <xdr:clientData/>
  </xdr:twoCellAnchor>
  <xdr:twoCellAnchor>
    <xdr:from>
      <xdr:col>2</xdr:col>
      <xdr:colOff>248833</xdr:colOff>
      <xdr:row>6</xdr:row>
      <xdr:rowOff>54101</xdr:rowOff>
    </xdr:from>
    <xdr:to>
      <xdr:col>11</xdr:col>
      <xdr:colOff>412999</xdr:colOff>
      <xdr:row>44</xdr:row>
      <xdr:rowOff>105833</xdr:rowOff>
    </xdr:to>
    <xdr:sp macro="" textlink="">
      <xdr:nvSpPr>
        <xdr:cNvPr id="4" name="TextBox 3">
          <a:extLst>
            <a:ext uri="{FF2B5EF4-FFF2-40B4-BE49-F238E27FC236}">
              <a16:creationId xmlns:a16="http://schemas.microsoft.com/office/drawing/2014/main" id="{129C88A2-8769-45B6-ACE4-E198096B4A13}"/>
            </a:ext>
          </a:extLst>
        </xdr:cNvPr>
        <xdr:cNvSpPr txBox="1"/>
      </xdr:nvSpPr>
      <xdr:spPr>
        <a:xfrm>
          <a:off x="1476500" y="1197101"/>
          <a:ext cx="5688666" cy="729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1"/>
            </a:buBlip>
          </a:pPr>
          <a:r>
            <a:rPr lang="en-US" sz="1400" b="1" i="0" u="sng" strike="noStrike" baseline="0">
              <a:solidFill>
                <a:schemeClr val="bg1"/>
              </a:solidFill>
              <a:latin typeface="+mn-lt"/>
              <a:ea typeface="+mn-ea"/>
              <a:cs typeface="+mn-cs"/>
            </a:rPr>
            <a:t>Version December 2024</a:t>
          </a:r>
        </a:p>
        <a:p>
          <a:pPr marL="252000" indent="-252000" algn="l">
            <a:spcAft>
              <a:spcPts val="600"/>
            </a:spcAft>
            <a:buSzPct val="150000"/>
            <a:buFontTx/>
            <a:buBlip>
              <a:blip xmlns:r="http://schemas.openxmlformats.org/officeDocument/2006/relationships" r:embed="rId1"/>
            </a:buBlip>
          </a:pPr>
          <a:endParaRPr lang="en-US"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This tool has been designed for small projects and is provided in good faith, to be used at the risk of the user under its responsibility.</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EIB Advisory JASPERS does not warrant the accuracy or completeness of the information and assessment performed with this tool nor does it assume any legal liability or responsibility, direct or indirect, for any damages or loss caused or alleged to be caused by or in connection with the use of or reliance on information contained in this tool. </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This tool has not been formally discussed or approved by the European Commission. The assessment resulting from the use of the tool does not necessarily state or reflect the views of the EIB Advisory JASPERS partners (European Commission and the European Investment Bank (EIB).</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EIB retains copyright to this tool on behalf of EIB Advisory JASPERS. Permission to distribute this tool in whole for non-commercial purposes and without fee is hereby granted provided that EIB Advisory JASPERS is acknowledged.</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1"/>
            </a:buBlip>
          </a:pPr>
          <a:r>
            <a:rPr lang="en-GB" sz="1400" b="0" i="0" u="none" strike="noStrike">
              <a:solidFill>
                <a:schemeClr val="bg1"/>
              </a:solidFill>
              <a:effectLst/>
              <a:latin typeface="+mn-lt"/>
              <a:ea typeface="+mn-ea"/>
              <a:cs typeface="+mn-cs"/>
            </a:rPr>
            <a:t>The</a:t>
          </a:r>
          <a:r>
            <a:rPr lang="en-GB" sz="1400" b="0" i="0" u="none" strike="noStrike" baseline="0">
              <a:solidFill>
                <a:schemeClr val="bg1"/>
              </a:solidFill>
              <a:effectLst/>
              <a:latin typeface="+mn-lt"/>
              <a:ea typeface="+mn-ea"/>
              <a:cs typeface="+mn-cs"/>
            </a:rPr>
            <a:t> tool</a:t>
          </a:r>
          <a:r>
            <a:rPr lang="en-GB" sz="1400" b="0" i="0" u="none" strike="noStrike">
              <a:solidFill>
                <a:schemeClr val="bg1"/>
              </a:solidFill>
              <a:effectLst/>
              <a:latin typeface="+mn-lt"/>
              <a:ea typeface="+mn-ea"/>
              <a:cs typeface="+mn-cs"/>
            </a:rPr>
            <a:t> performs a simplified likelihood analysis that considers the probability of experiencing the most severe hazard in the project location. </a:t>
          </a:r>
          <a:r>
            <a:rPr lang="en-GB" sz="1400" b="0" i="0" u="none" strike="noStrike">
              <a:solidFill>
                <a:schemeClr val="dk1"/>
              </a:solidFill>
              <a:effectLst/>
              <a:latin typeface="+mn-lt"/>
              <a:ea typeface="+mn-ea"/>
              <a:cs typeface="+mn-cs"/>
            </a:rPr>
            <a:t>.</a:t>
          </a:r>
          <a:r>
            <a:rPr lang="en-GB" sz="1400" b="0" i="0" u="none" strike="noStrike">
              <a:solidFill>
                <a:schemeClr val="bg1"/>
              </a:solidFill>
              <a:effectLst/>
              <a:latin typeface="+mn-lt"/>
              <a:ea typeface="+mn-ea"/>
              <a:cs typeface="+mn-cs"/>
            </a:rPr>
            <a:t>It uses an indicator-based approach for the characterisation of potential climate hazards and risks, that is simple albeit subjective. It relies on empirical evidence and hence can be applied by non-climate experts. It does not however entail the robustness of a quantitative risk analysis which evaluates losses on exposed elements using probabilistic metrics.</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The tool has been developed in MS Excel and it has not been tested in other spreadsheet applications so it might not work properly with other applications.</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endParaRPr lang="en-GB"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1"/>
            </a:buBlip>
          </a:pPr>
          <a:endParaRPr lang="en-US" sz="1100" b="0" i="0" u="none" strike="noStrike" baseline="0">
            <a:solidFill>
              <a:schemeClr val="bg1"/>
            </a:solidFill>
            <a:latin typeface="+mn-lt"/>
            <a:ea typeface="+mn-ea"/>
            <a:cs typeface="+mn-cs"/>
          </a:endParaRPr>
        </a:p>
      </xdr:txBody>
    </xdr:sp>
    <xdr:clientData/>
  </xdr:twoCellAnchor>
  <xdr:twoCellAnchor editAs="oneCell">
    <xdr:from>
      <xdr:col>7</xdr:col>
      <xdr:colOff>250827</xdr:colOff>
      <xdr:row>4</xdr:row>
      <xdr:rowOff>110309</xdr:rowOff>
    </xdr:from>
    <xdr:to>
      <xdr:col>10</xdr:col>
      <xdr:colOff>298451</xdr:colOff>
      <xdr:row>8</xdr:row>
      <xdr:rowOff>155406</xdr:rowOff>
    </xdr:to>
    <xdr:pic>
      <xdr:nvPicPr>
        <xdr:cNvPr id="6" name="Picture 5">
          <a:extLst>
            <a:ext uri="{FF2B5EF4-FFF2-40B4-BE49-F238E27FC236}">
              <a16:creationId xmlns:a16="http://schemas.microsoft.com/office/drawing/2014/main" id="{5B6EC96E-9578-4A71-C1C6-5200AF429B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7660" y="872309"/>
          <a:ext cx="1889124" cy="807097"/>
        </a:xfrm>
        <a:prstGeom prst="rect">
          <a:avLst/>
        </a:prstGeom>
        <a:solidFill>
          <a:schemeClr val="bg1"/>
        </a:solidFill>
      </xdr:spPr>
    </xdr:pic>
    <xdr:clientData/>
  </xdr:twoCellAnchor>
  <xdr:twoCellAnchor>
    <xdr:from>
      <xdr:col>13</xdr:col>
      <xdr:colOff>372534</xdr:colOff>
      <xdr:row>2</xdr:row>
      <xdr:rowOff>173568</xdr:rowOff>
    </xdr:from>
    <xdr:to>
      <xdr:col>17</xdr:col>
      <xdr:colOff>551061</xdr:colOff>
      <xdr:row>4</xdr:row>
      <xdr:rowOff>153861</xdr:rowOff>
    </xdr:to>
    <xdr:sp macro="" textlink="">
      <xdr:nvSpPr>
        <xdr:cNvPr id="8" name="TextBox 7">
          <a:extLst>
            <a:ext uri="{FF2B5EF4-FFF2-40B4-BE49-F238E27FC236}">
              <a16:creationId xmlns:a16="http://schemas.microsoft.com/office/drawing/2014/main" id="{47A47478-B205-47C1-B63B-1D5597564AF5}"/>
            </a:ext>
          </a:extLst>
        </xdr:cNvPr>
        <xdr:cNvSpPr txBox="1"/>
      </xdr:nvSpPr>
      <xdr:spPr>
        <a:xfrm>
          <a:off x="8352367" y="554568"/>
          <a:ext cx="2633861" cy="36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REPORTING OF BUGS</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13</xdr:col>
      <xdr:colOff>283635</xdr:colOff>
      <xdr:row>5</xdr:row>
      <xdr:rowOff>84669</xdr:rowOff>
    </xdr:from>
    <xdr:to>
      <xdr:col>22</xdr:col>
      <xdr:colOff>243417</xdr:colOff>
      <xdr:row>9</xdr:row>
      <xdr:rowOff>137585</xdr:rowOff>
    </xdr:to>
    <xdr:sp macro="" textlink="">
      <xdr:nvSpPr>
        <xdr:cNvPr id="9" name="TextBox 8">
          <a:extLst>
            <a:ext uri="{FF2B5EF4-FFF2-40B4-BE49-F238E27FC236}">
              <a16:creationId xmlns:a16="http://schemas.microsoft.com/office/drawing/2014/main" id="{E0C1E8CD-C79E-4EBC-ACB9-F02731AA145E}"/>
            </a:ext>
          </a:extLst>
        </xdr:cNvPr>
        <xdr:cNvSpPr txBox="1"/>
      </xdr:nvSpPr>
      <xdr:spPr>
        <a:xfrm>
          <a:off x="8263468" y="1037169"/>
          <a:ext cx="5484282" cy="8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1"/>
            </a:buBlip>
            <a:tabLst/>
            <a:defRPr/>
          </a:pPr>
          <a:r>
            <a:rPr lang="en-US" sz="1400" b="0" i="0" baseline="0">
              <a:solidFill>
                <a:schemeClr val="bg1"/>
              </a:solidFill>
              <a:effectLst/>
              <a:latin typeface="+mn-lt"/>
              <a:ea typeface="+mn-ea"/>
              <a:cs typeface="+mn-cs"/>
            </a:rPr>
            <a:t>If you find any bug in the tool please report it in this email: </a:t>
          </a:r>
          <a:r>
            <a:rPr lang="en-GB" sz="1400">
              <a:solidFill>
                <a:schemeClr val="bg1"/>
              </a:solidFill>
              <a:hlinkClick xmlns:r="http://schemas.openxmlformats.org/officeDocument/2006/relationships" r:id="">
                <a:extLst>
                  <a:ext uri="{A12FA001-AC4F-418D-AE19-62706E023703}">
                    <ahyp:hlinkClr xmlns:ahyp="http://schemas.microsoft.com/office/drawing/2018/hyperlinkcolor" val="tx"/>
                  </a:ext>
                </a:extLst>
              </a:hlinkClick>
            </a:rPr>
            <a:t>jaspersnetwork@eib.org</a:t>
          </a:r>
          <a:r>
            <a:rPr lang="en-GB" sz="1400" baseline="0">
              <a:solidFill>
                <a:schemeClr val="bg1"/>
              </a:solidFill>
            </a:rPr>
            <a:t>   using "Excel tools bug reporting" as subject</a:t>
          </a:r>
          <a:endParaRPr lang="en-US" sz="1400" b="0" i="0" baseline="0">
            <a:solidFill>
              <a:schemeClr val="bg1"/>
            </a:solidFill>
            <a:effectLst/>
            <a:latin typeface="+mn-lt"/>
            <a:ea typeface="+mn-ea"/>
            <a:cs typeface="+mn-cs"/>
          </a:endParaRPr>
        </a:p>
      </xdr:txBody>
    </xdr:sp>
    <xdr:clientData/>
  </xdr:twoCellAnchor>
  <xdr:twoCellAnchor>
    <xdr:from>
      <xdr:col>13</xdr:col>
      <xdr:colOff>285750</xdr:colOff>
      <xdr:row>2</xdr:row>
      <xdr:rowOff>42334</xdr:rowOff>
    </xdr:from>
    <xdr:to>
      <xdr:col>22</xdr:col>
      <xdr:colOff>370416</xdr:colOff>
      <xdr:row>9</xdr:row>
      <xdr:rowOff>148168</xdr:rowOff>
    </xdr:to>
    <xdr:sp macro="" textlink="">
      <xdr:nvSpPr>
        <xdr:cNvPr id="10" name="Rectangle 9">
          <a:extLst>
            <a:ext uri="{FF2B5EF4-FFF2-40B4-BE49-F238E27FC236}">
              <a16:creationId xmlns:a16="http://schemas.microsoft.com/office/drawing/2014/main" id="{2023EA3F-3241-4ED1-9A5C-13D90D4A4A8F}"/>
            </a:ext>
          </a:extLst>
        </xdr:cNvPr>
        <xdr:cNvSpPr/>
      </xdr:nvSpPr>
      <xdr:spPr>
        <a:xfrm>
          <a:off x="8265583" y="423334"/>
          <a:ext cx="5609166" cy="1439334"/>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51F46BF8-30BB-3B6D-43BD-2E9817E4BC1E}"/>
            </a:ext>
          </a:extLst>
        </xdr:cNvPr>
        <xdr:cNvSpPr txBox="1"/>
      </xdr:nvSpPr>
      <xdr:spPr>
        <a:xfrm>
          <a:off x="29432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53421</xdr:colOff>
      <xdr:row>1</xdr:row>
      <xdr:rowOff>115957</xdr:rowOff>
    </xdr:from>
    <xdr:to>
      <xdr:col>13</xdr:col>
      <xdr:colOff>438726</xdr:colOff>
      <xdr:row>3</xdr:row>
      <xdr:rowOff>173182</xdr:rowOff>
    </xdr:to>
    <xdr:sp macro="" textlink="">
      <xdr:nvSpPr>
        <xdr:cNvPr id="209" name="TextBox 2">
          <a:extLst>
            <a:ext uri="{FF2B5EF4-FFF2-40B4-BE49-F238E27FC236}">
              <a16:creationId xmlns:a16="http://schemas.microsoft.com/office/drawing/2014/main" id="{CCC57D5A-C156-901D-202C-73991D9D7A4A}"/>
            </a:ext>
          </a:extLst>
        </xdr:cNvPr>
        <xdr:cNvSpPr txBox="1"/>
      </xdr:nvSpPr>
      <xdr:spPr>
        <a:xfrm>
          <a:off x="1346512" y="300684"/>
          <a:ext cx="7497305" cy="42668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HOW TO USE THE CLIMATE-PROOFING TOOL</a:t>
          </a:r>
          <a:endParaRPr lang="en-US" sz="1800" b="1">
            <a:solidFill>
              <a:schemeClr val="bg1"/>
            </a:solidFill>
          </a:endParaRPr>
        </a:p>
      </xdr:txBody>
    </xdr:sp>
    <xdr:clientData/>
  </xdr:twoCellAnchor>
  <xdr:twoCellAnchor>
    <xdr:from>
      <xdr:col>2</xdr:col>
      <xdr:colOff>28575</xdr:colOff>
      <xdr:row>5</xdr:row>
      <xdr:rowOff>19050</xdr:rowOff>
    </xdr:from>
    <xdr:to>
      <xdr:col>2</xdr:col>
      <xdr:colOff>561975</xdr:colOff>
      <xdr:row>7</xdr:row>
      <xdr:rowOff>171450</xdr:rowOff>
    </xdr:to>
    <xdr:grpSp>
      <xdr:nvGrpSpPr>
        <xdr:cNvPr id="7" name="Group 6">
          <a:extLst>
            <a:ext uri="{FF2B5EF4-FFF2-40B4-BE49-F238E27FC236}">
              <a16:creationId xmlns:a16="http://schemas.microsoft.com/office/drawing/2014/main" id="{609FCBE7-A1AB-DC50-59B6-CB1A73BA3782}"/>
            </a:ext>
          </a:extLst>
        </xdr:cNvPr>
        <xdr:cNvGrpSpPr/>
      </xdr:nvGrpSpPr>
      <xdr:grpSpPr>
        <a:xfrm>
          <a:off x="1247775" y="971550"/>
          <a:ext cx="533400" cy="533400"/>
          <a:chOff x="1238250" y="942975"/>
          <a:chExt cx="533400" cy="533400"/>
        </a:xfrm>
      </xdr:grpSpPr>
      <xdr:sp macro="" textlink="">
        <xdr:nvSpPr>
          <xdr:cNvPr id="4" name="Rectangle: Rounded Corners 3">
            <a:extLst>
              <a:ext uri="{FF2B5EF4-FFF2-40B4-BE49-F238E27FC236}">
                <a16:creationId xmlns:a16="http://schemas.microsoft.com/office/drawing/2014/main" id="{99D60E07-1FB9-FF52-908D-FD1B136741FA}"/>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ead with gears with solid fill">
            <a:extLst>
              <a:ext uri="{FF2B5EF4-FFF2-40B4-BE49-F238E27FC236}">
                <a16:creationId xmlns:a16="http://schemas.microsoft.com/office/drawing/2014/main" id="{5B241439-BA68-706A-10FB-78985F98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688" y="1014413"/>
            <a:ext cx="390525" cy="390525"/>
          </a:xfrm>
          <a:prstGeom prst="rect">
            <a:avLst/>
          </a:prstGeom>
        </xdr:spPr>
      </xdr:pic>
    </xdr:grpSp>
    <xdr:clientData/>
  </xdr:twoCellAnchor>
  <xdr:twoCellAnchor>
    <xdr:from>
      <xdr:col>3</xdr:col>
      <xdr:colOff>19050</xdr:colOff>
      <xdr:row>5</xdr:row>
      <xdr:rowOff>9525</xdr:rowOff>
    </xdr:from>
    <xdr:to>
      <xdr:col>7</xdr:col>
      <xdr:colOff>371475</xdr:colOff>
      <xdr:row>7</xdr:row>
      <xdr:rowOff>9525</xdr:rowOff>
    </xdr:to>
    <xdr:sp macro="" textlink="">
      <xdr:nvSpPr>
        <xdr:cNvPr id="8" name="TextBox 7">
          <a:extLst>
            <a:ext uri="{FF2B5EF4-FFF2-40B4-BE49-F238E27FC236}">
              <a16:creationId xmlns:a16="http://schemas.microsoft.com/office/drawing/2014/main" id="{B5FD7C37-0E53-5861-0F87-B32FA94C2273}"/>
            </a:ext>
          </a:extLst>
        </xdr:cNvPr>
        <xdr:cNvSpPr txBox="1"/>
      </xdr:nvSpPr>
      <xdr:spPr>
        <a:xfrm>
          <a:off x="1847850" y="962025"/>
          <a:ext cx="27908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GETTING STARTED</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38100</xdr:colOff>
      <xdr:row>6</xdr:row>
      <xdr:rowOff>161925</xdr:rowOff>
    </xdr:from>
    <xdr:to>
      <xdr:col>13</xdr:col>
      <xdr:colOff>496454</xdr:colOff>
      <xdr:row>12</xdr:row>
      <xdr:rowOff>80818</xdr:rowOff>
    </xdr:to>
    <xdr:sp macro="" textlink="">
      <xdr:nvSpPr>
        <xdr:cNvPr id="9" name="TextBox 8">
          <a:extLst>
            <a:ext uri="{FF2B5EF4-FFF2-40B4-BE49-F238E27FC236}">
              <a16:creationId xmlns:a16="http://schemas.microsoft.com/office/drawing/2014/main" id="{2176F490-7CFC-B08E-F17E-35AF15884654}"/>
            </a:ext>
          </a:extLst>
        </xdr:cNvPr>
        <xdr:cNvSpPr txBox="1"/>
      </xdr:nvSpPr>
      <xdr:spPr>
        <a:xfrm>
          <a:off x="1977736" y="1270289"/>
          <a:ext cx="6923809" cy="102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3"/>
            </a:buBlip>
          </a:pPr>
          <a:r>
            <a:rPr lang="en-US" sz="1100" b="0" i="0" u="none" strike="noStrike" baseline="0">
              <a:solidFill>
                <a:schemeClr val="bg1"/>
              </a:solidFill>
              <a:latin typeface="+mn-lt"/>
              <a:ea typeface="+mn-ea"/>
              <a:cs typeface="+mn-cs"/>
            </a:rPr>
            <a:t>Before starting the climate-proofing exercise go through the technical documentation of the building (masterplan, design drawings, technical factsheets etc.).</a:t>
          </a:r>
        </a:p>
        <a:p>
          <a:pPr marL="252000" indent="-252000" algn="l">
            <a:spcAft>
              <a:spcPts val="600"/>
            </a:spcAft>
            <a:buSzPct val="150000"/>
            <a:buFontTx/>
            <a:buBlip>
              <a:blip xmlns:r="http://schemas.openxmlformats.org/officeDocument/2006/relationships" r:embed="rId3"/>
            </a:buBlip>
          </a:pPr>
          <a:r>
            <a:rPr lang="en-US" sz="1100" b="0" i="0" u="none" strike="noStrike" baseline="0">
              <a:solidFill>
                <a:schemeClr val="bg1"/>
              </a:solidFill>
              <a:latin typeface="+mn-lt"/>
              <a:ea typeface="+mn-ea"/>
              <a:cs typeface="+mn-cs"/>
            </a:rPr>
            <a:t>Think of the building anatomy and make a list of its key components (specifying where possible construction details). Which technical specifications have been used for the design? What functions does the building perform?   </a:t>
          </a:r>
        </a:p>
      </xdr:txBody>
    </xdr:sp>
    <xdr:clientData/>
  </xdr:twoCellAnchor>
  <xdr:twoCellAnchor>
    <xdr:from>
      <xdr:col>2</xdr:col>
      <xdr:colOff>53975</xdr:colOff>
      <xdr:row>13</xdr:row>
      <xdr:rowOff>73025</xdr:rowOff>
    </xdr:from>
    <xdr:to>
      <xdr:col>2</xdr:col>
      <xdr:colOff>587375</xdr:colOff>
      <xdr:row>16</xdr:row>
      <xdr:rowOff>41275</xdr:rowOff>
    </xdr:to>
    <xdr:grpSp>
      <xdr:nvGrpSpPr>
        <xdr:cNvPr id="10" name="Group 9">
          <a:hlinkClick xmlns:r="http://schemas.openxmlformats.org/officeDocument/2006/relationships" r:id="rId4"/>
          <a:extLst>
            <a:ext uri="{FF2B5EF4-FFF2-40B4-BE49-F238E27FC236}">
              <a16:creationId xmlns:a16="http://schemas.microsoft.com/office/drawing/2014/main" id="{0768057B-A1ED-BD89-82B0-676C9D781C9B}"/>
            </a:ext>
          </a:extLst>
        </xdr:cNvPr>
        <xdr:cNvGrpSpPr/>
      </xdr:nvGrpSpPr>
      <xdr:grpSpPr>
        <a:xfrm>
          <a:off x="1273175" y="2549525"/>
          <a:ext cx="533400" cy="539750"/>
          <a:chOff x="1238250" y="942975"/>
          <a:chExt cx="533400" cy="533400"/>
        </a:xfrm>
      </xdr:grpSpPr>
      <xdr:sp macro="" textlink="">
        <xdr:nvSpPr>
          <xdr:cNvPr id="11" name="Rectangle: Rounded Corners 10">
            <a:extLst>
              <a:ext uri="{FF2B5EF4-FFF2-40B4-BE49-F238E27FC236}">
                <a16:creationId xmlns:a16="http://schemas.microsoft.com/office/drawing/2014/main" id="{E0A0B39F-FDB7-55EF-F2FE-BC9DDC1C5162}"/>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Graphic 11" descr="Bar graph with upward trend outline">
            <a:extLst>
              <a:ext uri="{FF2B5EF4-FFF2-40B4-BE49-F238E27FC236}">
                <a16:creationId xmlns:a16="http://schemas.microsoft.com/office/drawing/2014/main" id="{A58F44EB-A7D7-78E4-A0D7-704A8DAF94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309688" y="1014413"/>
            <a:ext cx="390525" cy="390525"/>
          </a:xfrm>
          <a:prstGeom prst="rect">
            <a:avLst/>
          </a:prstGeom>
        </xdr:spPr>
      </xdr:pic>
    </xdr:grpSp>
    <xdr:clientData/>
  </xdr:twoCellAnchor>
  <xdr:twoCellAnchor>
    <xdr:from>
      <xdr:col>3</xdr:col>
      <xdr:colOff>67541</xdr:colOff>
      <xdr:row>13</xdr:row>
      <xdr:rowOff>176645</xdr:rowOff>
    </xdr:from>
    <xdr:to>
      <xdr:col>7</xdr:col>
      <xdr:colOff>419966</xdr:colOff>
      <xdr:row>15</xdr:row>
      <xdr:rowOff>176645</xdr:rowOff>
    </xdr:to>
    <xdr:sp macro="" textlink="">
      <xdr:nvSpPr>
        <xdr:cNvPr id="13" name="TextBox 12">
          <a:extLst>
            <a:ext uri="{FF2B5EF4-FFF2-40B4-BE49-F238E27FC236}">
              <a16:creationId xmlns:a16="http://schemas.microsoft.com/office/drawing/2014/main" id="{98D1B21E-500F-6BE2-6C9A-3077BE3A4A56}"/>
            </a:ext>
          </a:extLst>
        </xdr:cNvPr>
        <xdr:cNvSpPr txBox="1"/>
      </xdr:nvSpPr>
      <xdr:spPr>
        <a:xfrm>
          <a:off x="2007177" y="2578100"/>
          <a:ext cx="2938607" cy="36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ANALYSIS</a:t>
          </a:r>
          <a:r>
            <a:rPr lang="en-US" sz="1400" b="1" i="0" u="none" strike="noStrike" baseline="30000">
              <a:solidFill>
                <a:schemeClr val="bg1"/>
              </a:solidFill>
              <a:latin typeface="Roboto" panose="02000000000000000000" pitchFamily="2" charset="0"/>
              <a:ea typeface="Roboto" panose="02000000000000000000" pitchFamily="2" charset="0"/>
              <a:cs typeface="Roboto" panose="02000000000000000000" pitchFamily="2" charset="0"/>
            </a:rPr>
            <a:t>1</a:t>
          </a:r>
          <a:endParaRPr lang="en-US" sz="1400" b="1" baseline="30000">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34059</xdr:colOff>
      <xdr:row>15</xdr:row>
      <xdr:rowOff>170294</xdr:rowOff>
    </xdr:from>
    <xdr:to>
      <xdr:col>13</xdr:col>
      <xdr:colOff>427182</xdr:colOff>
      <xdr:row>30</xdr:row>
      <xdr:rowOff>150090</xdr:rowOff>
    </xdr:to>
    <xdr:sp macro="" textlink="">
      <xdr:nvSpPr>
        <xdr:cNvPr id="14" name="TextBox 13">
          <a:extLst>
            <a:ext uri="{FF2B5EF4-FFF2-40B4-BE49-F238E27FC236}">
              <a16:creationId xmlns:a16="http://schemas.microsoft.com/office/drawing/2014/main" id="{1847F48D-AF25-0392-807C-E9631115ED48}"/>
            </a:ext>
          </a:extLst>
        </xdr:cNvPr>
        <xdr:cNvSpPr txBox="1"/>
      </xdr:nvSpPr>
      <xdr:spPr>
        <a:xfrm>
          <a:off x="1973695" y="2941203"/>
          <a:ext cx="6858578" cy="275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analysis is performed in </a:t>
          </a:r>
          <a:r>
            <a:rPr lang="en-US" sz="1100" b="1" i="0" baseline="0">
              <a:solidFill>
                <a:schemeClr val="bg1"/>
              </a:solidFill>
              <a:effectLst/>
              <a:latin typeface="+mn-lt"/>
              <a:ea typeface="+mn-ea"/>
              <a:cs typeface="+mn-cs"/>
            </a:rPr>
            <a:t>three cycles </a:t>
          </a:r>
          <a:r>
            <a:rPr lang="en-US" sz="1100" b="0" i="0" baseline="0">
              <a:solidFill>
                <a:schemeClr val="bg1"/>
              </a:solidFill>
              <a:effectLst/>
              <a:latin typeface="+mn-lt"/>
              <a:ea typeface="+mn-ea"/>
              <a:cs typeface="+mn-cs"/>
            </a:rPr>
            <a:t>representing three broad classes of hazards as displayed in the sketch below.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analysis flow is common for all hazards. It commences with the estimation of hazard exposure (Step 1), it continues with the assesment of sensitivities in Step 2  (discriminating between the various project componets), followed by a preliminary risk assessment (Step 3) describing the risk level of the different project components to various hazards considered. In Step 4 the user specifies adaptation measures for the most vulnerable project components and re-calculates the residual risk of the project  (meaning the climate risk after the implementation of the specified adaptation measures).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climate proofing assessment is completed when the </a:t>
          </a:r>
          <a:r>
            <a:rPr lang="en-US" sz="1100" b="1" i="0" baseline="0">
              <a:solidFill>
                <a:schemeClr val="bg1"/>
              </a:solidFill>
              <a:effectLst/>
              <a:latin typeface="+mn-lt"/>
              <a:ea typeface="+mn-ea"/>
              <a:cs typeface="+mn-cs"/>
            </a:rPr>
            <a:t>residual risk is lower than a maximum acceptable risk level</a:t>
          </a:r>
          <a:r>
            <a:rPr lang="en-US" sz="1100" b="0" i="0" baseline="0">
              <a:solidFill>
                <a:schemeClr val="bg1"/>
              </a:solidFill>
              <a:effectLst/>
              <a:latin typeface="+mn-lt"/>
              <a:ea typeface="+mn-ea"/>
              <a:cs typeface="+mn-cs"/>
            </a:rPr>
            <a:t>. Note that the characterization of "acceptable risk" may differ among the various components. For critical components, this can be set to Low. For less critical components (e.g., a warehouse) a "Medium" acceptable risk may be also admissible. </a:t>
          </a:r>
          <a:endParaRPr lang="en-US" sz="1400">
            <a:solidFill>
              <a:schemeClr val="bg1"/>
            </a:solidFill>
            <a:effectLst/>
          </a:endParaRPr>
        </a:p>
      </xdr:txBody>
    </xdr:sp>
    <xdr:clientData/>
  </xdr:twoCellAnchor>
  <xdr:twoCellAnchor>
    <xdr:from>
      <xdr:col>3</xdr:col>
      <xdr:colOff>34925</xdr:colOff>
      <xdr:row>45</xdr:row>
      <xdr:rowOff>4205</xdr:rowOff>
    </xdr:from>
    <xdr:to>
      <xdr:col>7</xdr:col>
      <xdr:colOff>387350</xdr:colOff>
      <xdr:row>47</xdr:row>
      <xdr:rowOff>4205</xdr:rowOff>
    </xdr:to>
    <xdr:sp macro="" textlink="">
      <xdr:nvSpPr>
        <xdr:cNvPr id="18" name="TextBox 17">
          <a:extLst>
            <a:ext uri="{FF2B5EF4-FFF2-40B4-BE49-F238E27FC236}">
              <a16:creationId xmlns:a16="http://schemas.microsoft.com/office/drawing/2014/main" id="{7CD684C0-7A66-190D-FA69-2CFB29B9AB75}"/>
            </a:ext>
          </a:extLst>
        </xdr:cNvPr>
        <xdr:cNvSpPr txBox="1"/>
      </xdr:nvSpPr>
      <xdr:spPr>
        <a:xfrm>
          <a:off x="1939925" y="8576705"/>
          <a:ext cx="289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OUTCOME</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53975</xdr:colOff>
      <xdr:row>46</xdr:row>
      <xdr:rowOff>156604</xdr:rowOff>
    </xdr:from>
    <xdr:to>
      <xdr:col>14</xdr:col>
      <xdr:colOff>311728</xdr:colOff>
      <xdr:row>51</xdr:row>
      <xdr:rowOff>70879</xdr:rowOff>
    </xdr:to>
    <xdr:sp macro="" textlink="">
      <xdr:nvSpPr>
        <xdr:cNvPr id="19" name="TextBox 18">
          <a:extLst>
            <a:ext uri="{FF2B5EF4-FFF2-40B4-BE49-F238E27FC236}">
              <a16:creationId xmlns:a16="http://schemas.microsoft.com/office/drawing/2014/main" id="{21728CB9-355D-759F-AFDD-310AA96B903D}"/>
            </a:ext>
          </a:extLst>
        </xdr:cNvPr>
        <xdr:cNvSpPr txBox="1"/>
      </xdr:nvSpPr>
      <xdr:spPr>
        <a:xfrm>
          <a:off x="1993611" y="8654059"/>
          <a:ext cx="7369753" cy="8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A climate risk overview of the building (before and after the implementation of adaptation measures).</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A list of suitable adaptation measures for the various hazards considered.</a:t>
          </a:r>
          <a:endParaRPr lang="en-US" sz="1100">
            <a:solidFill>
              <a:schemeClr val="bg1"/>
            </a:solidFill>
            <a:effectLst/>
          </a:endParaRPr>
        </a:p>
      </xdr:txBody>
    </xdr:sp>
    <xdr:clientData/>
  </xdr:twoCellAnchor>
  <xdr:twoCellAnchor>
    <xdr:from>
      <xdr:col>2</xdr:col>
      <xdr:colOff>60325</xdr:colOff>
      <xdr:row>45</xdr:row>
      <xdr:rowOff>159780</xdr:rowOff>
    </xdr:from>
    <xdr:to>
      <xdr:col>2</xdr:col>
      <xdr:colOff>593725</xdr:colOff>
      <xdr:row>48</xdr:row>
      <xdr:rowOff>121680</xdr:rowOff>
    </xdr:to>
    <xdr:grpSp>
      <xdr:nvGrpSpPr>
        <xdr:cNvPr id="3353" name="Group 19">
          <a:hlinkClick xmlns:r="http://schemas.openxmlformats.org/officeDocument/2006/relationships" r:id="rId7"/>
          <a:extLst>
            <a:ext uri="{FF2B5EF4-FFF2-40B4-BE49-F238E27FC236}">
              <a16:creationId xmlns:a16="http://schemas.microsoft.com/office/drawing/2014/main" id="{623BDE81-0D6F-10EA-378E-25CF2F790D0E}"/>
            </a:ext>
          </a:extLst>
        </xdr:cNvPr>
        <xdr:cNvGrpSpPr/>
      </xdr:nvGrpSpPr>
      <xdr:grpSpPr>
        <a:xfrm>
          <a:off x="1279525" y="8732280"/>
          <a:ext cx="533400" cy="533400"/>
          <a:chOff x="1238250" y="942975"/>
          <a:chExt cx="533400" cy="533400"/>
        </a:xfrm>
      </xdr:grpSpPr>
      <xdr:sp macro="" textlink="">
        <xdr:nvSpPr>
          <xdr:cNvPr id="3354" name="Rectangle: Rounded Corners 20">
            <a:extLst>
              <a:ext uri="{FF2B5EF4-FFF2-40B4-BE49-F238E27FC236}">
                <a16:creationId xmlns:a16="http://schemas.microsoft.com/office/drawing/2014/main" id="{C9B872CC-2E66-E0AF-DD7F-5699FE3FF8E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55" name="Graphic 21" descr="Bullseye with solid fill">
            <a:extLst>
              <a:ext uri="{FF2B5EF4-FFF2-40B4-BE49-F238E27FC236}">
                <a16:creationId xmlns:a16="http://schemas.microsoft.com/office/drawing/2014/main" id="{D7B34642-21EE-6763-1903-95367F5302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309688" y="1014413"/>
            <a:ext cx="390525" cy="390525"/>
          </a:xfrm>
          <a:prstGeom prst="rect">
            <a:avLst/>
          </a:prstGeom>
        </xdr:spPr>
      </xdr:pic>
    </xdr:grpSp>
    <xdr:clientData/>
  </xdr:twoCellAnchor>
  <xdr:twoCellAnchor>
    <xdr:from>
      <xdr:col>1</xdr:col>
      <xdr:colOff>267942</xdr:colOff>
      <xdr:row>30</xdr:row>
      <xdr:rowOff>176039</xdr:rowOff>
    </xdr:from>
    <xdr:to>
      <xdr:col>14</xdr:col>
      <xdr:colOff>372855</xdr:colOff>
      <xdr:row>44</xdr:row>
      <xdr:rowOff>9939</xdr:rowOff>
    </xdr:to>
    <xdr:grpSp>
      <xdr:nvGrpSpPr>
        <xdr:cNvPr id="3283" name="Group 228">
          <a:extLst>
            <a:ext uri="{FF2B5EF4-FFF2-40B4-BE49-F238E27FC236}">
              <a16:creationId xmlns:a16="http://schemas.microsoft.com/office/drawing/2014/main" id="{8293476A-F679-E0C3-D870-267C1DC4416C}"/>
            </a:ext>
          </a:extLst>
        </xdr:cNvPr>
        <xdr:cNvGrpSpPr/>
      </xdr:nvGrpSpPr>
      <xdr:grpSpPr>
        <a:xfrm>
          <a:off x="877542" y="5891039"/>
          <a:ext cx="8029713" cy="2500900"/>
          <a:chOff x="7065065" y="4953448"/>
          <a:chExt cx="8050696" cy="2500900"/>
        </a:xfrm>
      </xdr:grpSpPr>
      <xdr:sp macro="" textlink="">
        <xdr:nvSpPr>
          <xdr:cNvPr id="3284" name="TextBox 34">
            <a:extLst>
              <a:ext uri="{FF2B5EF4-FFF2-40B4-BE49-F238E27FC236}">
                <a16:creationId xmlns:a16="http://schemas.microsoft.com/office/drawing/2014/main" id="{BFBD3C6E-EF2A-3AEA-363E-20EBE0764484}"/>
              </a:ext>
            </a:extLst>
          </xdr:cNvPr>
          <xdr:cNvSpPr txBox="1"/>
        </xdr:nvSpPr>
        <xdr:spPr>
          <a:xfrm>
            <a:off x="11995014" y="5649186"/>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grpSp>
        <xdr:nvGrpSpPr>
          <xdr:cNvPr id="3285" name="Graphic 10">
            <a:extLst>
              <a:ext uri="{FF2B5EF4-FFF2-40B4-BE49-F238E27FC236}">
                <a16:creationId xmlns:a16="http://schemas.microsoft.com/office/drawing/2014/main" id="{2FABD643-817C-C62E-DBC3-760760E79729}"/>
              </a:ext>
            </a:extLst>
          </xdr:cNvPr>
          <xdr:cNvGrpSpPr/>
        </xdr:nvGrpSpPr>
        <xdr:grpSpPr>
          <a:xfrm>
            <a:off x="13680749" y="6234857"/>
            <a:ext cx="399996" cy="579455"/>
            <a:chOff x="13680750" y="6234857"/>
            <a:chExt cx="399996" cy="579455"/>
          </a:xfrm>
          <a:noFill/>
        </xdr:grpSpPr>
        <xdr:sp macro="" textlink="">
          <xdr:nvSpPr>
            <xdr:cNvPr id="3286" name="Freeform: Shape 22">
              <a:extLst>
                <a:ext uri="{FF2B5EF4-FFF2-40B4-BE49-F238E27FC236}">
                  <a16:creationId xmlns:a16="http://schemas.microsoft.com/office/drawing/2014/main" id="{4BDBF001-7736-E6F3-F89B-2E81BA1C9FFD}"/>
                </a:ext>
              </a:extLst>
            </xdr:cNvPr>
            <xdr:cNvSpPr/>
          </xdr:nvSpPr>
          <xdr:spPr>
            <a:xfrm>
              <a:off x="14060128" y="6234857"/>
              <a:ext cx="20618" cy="35532"/>
            </a:xfrm>
            <a:custGeom>
              <a:avLst/>
              <a:gdLst>
                <a:gd name="connsiteX0" fmla="*/ 20618 w 20618"/>
                <a:gd name="connsiteY0" fmla="*/ 0 h 35532"/>
                <a:gd name="connsiteX1" fmla="*/ 0 w 20618"/>
                <a:gd name="connsiteY1" fmla="*/ 35533 h 35532"/>
              </a:gdLst>
              <a:ahLst/>
              <a:cxnLst>
                <a:cxn ang="0">
                  <a:pos x="connsiteX0" y="connsiteY0"/>
                </a:cxn>
                <a:cxn ang="0">
                  <a:pos x="connsiteX1" y="connsiteY1"/>
                </a:cxn>
              </a:cxnLst>
              <a:rect l="l" t="t" r="r" b="b"/>
              <a:pathLst>
                <a:path w="20618" h="35532">
                  <a:moveTo>
                    <a:pt x="20618" y="0"/>
                  </a:moveTo>
                  <a:lnTo>
                    <a:pt x="0" y="35533"/>
                  </a:lnTo>
                </a:path>
              </a:pathLst>
            </a:custGeom>
            <a:ln w="13653" cap="flat">
              <a:solidFill>
                <a:srgbClr val="FFFFFF"/>
              </a:solidFill>
              <a:prstDash val="solid"/>
              <a:miter/>
            </a:ln>
          </xdr:spPr>
          <xdr:txBody>
            <a:bodyPr rtlCol="0" anchor="ctr"/>
            <a:lstStyle/>
            <a:p>
              <a:endParaRPr lang="en-US"/>
            </a:p>
          </xdr:txBody>
        </xdr:sp>
        <xdr:sp macro="" textlink="">
          <xdr:nvSpPr>
            <xdr:cNvPr id="3287" name="Freeform: Shape 23">
              <a:extLst>
                <a:ext uri="{FF2B5EF4-FFF2-40B4-BE49-F238E27FC236}">
                  <a16:creationId xmlns:a16="http://schemas.microsoft.com/office/drawing/2014/main" id="{963844BD-68AD-1A3F-39D2-0252011D154F}"/>
                </a:ext>
              </a:extLst>
            </xdr:cNvPr>
            <xdr:cNvSpPr/>
          </xdr:nvSpPr>
          <xdr:spPr>
            <a:xfrm>
              <a:off x="13759100" y="6349655"/>
              <a:ext cx="255667" cy="433224"/>
            </a:xfrm>
            <a:custGeom>
              <a:avLst/>
              <a:gdLst>
                <a:gd name="connsiteX0" fmla="*/ 255668 w 255667"/>
                <a:gd name="connsiteY0" fmla="*/ 0 h 433224"/>
                <a:gd name="connsiteX1" fmla="*/ 19244 w 255667"/>
                <a:gd name="connsiteY1" fmla="*/ 408625 h 433224"/>
                <a:gd name="connsiteX2" fmla="*/ 0 w 255667"/>
                <a:gd name="connsiteY2" fmla="*/ 433225 h 433224"/>
              </a:gdLst>
              <a:ahLst/>
              <a:cxnLst>
                <a:cxn ang="0">
                  <a:pos x="connsiteX0" y="connsiteY0"/>
                </a:cxn>
                <a:cxn ang="0">
                  <a:pos x="connsiteX1" y="connsiteY1"/>
                </a:cxn>
                <a:cxn ang="0">
                  <a:pos x="connsiteX2" y="connsiteY2"/>
                </a:cxn>
              </a:cxnLst>
              <a:rect l="l" t="t" r="r" b="b"/>
              <a:pathLst>
                <a:path w="255667" h="433224">
                  <a:moveTo>
                    <a:pt x="255668" y="0"/>
                  </a:moveTo>
                  <a:lnTo>
                    <a:pt x="19244" y="408625"/>
                  </a:lnTo>
                  <a:cubicBezTo>
                    <a:pt x="13746" y="418192"/>
                    <a:pt x="6873" y="426391"/>
                    <a:pt x="0" y="433225"/>
                  </a:cubicBezTo>
                </a:path>
              </a:pathLst>
            </a:custGeom>
            <a:noFill/>
            <a:ln w="13653" cap="flat">
              <a:solidFill>
                <a:srgbClr val="FFFFFF"/>
              </a:solidFill>
              <a:custDash>
                <a:ds d="501525" sp="501525"/>
              </a:custDash>
              <a:miter/>
            </a:ln>
          </xdr:spPr>
          <xdr:txBody>
            <a:bodyPr rtlCol="0" anchor="ctr"/>
            <a:lstStyle/>
            <a:p>
              <a:endParaRPr lang="en-US"/>
            </a:p>
          </xdr:txBody>
        </xdr:sp>
        <xdr:sp macro="" textlink="">
          <xdr:nvSpPr>
            <xdr:cNvPr id="3288" name="Freeform: Shape 24">
              <a:extLst>
                <a:ext uri="{FF2B5EF4-FFF2-40B4-BE49-F238E27FC236}">
                  <a16:creationId xmlns:a16="http://schemas.microsoft.com/office/drawing/2014/main" id="{515F0C33-6DFE-634D-69EE-FA7AA71BB651}"/>
                </a:ext>
              </a:extLst>
            </xdr:cNvPr>
            <xdr:cNvSpPr/>
          </xdr:nvSpPr>
          <xdr:spPr>
            <a:xfrm>
              <a:off x="13680750" y="6807479"/>
              <a:ext cx="39862" cy="6833"/>
            </a:xfrm>
            <a:custGeom>
              <a:avLst/>
              <a:gdLst>
                <a:gd name="connsiteX0" fmla="*/ 39862 w 39862"/>
                <a:gd name="connsiteY0" fmla="*/ 0 h 6833"/>
                <a:gd name="connsiteX1" fmla="*/ 0 w 39862"/>
                <a:gd name="connsiteY1" fmla="*/ 6833 h 6833"/>
              </a:gdLst>
              <a:ahLst/>
              <a:cxnLst>
                <a:cxn ang="0">
                  <a:pos x="connsiteX0" y="connsiteY0"/>
                </a:cxn>
                <a:cxn ang="0">
                  <a:pos x="connsiteX1" y="connsiteY1"/>
                </a:cxn>
              </a:cxnLst>
              <a:rect l="l" t="t" r="r" b="b"/>
              <a:pathLst>
                <a:path w="39862" h="6833">
                  <a:moveTo>
                    <a:pt x="39862" y="0"/>
                  </a:moveTo>
                  <a:cubicBezTo>
                    <a:pt x="27491" y="5467"/>
                    <a:pt x="13746" y="6833"/>
                    <a:pt x="0" y="6833"/>
                  </a:cubicBezTo>
                </a:path>
              </a:pathLst>
            </a:custGeom>
            <a:noFill/>
            <a:ln w="13653" cap="flat">
              <a:solidFill>
                <a:srgbClr val="FFFFFF"/>
              </a:solidFill>
              <a:prstDash val="solid"/>
              <a:miter/>
            </a:ln>
          </xdr:spPr>
          <xdr:txBody>
            <a:bodyPr rtlCol="0" anchor="ctr"/>
            <a:lstStyle/>
            <a:p>
              <a:endParaRPr lang="en-US"/>
            </a:p>
          </xdr:txBody>
        </xdr:sp>
      </xdr:grpSp>
      <xdr:sp macro="" textlink="">
        <xdr:nvSpPr>
          <xdr:cNvPr id="3289" name="Freeform: Shape 25">
            <a:extLst>
              <a:ext uri="{FF2B5EF4-FFF2-40B4-BE49-F238E27FC236}">
                <a16:creationId xmlns:a16="http://schemas.microsoft.com/office/drawing/2014/main" id="{8676B8ED-37D7-E788-B301-FA55299616E2}"/>
              </a:ext>
            </a:extLst>
          </xdr:cNvPr>
          <xdr:cNvSpPr/>
        </xdr:nvSpPr>
        <xdr:spPr>
          <a:xfrm>
            <a:off x="8024093" y="5543338"/>
            <a:ext cx="6078988" cy="1270974"/>
          </a:xfrm>
          <a:custGeom>
            <a:avLst/>
            <a:gdLst>
              <a:gd name="connsiteX0" fmla="*/ 416835 w 6078989"/>
              <a:gd name="connsiteY0" fmla="*/ 1270975 h 1270974"/>
              <a:gd name="connsiteX1" fmla="*/ 317867 w 6078989"/>
              <a:gd name="connsiteY1" fmla="*/ 1214942 h 1270974"/>
              <a:gd name="connsiteX2" fmla="*/ 15464 w 6078989"/>
              <a:gd name="connsiteY2" fmla="*/ 691520 h 1270974"/>
              <a:gd name="connsiteX3" fmla="*/ 15464 w 6078989"/>
              <a:gd name="connsiteY3" fmla="*/ 578088 h 1270974"/>
              <a:gd name="connsiteX4" fmla="*/ 319241 w 6078989"/>
              <a:gd name="connsiteY4" fmla="*/ 56032 h 1270974"/>
              <a:gd name="connsiteX5" fmla="*/ 418210 w 6078989"/>
              <a:gd name="connsiteY5" fmla="*/ 0 h 1270974"/>
              <a:gd name="connsiteX6" fmla="*/ 1025765 w 6078989"/>
              <a:gd name="connsiteY6" fmla="*/ 0 h 1270974"/>
              <a:gd name="connsiteX7" fmla="*/ 1124733 w 6078989"/>
              <a:gd name="connsiteY7" fmla="*/ 56032 h 1270974"/>
              <a:gd name="connsiteX8" fmla="*/ 1428511 w 6078989"/>
              <a:gd name="connsiteY8" fmla="*/ 579455 h 1270974"/>
              <a:gd name="connsiteX9" fmla="*/ 1780398 w 6078989"/>
              <a:gd name="connsiteY9" fmla="*/ 1214942 h 1270974"/>
              <a:gd name="connsiteX10" fmla="*/ 1879367 w 6078989"/>
              <a:gd name="connsiteY10" fmla="*/ 1270975 h 1270974"/>
              <a:gd name="connsiteX11" fmla="*/ 1978335 w 6078989"/>
              <a:gd name="connsiteY11" fmla="*/ 1214942 h 1270974"/>
              <a:gd name="connsiteX12" fmla="*/ 2331597 w 6078989"/>
              <a:gd name="connsiteY12" fmla="*/ 579455 h 1270974"/>
              <a:gd name="connsiteX13" fmla="*/ 2635374 w 6078989"/>
              <a:gd name="connsiteY13" fmla="*/ 56032 h 1270974"/>
              <a:gd name="connsiteX14" fmla="*/ 2734343 w 6078989"/>
              <a:gd name="connsiteY14" fmla="*/ 0 h 1270974"/>
              <a:gd name="connsiteX15" fmla="*/ 3341898 w 6078989"/>
              <a:gd name="connsiteY15" fmla="*/ 0 h 1270974"/>
              <a:gd name="connsiteX16" fmla="*/ 3440866 w 6078989"/>
              <a:gd name="connsiteY16" fmla="*/ 56032 h 1270974"/>
              <a:gd name="connsiteX17" fmla="*/ 3744644 w 6078989"/>
              <a:gd name="connsiteY17" fmla="*/ 579455 h 1270974"/>
              <a:gd name="connsiteX18" fmla="*/ 4099281 w 6078989"/>
              <a:gd name="connsiteY18" fmla="*/ 1214942 h 1270974"/>
              <a:gd name="connsiteX19" fmla="*/ 4198249 w 6078989"/>
              <a:gd name="connsiteY19" fmla="*/ 1270975 h 1270974"/>
              <a:gd name="connsiteX20" fmla="*/ 4297217 w 6078989"/>
              <a:gd name="connsiteY20" fmla="*/ 1214942 h 1270974"/>
              <a:gd name="connsiteX21" fmla="*/ 4650479 w 6078989"/>
              <a:gd name="connsiteY21" fmla="*/ 579455 h 1270974"/>
              <a:gd name="connsiteX22" fmla="*/ 4954257 w 6078989"/>
              <a:gd name="connsiteY22" fmla="*/ 56032 h 1270974"/>
              <a:gd name="connsiteX23" fmla="*/ 5053225 w 6078989"/>
              <a:gd name="connsiteY23" fmla="*/ 0 h 1270974"/>
              <a:gd name="connsiteX24" fmla="*/ 5660780 w 6078989"/>
              <a:gd name="connsiteY24" fmla="*/ 0 h 1270974"/>
              <a:gd name="connsiteX25" fmla="*/ 5759749 w 6078989"/>
              <a:gd name="connsiteY25" fmla="*/ 56032 h 1270974"/>
              <a:gd name="connsiteX26" fmla="*/ 6063526 w 6078989"/>
              <a:gd name="connsiteY26" fmla="*/ 579455 h 1270974"/>
              <a:gd name="connsiteX27" fmla="*/ 6063526 w 6078989"/>
              <a:gd name="connsiteY27" fmla="*/ 692886 h 1270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78989" h="1270974">
                <a:moveTo>
                  <a:pt x="416835" y="1270975"/>
                </a:moveTo>
                <a:cubicBezTo>
                  <a:pt x="375598" y="1270975"/>
                  <a:pt x="338485" y="1249108"/>
                  <a:pt x="317867" y="1214942"/>
                </a:cubicBezTo>
                <a:lnTo>
                  <a:pt x="15464" y="691520"/>
                </a:lnTo>
                <a:cubicBezTo>
                  <a:pt x="-5155" y="655987"/>
                  <a:pt x="-5155" y="613621"/>
                  <a:pt x="15464" y="578088"/>
                </a:cubicBezTo>
                <a:lnTo>
                  <a:pt x="319241" y="56032"/>
                </a:lnTo>
                <a:cubicBezTo>
                  <a:pt x="339860" y="20500"/>
                  <a:pt x="376973" y="0"/>
                  <a:pt x="418210" y="0"/>
                </a:cubicBezTo>
                <a:lnTo>
                  <a:pt x="1025765" y="0"/>
                </a:lnTo>
                <a:cubicBezTo>
                  <a:pt x="1067002" y="0"/>
                  <a:pt x="1104115" y="21866"/>
                  <a:pt x="1124733" y="56032"/>
                </a:cubicBezTo>
                <a:lnTo>
                  <a:pt x="1428511" y="579455"/>
                </a:lnTo>
                <a:lnTo>
                  <a:pt x="1780398" y="1214942"/>
                </a:lnTo>
                <a:cubicBezTo>
                  <a:pt x="1801017" y="1250475"/>
                  <a:pt x="1838130" y="1270975"/>
                  <a:pt x="1879367" y="1270975"/>
                </a:cubicBezTo>
                <a:cubicBezTo>
                  <a:pt x="1920603" y="1270975"/>
                  <a:pt x="1957716" y="1249108"/>
                  <a:pt x="1978335" y="1214942"/>
                </a:cubicBezTo>
                <a:cubicBezTo>
                  <a:pt x="1978335" y="1214942"/>
                  <a:pt x="2331597" y="579455"/>
                  <a:pt x="2331597" y="579455"/>
                </a:cubicBezTo>
                <a:lnTo>
                  <a:pt x="2635374" y="56032"/>
                </a:lnTo>
                <a:cubicBezTo>
                  <a:pt x="2655993" y="20500"/>
                  <a:pt x="2693106" y="0"/>
                  <a:pt x="2734343" y="0"/>
                </a:cubicBezTo>
                <a:lnTo>
                  <a:pt x="3341898" y="0"/>
                </a:lnTo>
                <a:cubicBezTo>
                  <a:pt x="3383135" y="0"/>
                  <a:pt x="3420248" y="21866"/>
                  <a:pt x="3440866" y="56032"/>
                </a:cubicBezTo>
                <a:lnTo>
                  <a:pt x="3744644" y="579455"/>
                </a:lnTo>
                <a:lnTo>
                  <a:pt x="4099281" y="1214942"/>
                </a:lnTo>
                <a:cubicBezTo>
                  <a:pt x="4119899" y="1250475"/>
                  <a:pt x="4157012" y="1270975"/>
                  <a:pt x="4198249" y="1270975"/>
                </a:cubicBezTo>
                <a:cubicBezTo>
                  <a:pt x="4239486" y="1270975"/>
                  <a:pt x="4276599" y="1249108"/>
                  <a:pt x="4297217" y="1214942"/>
                </a:cubicBezTo>
                <a:lnTo>
                  <a:pt x="4650479" y="579455"/>
                </a:lnTo>
                <a:lnTo>
                  <a:pt x="4954257" y="56032"/>
                </a:lnTo>
                <a:cubicBezTo>
                  <a:pt x="4974875" y="20500"/>
                  <a:pt x="5011988" y="0"/>
                  <a:pt x="5053225" y="0"/>
                </a:cubicBezTo>
                <a:lnTo>
                  <a:pt x="5660780" y="0"/>
                </a:lnTo>
                <a:cubicBezTo>
                  <a:pt x="5702017" y="0"/>
                  <a:pt x="5739130" y="21866"/>
                  <a:pt x="5759749" y="56032"/>
                </a:cubicBezTo>
                <a:lnTo>
                  <a:pt x="6063526" y="579455"/>
                </a:lnTo>
                <a:cubicBezTo>
                  <a:pt x="6084145" y="614988"/>
                  <a:pt x="6084145" y="657354"/>
                  <a:pt x="6063526" y="692886"/>
                </a:cubicBezTo>
              </a:path>
            </a:pathLst>
          </a:custGeom>
          <a:noFill/>
          <a:ln w="13653" cap="flat">
            <a:solidFill>
              <a:schemeClr val="accent3"/>
            </a:solidFill>
            <a:prstDash val="solid"/>
            <a:miter/>
          </a:ln>
        </xdr:spPr>
        <xdr:txBody>
          <a:bodyPr rtlCol="0" anchor="ctr"/>
          <a:lstStyle/>
          <a:p>
            <a:endParaRPr lang="en-US"/>
          </a:p>
        </xdr:txBody>
      </xdr:sp>
      <xdr:grpSp>
        <xdr:nvGrpSpPr>
          <xdr:cNvPr id="3290" name="Group 45">
            <a:extLst>
              <a:ext uri="{FF2B5EF4-FFF2-40B4-BE49-F238E27FC236}">
                <a16:creationId xmlns:a16="http://schemas.microsoft.com/office/drawing/2014/main" id="{C4F662AA-14E4-88DC-1F0B-159CB197D4C1}"/>
              </a:ext>
            </a:extLst>
          </xdr:cNvPr>
          <xdr:cNvGrpSpPr/>
        </xdr:nvGrpSpPr>
        <xdr:grpSpPr>
          <a:xfrm>
            <a:off x="8286555" y="5774954"/>
            <a:ext cx="955106" cy="861119"/>
            <a:chOff x="8517831" y="5712830"/>
            <a:chExt cx="950327" cy="861119"/>
          </a:xfrm>
        </xdr:grpSpPr>
        <xdr:sp macro="" textlink="">
          <xdr:nvSpPr>
            <xdr:cNvPr id="3291" name="Graphic 2">
              <a:extLst>
                <a:ext uri="{FF2B5EF4-FFF2-40B4-BE49-F238E27FC236}">
                  <a16:creationId xmlns:a16="http://schemas.microsoft.com/office/drawing/2014/main" id="{5B055E7F-676E-58C6-95EE-C24172779FA0}"/>
                </a:ext>
              </a:extLst>
            </xdr:cNvPr>
            <xdr:cNvSpPr/>
          </xdr:nvSpPr>
          <xdr:spPr>
            <a:xfrm>
              <a:off x="8517831" y="5712830"/>
              <a:ext cx="950327"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00B0F0"/>
            </a:solidFill>
            <a:ln w="9525" cap="flat">
              <a:noFill/>
              <a:prstDash val="solid"/>
              <a:miter/>
            </a:ln>
          </xdr:spPr>
          <xdr:txBody>
            <a:bodyPr rtlCol="0" anchor="ctr"/>
            <a:lstStyle/>
            <a:p>
              <a:endParaRPr lang="en-US"/>
            </a:p>
          </xdr:txBody>
        </xdr:sp>
        <xdr:sp macro="" textlink="">
          <xdr:nvSpPr>
            <xdr:cNvPr id="3292" name="TextBox 37">
              <a:extLst>
                <a:ext uri="{FF2B5EF4-FFF2-40B4-BE49-F238E27FC236}">
                  <a16:creationId xmlns:a16="http://schemas.microsoft.com/office/drawing/2014/main" id="{3A8681F2-BA6A-87AE-8C90-FD58E30623B6}"/>
                </a:ext>
              </a:extLst>
            </xdr:cNvPr>
            <xdr:cNvSpPr txBox="1"/>
          </xdr:nvSpPr>
          <xdr:spPr>
            <a:xfrm>
              <a:off x="8546292" y="6056685"/>
              <a:ext cx="893405"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Water/Soil</a:t>
              </a:r>
            </a:p>
            <a:p>
              <a:pPr algn="ctr"/>
              <a:r>
                <a:rPr lang="en-US" sz="800" b="1" i="0" u="none" strike="noStrike" baseline="0">
                  <a:solidFill>
                    <a:schemeClr val="bg1"/>
                  </a:solidFill>
                  <a:latin typeface="+mn-lt"/>
                  <a:ea typeface="+mn-ea"/>
                  <a:cs typeface="+mn-cs"/>
                </a:rPr>
                <a:t>hazards</a:t>
              </a:r>
            </a:p>
          </xdr:txBody>
        </xdr:sp>
        <xdr:pic>
          <xdr:nvPicPr>
            <xdr:cNvPr id="3293" name="Graphic 4">
              <a:extLst>
                <a:ext uri="{FF2B5EF4-FFF2-40B4-BE49-F238E27FC236}">
                  <a16:creationId xmlns:a16="http://schemas.microsoft.com/office/drawing/2014/main" id="{2DE36CA2-0C29-5B0F-6E25-CFC782D0E5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909922" y="5854705"/>
              <a:ext cx="166147" cy="228460"/>
            </a:xfrm>
            <a:prstGeom prst="rect">
              <a:avLst/>
            </a:prstGeom>
          </xdr:spPr>
        </xdr:pic>
      </xdr:grpSp>
      <xdr:grpSp>
        <xdr:nvGrpSpPr>
          <xdr:cNvPr id="3294" name="Group 46">
            <a:extLst>
              <a:ext uri="{FF2B5EF4-FFF2-40B4-BE49-F238E27FC236}">
                <a16:creationId xmlns:a16="http://schemas.microsoft.com/office/drawing/2014/main" id="{B28216E8-16F8-F934-20D8-4F783ECB5B8F}"/>
              </a:ext>
            </a:extLst>
          </xdr:cNvPr>
          <xdr:cNvGrpSpPr/>
        </xdr:nvGrpSpPr>
        <xdr:grpSpPr>
          <a:xfrm>
            <a:off x="10595191" y="5774954"/>
            <a:ext cx="959292" cy="861119"/>
            <a:chOff x="9752593" y="5712830"/>
            <a:chExt cx="954513" cy="861119"/>
          </a:xfrm>
        </xdr:grpSpPr>
        <xdr:sp macro="" textlink="">
          <xdr:nvSpPr>
            <xdr:cNvPr id="3295" name="Graphic 2">
              <a:extLst>
                <a:ext uri="{FF2B5EF4-FFF2-40B4-BE49-F238E27FC236}">
                  <a16:creationId xmlns:a16="http://schemas.microsoft.com/office/drawing/2014/main" id="{31FC7C66-36F8-ECAA-62F6-25FD84F56AA3}"/>
                </a:ext>
              </a:extLst>
            </xdr:cNvPr>
            <xdr:cNvSpPr/>
          </xdr:nvSpPr>
          <xdr:spPr>
            <a:xfrm>
              <a:off x="9752593" y="5712830"/>
              <a:ext cx="954513"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930352"/>
            </a:solidFill>
            <a:ln w="9525" cap="flat">
              <a:noFill/>
              <a:prstDash val="solid"/>
              <a:miter/>
            </a:ln>
          </xdr:spPr>
          <xdr:txBody>
            <a:bodyPr rtlCol="0" anchor="ctr"/>
            <a:lstStyle/>
            <a:p>
              <a:endParaRPr lang="en-US"/>
            </a:p>
          </xdr:txBody>
        </xdr:sp>
        <xdr:sp macro="" textlink="">
          <xdr:nvSpPr>
            <xdr:cNvPr id="3296" name="TextBox 37">
              <a:extLst>
                <a:ext uri="{FF2B5EF4-FFF2-40B4-BE49-F238E27FC236}">
                  <a16:creationId xmlns:a16="http://schemas.microsoft.com/office/drawing/2014/main" id="{2FB782EF-B9C3-2DF4-F5D6-4853A840B368}"/>
                </a:ext>
              </a:extLst>
            </xdr:cNvPr>
            <xdr:cNvSpPr txBox="1"/>
          </xdr:nvSpPr>
          <xdr:spPr>
            <a:xfrm>
              <a:off x="9847111" y="6056685"/>
              <a:ext cx="769102"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Temperature-related hazards</a:t>
              </a:r>
            </a:p>
          </xdr:txBody>
        </xdr:sp>
        <xdr:pic>
          <xdr:nvPicPr>
            <xdr:cNvPr id="3297" name="Graphic 4">
              <a:extLst>
                <a:ext uri="{FF2B5EF4-FFF2-40B4-BE49-F238E27FC236}">
                  <a16:creationId xmlns:a16="http://schemas.microsoft.com/office/drawing/2014/main" id="{8EBD5291-BD65-6DE7-D9C1-B3F46777E07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a:stretch/>
          </xdr:blipFill>
          <xdr:spPr>
            <a:xfrm>
              <a:off x="10168472" y="5829925"/>
              <a:ext cx="129598" cy="270000"/>
            </a:xfrm>
            <a:prstGeom prst="rect">
              <a:avLst/>
            </a:prstGeom>
          </xdr:spPr>
        </xdr:pic>
      </xdr:grpSp>
      <xdr:grpSp>
        <xdr:nvGrpSpPr>
          <xdr:cNvPr id="3298" name="Group 47">
            <a:extLst>
              <a:ext uri="{FF2B5EF4-FFF2-40B4-BE49-F238E27FC236}">
                <a16:creationId xmlns:a16="http://schemas.microsoft.com/office/drawing/2014/main" id="{24A1D7DF-F38F-2A40-89DC-0276178B2A4B}"/>
              </a:ext>
            </a:extLst>
          </xdr:cNvPr>
          <xdr:cNvGrpSpPr/>
        </xdr:nvGrpSpPr>
        <xdr:grpSpPr>
          <a:xfrm>
            <a:off x="12858316" y="5774954"/>
            <a:ext cx="959292" cy="861119"/>
            <a:chOff x="10991543" y="5712830"/>
            <a:chExt cx="954514" cy="861119"/>
          </a:xfrm>
        </xdr:grpSpPr>
        <xdr:sp macro="" textlink="">
          <xdr:nvSpPr>
            <xdr:cNvPr id="3299" name="Graphic 2">
              <a:extLst>
                <a:ext uri="{FF2B5EF4-FFF2-40B4-BE49-F238E27FC236}">
                  <a16:creationId xmlns:a16="http://schemas.microsoft.com/office/drawing/2014/main" id="{273ACFE6-38C6-F8F6-0743-6DFE91EB0044}"/>
                </a:ext>
              </a:extLst>
            </xdr:cNvPr>
            <xdr:cNvSpPr/>
          </xdr:nvSpPr>
          <xdr:spPr>
            <a:xfrm>
              <a:off x="10991543" y="5712830"/>
              <a:ext cx="954514"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accent3"/>
            </a:solidFill>
            <a:ln w="9525" cap="flat">
              <a:noFill/>
              <a:prstDash val="solid"/>
              <a:miter/>
            </a:ln>
          </xdr:spPr>
          <xdr:txBody>
            <a:bodyPr rtlCol="0" anchor="ctr"/>
            <a:lstStyle/>
            <a:p>
              <a:endParaRPr lang="en-US"/>
            </a:p>
          </xdr:txBody>
        </xdr:sp>
        <xdr:sp macro="" textlink="">
          <xdr:nvSpPr>
            <xdr:cNvPr id="3300" name="TextBox 37">
              <a:extLst>
                <a:ext uri="{FF2B5EF4-FFF2-40B4-BE49-F238E27FC236}">
                  <a16:creationId xmlns:a16="http://schemas.microsoft.com/office/drawing/2014/main" id="{707B5D33-B860-9C11-C775-279E1D5EF89D}"/>
                </a:ext>
              </a:extLst>
            </xdr:cNvPr>
            <xdr:cNvSpPr txBox="1"/>
          </xdr:nvSpPr>
          <xdr:spPr>
            <a:xfrm>
              <a:off x="11020127" y="6056685"/>
              <a:ext cx="897341"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Extreme</a:t>
              </a:r>
            </a:p>
            <a:p>
              <a:pPr algn="ctr"/>
              <a:r>
                <a:rPr lang="en-US" sz="800" b="1" i="0" u="none" strike="noStrike" baseline="0">
                  <a:solidFill>
                    <a:schemeClr val="bg1"/>
                  </a:solidFill>
                  <a:latin typeface="+mn-lt"/>
                  <a:ea typeface="+mn-ea"/>
                  <a:cs typeface="+mn-cs"/>
                </a:rPr>
                <a:t>Winds</a:t>
              </a:r>
            </a:p>
          </xdr:txBody>
        </xdr:sp>
        <xdr:pic>
          <xdr:nvPicPr>
            <xdr:cNvPr id="3301" name="Graphic 4">
              <a:extLst>
                <a:ext uri="{FF2B5EF4-FFF2-40B4-BE49-F238E27FC236}">
                  <a16:creationId xmlns:a16="http://schemas.microsoft.com/office/drawing/2014/main" id="{D3BD0EDB-A20B-7710-729E-DB601EDB742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1296602" y="5796378"/>
              <a:ext cx="361273" cy="359075"/>
            </a:xfrm>
            <a:prstGeom prst="rect">
              <a:avLst/>
            </a:prstGeom>
          </xdr:spPr>
        </xdr:pic>
      </xdr:grpSp>
      <xdr:grpSp>
        <xdr:nvGrpSpPr>
          <xdr:cNvPr id="3302" name="Group 24">
            <a:extLst>
              <a:ext uri="{FF2B5EF4-FFF2-40B4-BE49-F238E27FC236}">
                <a16:creationId xmlns:a16="http://schemas.microsoft.com/office/drawing/2014/main" id="{A9727CAE-C45E-8F87-032F-31955FE2A595}"/>
              </a:ext>
            </a:extLst>
          </xdr:cNvPr>
          <xdr:cNvGrpSpPr/>
        </xdr:nvGrpSpPr>
        <xdr:grpSpPr>
          <a:xfrm>
            <a:off x="8253828" y="6690920"/>
            <a:ext cx="396282" cy="392131"/>
            <a:chOff x="1981200" y="4543425"/>
            <a:chExt cx="504825" cy="505551"/>
          </a:xfrm>
        </xdr:grpSpPr>
        <xdr:sp macro="" textlink="">
          <xdr:nvSpPr>
            <xdr:cNvPr id="3303" name="Oval 22">
              <a:extLst>
                <a:ext uri="{FF2B5EF4-FFF2-40B4-BE49-F238E27FC236}">
                  <a16:creationId xmlns:a16="http://schemas.microsoft.com/office/drawing/2014/main" id="{A64F3D48-4F63-754C-0C4D-E80E5999DF64}"/>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4" name="TextBox 23">
              <a:extLst>
                <a:ext uri="{FF2B5EF4-FFF2-40B4-BE49-F238E27FC236}">
                  <a16:creationId xmlns:a16="http://schemas.microsoft.com/office/drawing/2014/main" id="{F411A21F-439B-62F8-9BFF-72473374C8E8}"/>
                </a:ext>
              </a:extLst>
            </xdr:cNvPr>
            <xdr:cNvSpPr txBox="1"/>
          </xdr:nvSpPr>
          <xdr:spPr>
            <a:xfrm>
              <a:off x="2000251" y="4605337"/>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01</a:t>
              </a:r>
              <a:endParaRPr lang="en-US" sz="700" b="1">
                <a:solidFill>
                  <a:srgbClr val="00B0F0"/>
                </a:solidFill>
              </a:endParaRPr>
            </a:p>
          </xdr:txBody>
        </xdr:sp>
      </xdr:grpSp>
      <xdr:grpSp>
        <xdr:nvGrpSpPr>
          <xdr:cNvPr id="3305" name="Group 24">
            <a:extLst>
              <a:ext uri="{FF2B5EF4-FFF2-40B4-BE49-F238E27FC236}">
                <a16:creationId xmlns:a16="http://schemas.microsoft.com/office/drawing/2014/main" id="{31FDAA96-D636-DEC9-4C0A-6A144C23D3DB}"/>
              </a:ext>
            </a:extLst>
          </xdr:cNvPr>
          <xdr:cNvGrpSpPr/>
        </xdr:nvGrpSpPr>
        <xdr:grpSpPr>
          <a:xfrm>
            <a:off x="7790001" y="6042577"/>
            <a:ext cx="396282" cy="392131"/>
            <a:chOff x="1981200" y="4543425"/>
            <a:chExt cx="504825" cy="505551"/>
          </a:xfrm>
        </xdr:grpSpPr>
        <xdr:sp macro="" textlink="">
          <xdr:nvSpPr>
            <xdr:cNvPr id="3306" name="Oval 22">
              <a:extLst>
                <a:ext uri="{FF2B5EF4-FFF2-40B4-BE49-F238E27FC236}">
                  <a16:creationId xmlns:a16="http://schemas.microsoft.com/office/drawing/2014/main" id="{BC36DA4E-B003-1123-0AFF-C3721F0BF25B}"/>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7" name="TextBox 23">
              <a:extLst>
                <a:ext uri="{FF2B5EF4-FFF2-40B4-BE49-F238E27FC236}">
                  <a16:creationId xmlns:a16="http://schemas.microsoft.com/office/drawing/2014/main" id="{BF97C596-BFDB-9E45-F2A7-3AF28CAE4DD8}"/>
                </a:ext>
              </a:extLst>
            </xdr:cNvPr>
            <xdr:cNvSpPr txBox="1"/>
          </xdr:nvSpPr>
          <xdr:spPr>
            <a:xfrm>
              <a:off x="2000251" y="4605337"/>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02</a:t>
              </a:r>
              <a:endParaRPr lang="en-US" sz="700" b="1">
                <a:solidFill>
                  <a:srgbClr val="00B0F0"/>
                </a:solidFill>
              </a:endParaRPr>
            </a:p>
          </xdr:txBody>
        </xdr:sp>
      </xdr:grpSp>
      <xdr:grpSp>
        <xdr:nvGrpSpPr>
          <xdr:cNvPr id="3308" name="Group 24">
            <a:extLst>
              <a:ext uri="{FF2B5EF4-FFF2-40B4-BE49-F238E27FC236}">
                <a16:creationId xmlns:a16="http://schemas.microsoft.com/office/drawing/2014/main" id="{6881D4E4-5748-F153-AB3F-D52D9204BA4F}"/>
              </a:ext>
            </a:extLst>
          </xdr:cNvPr>
          <xdr:cNvGrpSpPr/>
        </xdr:nvGrpSpPr>
        <xdr:grpSpPr>
          <a:xfrm>
            <a:off x="8957848" y="5349140"/>
            <a:ext cx="396282" cy="392129"/>
            <a:chOff x="1981200" y="4543425"/>
            <a:chExt cx="504825" cy="505548"/>
          </a:xfrm>
        </xdr:grpSpPr>
        <xdr:sp macro="" textlink="">
          <xdr:nvSpPr>
            <xdr:cNvPr id="3309" name="Oval 22">
              <a:extLst>
                <a:ext uri="{FF2B5EF4-FFF2-40B4-BE49-F238E27FC236}">
                  <a16:creationId xmlns:a16="http://schemas.microsoft.com/office/drawing/2014/main" id="{5499A189-57E5-0BB8-19E0-F56B8DB97A14}"/>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0" name="TextBox 23">
              <a:extLst>
                <a:ext uri="{FF2B5EF4-FFF2-40B4-BE49-F238E27FC236}">
                  <a16:creationId xmlns:a16="http://schemas.microsoft.com/office/drawing/2014/main" id="{B2698CB5-C6B0-BAF7-A68A-0E4692188EC6}"/>
                </a:ext>
              </a:extLst>
            </xdr:cNvPr>
            <xdr:cNvSpPr txBox="1"/>
          </xdr:nvSpPr>
          <xdr:spPr>
            <a:xfrm>
              <a:off x="2000251" y="4605334"/>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04</a:t>
              </a:r>
              <a:endParaRPr lang="en-US" sz="700" b="1">
                <a:solidFill>
                  <a:srgbClr val="00B0F0"/>
                </a:solidFill>
              </a:endParaRPr>
            </a:p>
          </xdr:txBody>
        </xdr:sp>
      </xdr:grpSp>
      <xdr:grpSp>
        <xdr:nvGrpSpPr>
          <xdr:cNvPr id="3311" name="Group 24">
            <a:extLst>
              <a:ext uri="{FF2B5EF4-FFF2-40B4-BE49-F238E27FC236}">
                <a16:creationId xmlns:a16="http://schemas.microsoft.com/office/drawing/2014/main" id="{BC677C25-0C4F-23AA-39BC-E66C6300096C}"/>
              </a:ext>
            </a:extLst>
          </xdr:cNvPr>
          <xdr:cNvGrpSpPr/>
        </xdr:nvGrpSpPr>
        <xdr:grpSpPr>
          <a:xfrm>
            <a:off x="8146154" y="5349138"/>
            <a:ext cx="396282" cy="392132"/>
            <a:chOff x="1981200" y="4543425"/>
            <a:chExt cx="504825" cy="505552"/>
          </a:xfrm>
        </xdr:grpSpPr>
        <xdr:sp macro="" textlink="">
          <xdr:nvSpPr>
            <xdr:cNvPr id="3312" name="Oval 22">
              <a:extLst>
                <a:ext uri="{FF2B5EF4-FFF2-40B4-BE49-F238E27FC236}">
                  <a16:creationId xmlns:a16="http://schemas.microsoft.com/office/drawing/2014/main" id="{352705CA-A68C-C75D-4780-D10AB72796C8}"/>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3" name="TextBox 23">
              <a:extLst>
                <a:ext uri="{FF2B5EF4-FFF2-40B4-BE49-F238E27FC236}">
                  <a16:creationId xmlns:a16="http://schemas.microsoft.com/office/drawing/2014/main" id="{D45D0648-4234-D31F-6367-B2D020A229C4}"/>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03</a:t>
              </a:r>
              <a:endParaRPr lang="en-US" sz="700" b="1">
                <a:solidFill>
                  <a:srgbClr val="00B0F0"/>
                </a:solidFill>
              </a:endParaRPr>
            </a:p>
          </xdr:txBody>
        </xdr:sp>
      </xdr:grpSp>
      <xdr:grpSp>
        <xdr:nvGrpSpPr>
          <xdr:cNvPr id="3314" name="Group 24">
            <a:extLst>
              <a:ext uri="{FF2B5EF4-FFF2-40B4-BE49-F238E27FC236}">
                <a16:creationId xmlns:a16="http://schemas.microsoft.com/office/drawing/2014/main" id="{9F17F7CE-5BF5-930F-F38D-6453838F7594}"/>
              </a:ext>
            </a:extLst>
          </xdr:cNvPr>
          <xdr:cNvGrpSpPr/>
        </xdr:nvGrpSpPr>
        <xdr:grpSpPr>
          <a:xfrm>
            <a:off x="10039328" y="5960031"/>
            <a:ext cx="432959" cy="391568"/>
            <a:chOff x="1934477" y="4543425"/>
            <a:chExt cx="551548" cy="504825"/>
          </a:xfrm>
        </xdr:grpSpPr>
        <xdr:sp macro="" textlink="">
          <xdr:nvSpPr>
            <xdr:cNvPr id="3315" name="Oval 22">
              <a:extLst>
                <a:ext uri="{FF2B5EF4-FFF2-40B4-BE49-F238E27FC236}">
                  <a16:creationId xmlns:a16="http://schemas.microsoft.com/office/drawing/2014/main" id="{02661B95-93F6-7D91-52FB-4015CA504518}"/>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6" name="TextBox 23">
              <a:extLst>
                <a:ext uri="{FF2B5EF4-FFF2-40B4-BE49-F238E27FC236}">
                  <a16:creationId xmlns:a16="http://schemas.microsoft.com/office/drawing/2014/main" id="{E3126440-2034-7AD3-B172-A0CB94E3CADA}"/>
                </a:ext>
              </a:extLst>
            </xdr:cNvPr>
            <xdr:cNvSpPr txBox="1"/>
          </xdr:nvSpPr>
          <xdr:spPr>
            <a:xfrm>
              <a:off x="1934477" y="4605337"/>
              <a:ext cx="540174" cy="432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01</a:t>
              </a:r>
              <a:endParaRPr lang="en-US" sz="700" b="1">
                <a:solidFill>
                  <a:srgbClr val="930352"/>
                </a:solidFill>
              </a:endParaRPr>
            </a:p>
          </xdr:txBody>
        </xdr:sp>
      </xdr:grpSp>
      <xdr:grpSp>
        <xdr:nvGrpSpPr>
          <xdr:cNvPr id="3317" name="Group 24">
            <a:extLst>
              <a:ext uri="{FF2B5EF4-FFF2-40B4-BE49-F238E27FC236}">
                <a16:creationId xmlns:a16="http://schemas.microsoft.com/office/drawing/2014/main" id="{4D52B456-E858-158D-9DB8-4559D12DF7B1}"/>
              </a:ext>
            </a:extLst>
          </xdr:cNvPr>
          <xdr:cNvGrpSpPr/>
        </xdr:nvGrpSpPr>
        <xdr:grpSpPr>
          <a:xfrm>
            <a:off x="10479271" y="5349423"/>
            <a:ext cx="440161" cy="470324"/>
            <a:chOff x="1967365" y="4543425"/>
            <a:chExt cx="560723" cy="606360"/>
          </a:xfrm>
        </xdr:grpSpPr>
        <xdr:sp macro="" textlink="">
          <xdr:nvSpPr>
            <xdr:cNvPr id="3318" name="Oval 22">
              <a:extLst>
                <a:ext uri="{FF2B5EF4-FFF2-40B4-BE49-F238E27FC236}">
                  <a16:creationId xmlns:a16="http://schemas.microsoft.com/office/drawing/2014/main" id="{B1FEECC9-79F4-04F1-6B4C-B24239C55978}"/>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9" name="TextBox 23">
              <a:extLst>
                <a:ext uri="{FF2B5EF4-FFF2-40B4-BE49-F238E27FC236}">
                  <a16:creationId xmlns:a16="http://schemas.microsoft.com/office/drawing/2014/main" id="{D7E25CEC-2072-C2B5-92D9-BB7B89454085}"/>
                </a:ext>
              </a:extLst>
            </xdr:cNvPr>
            <xdr:cNvSpPr txBox="1"/>
          </xdr:nvSpPr>
          <xdr:spPr>
            <a:xfrm>
              <a:off x="1967365" y="4593064"/>
              <a:ext cx="560723" cy="55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02</a:t>
              </a:r>
              <a:endParaRPr lang="en-US" sz="700" b="1">
                <a:solidFill>
                  <a:srgbClr val="930352"/>
                </a:solidFill>
              </a:endParaRPr>
            </a:p>
          </xdr:txBody>
        </xdr:sp>
      </xdr:grpSp>
      <xdr:grpSp>
        <xdr:nvGrpSpPr>
          <xdr:cNvPr id="3320" name="Group 24">
            <a:extLst>
              <a:ext uri="{FF2B5EF4-FFF2-40B4-BE49-F238E27FC236}">
                <a16:creationId xmlns:a16="http://schemas.microsoft.com/office/drawing/2014/main" id="{C31445F6-8345-BD9F-005B-4A36EE7C0789}"/>
              </a:ext>
            </a:extLst>
          </xdr:cNvPr>
          <xdr:cNvGrpSpPr/>
        </xdr:nvGrpSpPr>
        <xdr:grpSpPr>
          <a:xfrm>
            <a:off x="11257835" y="5349420"/>
            <a:ext cx="418850" cy="391568"/>
            <a:chOff x="1967364" y="4543425"/>
            <a:chExt cx="533575" cy="504825"/>
          </a:xfrm>
        </xdr:grpSpPr>
        <xdr:sp macro="" textlink="">
          <xdr:nvSpPr>
            <xdr:cNvPr id="3321" name="Oval 22">
              <a:extLst>
                <a:ext uri="{FF2B5EF4-FFF2-40B4-BE49-F238E27FC236}">
                  <a16:creationId xmlns:a16="http://schemas.microsoft.com/office/drawing/2014/main" id="{0AAD27EA-5E76-59F7-951F-68C169A4A4BA}"/>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2" name="TextBox 23">
              <a:extLst>
                <a:ext uri="{FF2B5EF4-FFF2-40B4-BE49-F238E27FC236}">
                  <a16:creationId xmlns:a16="http://schemas.microsoft.com/office/drawing/2014/main" id="{291E6346-F61C-FF6B-AA3E-9C2B56EFD57A}"/>
                </a:ext>
              </a:extLst>
            </xdr:cNvPr>
            <xdr:cNvSpPr txBox="1"/>
          </xdr:nvSpPr>
          <xdr:spPr>
            <a:xfrm>
              <a:off x="1967364" y="4593063"/>
              <a:ext cx="533575" cy="43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03</a:t>
              </a:r>
              <a:endParaRPr lang="en-US" sz="700" b="1">
                <a:solidFill>
                  <a:srgbClr val="930352"/>
                </a:solidFill>
              </a:endParaRPr>
            </a:p>
          </xdr:txBody>
        </xdr:sp>
      </xdr:grpSp>
      <xdr:grpSp>
        <xdr:nvGrpSpPr>
          <xdr:cNvPr id="3323" name="Group 24">
            <a:extLst>
              <a:ext uri="{FF2B5EF4-FFF2-40B4-BE49-F238E27FC236}">
                <a16:creationId xmlns:a16="http://schemas.microsoft.com/office/drawing/2014/main" id="{1A64539B-E1D1-3A94-6902-73BA78DAB2E1}"/>
              </a:ext>
            </a:extLst>
          </xdr:cNvPr>
          <xdr:cNvGrpSpPr/>
        </xdr:nvGrpSpPr>
        <xdr:grpSpPr>
          <a:xfrm>
            <a:off x="11641414" y="5951749"/>
            <a:ext cx="405296" cy="391613"/>
            <a:chOff x="1981200" y="4543425"/>
            <a:chExt cx="516308" cy="504883"/>
          </a:xfrm>
        </xdr:grpSpPr>
        <xdr:sp macro="" textlink="">
          <xdr:nvSpPr>
            <xdr:cNvPr id="3324" name="Oval 22">
              <a:extLst>
                <a:ext uri="{FF2B5EF4-FFF2-40B4-BE49-F238E27FC236}">
                  <a16:creationId xmlns:a16="http://schemas.microsoft.com/office/drawing/2014/main" id="{E3953030-FDB8-77CB-E060-7E45D65F83F9}"/>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5" name="TextBox 23">
              <a:extLst>
                <a:ext uri="{FF2B5EF4-FFF2-40B4-BE49-F238E27FC236}">
                  <a16:creationId xmlns:a16="http://schemas.microsoft.com/office/drawing/2014/main" id="{30050D50-CF71-AEC2-EEF8-C7CB2CFC8434}"/>
                </a:ext>
              </a:extLst>
            </xdr:cNvPr>
            <xdr:cNvSpPr txBox="1"/>
          </xdr:nvSpPr>
          <xdr:spPr>
            <a:xfrm>
              <a:off x="2000251" y="4605337"/>
              <a:ext cx="497257" cy="44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04</a:t>
              </a:r>
              <a:endParaRPr lang="en-US" sz="700" b="1">
                <a:solidFill>
                  <a:srgbClr val="930352"/>
                </a:solidFill>
              </a:endParaRPr>
            </a:p>
          </xdr:txBody>
        </xdr:sp>
      </xdr:grpSp>
      <xdr:grpSp>
        <xdr:nvGrpSpPr>
          <xdr:cNvPr id="3326" name="Group 24">
            <a:extLst>
              <a:ext uri="{FF2B5EF4-FFF2-40B4-BE49-F238E27FC236}">
                <a16:creationId xmlns:a16="http://schemas.microsoft.com/office/drawing/2014/main" id="{AB9A4242-7E58-58FD-690F-3FB7DDF0279C}"/>
              </a:ext>
            </a:extLst>
          </xdr:cNvPr>
          <xdr:cNvGrpSpPr/>
        </xdr:nvGrpSpPr>
        <xdr:grpSpPr>
          <a:xfrm>
            <a:off x="12395130" y="5945483"/>
            <a:ext cx="396282" cy="392132"/>
            <a:chOff x="1981200" y="4543425"/>
            <a:chExt cx="504825" cy="505552"/>
          </a:xfrm>
        </xdr:grpSpPr>
        <xdr:sp macro="" textlink="">
          <xdr:nvSpPr>
            <xdr:cNvPr id="3327" name="Oval 22">
              <a:extLst>
                <a:ext uri="{FF2B5EF4-FFF2-40B4-BE49-F238E27FC236}">
                  <a16:creationId xmlns:a16="http://schemas.microsoft.com/office/drawing/2014/main" id="{B85129CF-34F5-7AFA-F0E8-54E1A52E0C7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8" name="TextBox 23">
              <a:extLst>
                <a:ext uri="{FF2B5EF4-FFF2-40B4-BE49-F238E27FC236}">
                  <a16:creationId xmlns:a16="http://schemas.microsoft.com/office/drawing/2014/main" id="{42147B15-165C-1726-FA3C-C88DB40A555E}"/>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01</a:t>
              </a:r>
              <a:endParaRPr lang="en-US" sz="700" b="1">
                <a:solidFill>
                  <a:schemeClr val="accent3"/>
                </a:solidFill>
              </a:endParaRPr>
            </a:p>
          </xdr:txBody>
        </xdr:sp>
      </xdr:grpSp>
      <xdr:grpSp>
        <xdr:nvGrpSpPr>
          <xdr:cNvPr id="3329" name="Group 24">
            <a:extLst>
              <a:ext uri="{FF2B5EF4-FFF2-40B4-BE49-F238E27FC236}">
                <a16:creationId xmlns:a16="http://schemas.microsoft.com/office/drawing/2014/main" id="{348C27FD-9B91-42D9-552B-F3EC689A2269}"/>
              </a:ext>
            </a:extLst>
          </xdr:cNvPr>
          <xdr:cNvGrpSpPr/>
        </xdr:nvGrpSpPr>
        <xdr:grpSpPr>
          <a:xfrm>
            <a:off x="12759566" y="5349138"/>
            <a:ext cx="396282" cy="392132"/>
            <a:chOff x="1981200" y="4543425"/>
            <a:chExt cx="504825" cy="505552"/>
          </a:xfrm>
        </xdr:grpSpPr>
        <xdr:sp macro="" textlink="">
          <xdr:nvSpPr>
            <xdr:cNvPr id="3330" name="Oval 22">
              <a:extLst>
                <a:ext uri="{FF2B5EF4-FFF2-40B4-BE49-F238E27FC236}">
                  <a16:creationId xmlns:a16="http://schemas.microsoft.com/office/drawing/2014/main" id="{9C5CB31F-B2C7-3352-4238-0356CB5F26F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1" name="TextBox 23">
              <a:extLst>
                <a:ext uri="{FF2B5EF4-FFF2-40B4-BE49-F238E27FC236}">
                  <a16:creationId xmlns:a16="http://schemas.microsoft.com/office/drawing/2014/main" id="{4A4CF791-434A-96F3-BA7F-00E861AD389B}"/>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02</a:t>
              </a:r>
              <a:endParaRPr lang="en-US" sz="700" b="1">
                <a:solidFill>
                  <a:schemeClr val="accent3"/>
                </a:solidFill>
              </a:endParaRPr>
            </a:p>
          </xdr:txBody>
        </xdr:sp>
      </xdr:grpSp>
      <xdr:grpSp>
        <xdr:nvGrpSpPr>
          <xdr:cNvPr id="3332" name="Group 24">
            <a:extLst>
              <a:ext uri="{FF2B5EF4-FFF2-40B4-BE49-F238E27FC236}">
                <a16:creationId xmlns:a16="http://schemas.microsoft.com/office/drawing/2014/main" id="{585044D8-1F26-CD7A-1415-06B591DAAEF4}"/>
              </a:ext>
            </a:extLst>
          </xdr:cNvPr>
          <xdr:cNvGrpSpPr/>
        </xdr:nvGrpSpPr>
        <xdr:grpSpPr>
          <a:xfrm>
            <a:off x="13571261" y="5349138"/>
            <a:ext cx="396282" cy="392132"/>
            <a:chOff x="1981200" y="4543425"/>
            <a:chExt cx="504825" cy="505552"/>
          </a:xfrm>
        </xdr:grpSpPr>
        <xdr:sp macro="" textlink="">
          <xdr:nvSpPr>
            <xdr:cNvPr id="3333" name="Oval 22">
              <a:extLst>
                <a:ext uri="{FF2B5EF4-FFF2-40B4-BE49-F238E27FC236}">
                  <a16:creationId xmlns:a16="http://schemas.microsoft.com/office/drawing/2014/main" id="{AF015246-D155-D2F0-A7F3-D4E0A3ACC7CF}"/>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4" name="TextBox 23">
              <a:extLst>
                <a:ext uri="{FF2B5EF4-FFF2-40B4-BE49-F238E27FC236}">
                  <a16:creationId xmlns:a16="http://schemas.microsoft.com/office/drawing/2014/main" id="{433B1A36-0006-88E6-4F3C-96D551824229}"/>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03</a:t>
              </a:r>
              <a:endParaRPr lang="en-US" sz="700" b="1">
                <a:solidFill>
                  <a:schemeClr val="accent3"/>
                </a:solidFill>
              </a:endParaRPr>
            </a:p>
          </xdr:txBody>
        </xdr:sp>
      </xdr:grpSp>
      <xdr:grpSp>
        <xdr:nvGrpSpPr>
          <xdr:cNvPr id="3335" name="Group 24">
            <a:extLst>
              <a:ext uri="{FF2B5EF4-FFF2-40B4-BE49-F238E27FC236}">
                <a16:creationId xmlns:a16="http://schemas.microsoft.com/office/drawing/2014/main" id="{DDF5E2CB-9FC9-BB49-37BD-FE2DE974FE8D}"/>
              </a:ext>
            </a:extLst>
          </xdr:cNvPr>
          <xdr:cNvGrpSpPr/>
        </xdr:nvGrpSpPr>
        <xdr:grpSpPr>
          <a:xfrm>
            <a:off x="13886000" y="5970332"/>
            <a:ext cx="396282" cy="392132"/>
            <a:chOff x="1981200" y="4543425"/>
            <a:chExt cx="504825" cy="505552"/>
          </a:xfrm>
        </xdr:grpSpPr>
        <xdr:sp macro="" textlink="">
          <xdr:nvSpPr>
            <xdr:cNvPr id="3336" name="Oval 22">
              <a:extLst>
                <a:ext uri="{FF2B5EF4-FFF2-40B4-BE49-F238E27FC236}">
                  <a16:creationId xmlns:a16="http://schemas.microsoft.com/office/drawing/2014/main" id="{1A8DF497-ED28-C139-1969-1C89406515B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7" name="TextBox 23">
              <a:extLst>
                <a:ext uri="{FF2B5EF4-FFF2-40B4-BE49-F238E27FC236}">
                  <a16:creationId xmlns:a16="http://schemas.microsoft.com/office/drawing/2014/main" id="{EE82BC49-F479-9145-47A1-0C6513C164C9}"/>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04</a:t>
              </a:r>
              <a:endParaRPr lang="en-US" sz="700" b="1">
                <a:solidFill>
                  <a:schemeClr val="accent3"/>
                </a:solidFill>
              </a:endParaRPr>
            </a:p>
          </xdr:txBody>
        </xdr:sp>
      </xdr:grpSp>
      <xdr:grpSp>
        <xdr:nvGrpSpPr>
          <xdr:cNvPr id="3338" name="Group 149">
            <a:extLst>
              <a:ext uri="{FF2B5EF4-FFF2-40B4-BE49-F238E27FC236}">
                <a16:creationId xmlns:a16="http://schemas.microsoft.com/office/drawing/2014/main" id="{9959733B-B6B3-6EF5-B6E1-2C1A64AC8E92}"/>
              </a:ext>
            </a:extLst>
          </xdr:cNvPr>
          <xdr:cNvGrpSpPr/>
        </xdr:nvGrpSpPr>
        <xdr:grpSpPr>
          <a:xfrm>
            <a:off x="13379925" y="6715953"/>
            <a:ext cx="525755" cy="471951"/>
            <a:chOff x="11353546" y="5730286"/>
            <a:chExt cx="805866" cy="727016"/>
          </a:xfrm>
        </xdr:grpSpPr>
        <xdr:sp macro="" textlink="">
          <xdr:nvSpPr>
            <xdr:cNvPr id="3339" name="Graphic 2">
              <a:extLst>
                <a:ext uri="{FF2B5EF4-FFF2-40B4-BE49-F238E27FC236}">
                  <a16:creationId xmlns:a16="http://schemas.microsoft.com/office/drawing/2014/main" id="{EA396475-8C71-86E8-2801-F07233FA8794}"/>
                </a:ext>
              </a:extLst>
            </xdr:cNvPr>
            <xdr:cNvSpPr/>
          </xdr:nvSpPr>
          <xdr:spPr>
            <a:xfrm>
              <a:off x="11353546" y="5730286"/>
              <a:ext cx="805866" cy="727016"/>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bg1"/>
            </a:solidFill>
            <a:ln w="38100" cap="flat">
              <a:solidFill>
                <a:srgbClr val="930352"/>
              </a:solidFill>
              <a:prstDash val="solid"/>
              <a:miter/>
            </a:ln>
          </xdr:spPr>
          <xdr:txBody>
            <a:bodyPr rtlCol="0" anchor="ctr"/>
            <a:lstStyle/>
            <a:p>
              <a:endParaRPr lang="en-US"/>
            </a:p>
          </xdr:txBody>
        </xdr:sp>
        <xdr:sp macro="" textlink="">
          <xdr:nvSpPr>
            <xdr:cNvPr id="3340" name="TextBox 37">
              <a:extLst>
                <a:ext uri="{FF2B5EF4-FFF2-40B4-BE49-F238E27FC236}">
                  <a16:creationId xmlns:a16="http://schemas.microsoft.com/office/drawing/2014/main" id="{23852959-4A14-D801-2789-E83711C5655C}"/>
                </a:ext>
              </a:extLst>
            </xdr:cNvPr>
            <xdr:cNvSpPr txBox="1"/>
          </xdr:nvSpPr>
          <xdr:spPr>
            <a:xfrm>
              <a:off x="11447476" y="6025447"/>
              <a:ext cx="635277"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rgbClr val="930352"/>
                  </a:solidFill>
                  <a:latin typeface="+mn-lt"/>
                  <a:ea typeface="+mn-ea"/>
                  <a:cs typeface="+mn-cs"/>
                </a:rPr>
                <a:t>Output</a:t>
              </a:r>
            </a:p>
          </xdr:txBody>
        </xdr:sp>
        <xdr:pic>
          <xdr:nvPicPr>
            <xdr:cNvPr id="3341" name="Graphic 4" descr="Bullseye with solid fill">
              <a:extLst>
                <a:ext uri="{FF2B5EF4-FFF2-40B4-BE49-F238E27FC236}">
                  <a16:creationId xmlns:a16="http://schemas.microsoft.com/office/drawing/2014/main" id="{7CBE0245-3A17-A6D2-9ABD-FD213BCD61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11613928" y="5848478"/>
              <a:ext cx="278735" cy="280130"/>
            </a:xfrm>
            <a:prstGeom prst="rect">
              <a:avLst/>
            </a:prstGeom>
          </xdr:spPr>
        </xdr:pic>
      </xdr:grpSp>
      <xdr:sp macro="" textlink="">
        <xdr:nvSpPr>
          <xdr:cNvPr id="3342" name="TextBox 34">
            <a:extLst>
              <a:ext uri="{FF2B5EF4-FFF2-40B4-BE49-F238E27FC236}">
                <a16:creationId xmlns:a16="http://schemas.microsoft.com/office/drawing/2014/main" id="{56AE4733-B205-37AB-96CE-0737EF728B9D}"/>
              </a:ext>
            </a:extLst>
          </xdr:cNvPr>
          <xdr:cNvSpPr txBox="1"/>
        </xdr:nvSpPr>
        <xdr:spPr>
          <a:xfrm>
            <a:off x="8143601" y="7123491"/>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sp macro="" textlink="">
        <xdr:nvSpPr>
          <xdr:cNvPr id="3343" name="TextBox 34">
            <a:extLst>
              <a:ext uri="{FF2B5EF4-FFF2-40B4-BE49-F238E27FC236}">
                <a16:creationId xmlns:a16="http://schemas.microsoft.com/office/drawing/2014/main" id="{85356C1B-98A3-3C2C-192A-DFF4413F07C6}"/>
              </a:ext>
            </a:extLst>
          </xdr:cNvPr>
          <xdr:cNvSpPr txBox="1"/>
        </xdr:nvSpPr>
        <xdr:spPr>
          <a:xfrm>
            <a:off x="7065065" y="6079883"/>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44" name="TextBox 34">
            <a:extLst>
              <a:ext uri="{FF2B5EF4-FFF2-40B4-BE49-F238E27FC236}">
                <a16:creationId xmlns:a16="http://schemas.microsoft.com/office/drawing/2014/main" id="{63C86C69-515D-CDAD-9EEC-E85344A37C85}"/>
              </a:ext>
            </a:extLst>
          </xdr:cNvPr>
          <xdr:cNvSpPr txBox="1"/>
        </xdr:nvSpPr>
        <xdr:spPr>
          <a:xfrm>
            <a:off x="7777370"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45" name="TextBox 34">
            <a:extLst>
              <a:ext uri="{FF2B5EF4-FFF2-40B4-BE49-F238E27FC236}">
                <a16:creationId xmlns:a16="http://schemas.microsoft.com/office/drawing/2014/main" id="{3AA5F419-0237-05D1-7C09-01AF201EC646}"/>
              </a:ext>
            </a:extLst>
          </xdr:cNvPr>
          <xdr:cNvSpPr txBox="1"/>
        </xdr:nvSpPr>
        <xdr:spPr>
          <a:xfrm>
            <a:off x="8582578" y="4953448"/>
            <a:ext cx="1132922" cy="330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water/soil hazards)</a:t>
            </a:r>
          </a:p>
        </xdr:txBody>
      </xdr:sp>
      <xdr:sp macro="" textlink="">
        <xdr:nvSpPr>
          <xdr:cNvPr id="3346" name="TextBox 34">
            <a:extLst>
              <a:ext uri="{FF2B5EF4-FFF2-40B4-BE49-F238E27FC236}">
                <a16:creationId xmlns:a16="http://schemas.microsoft.com/office/drawing/2014/main" id="{7B2479D4-373E-89ED-A222-FB54C4C155D7}"/>
              </a:ext>
            </a:extLst>
          </xdr:cNvPr>
          <xdr:cNvSpPr txBox="1"/>
        </xdr:nvSpPr>
        <xdr:spPr>
          <a:xfrm>
            <a:off x="9609623" y="5649186"/>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sp macro="" textlink="">
        <xdr:nvSpPr>
          <xdr:cNvPr id="3347" name="TextBox 34">
            <a:extLst>
              <a:ext uri="{FF2B5EF4-FFF2-40B4-BE49-F238E27FC236}">
                <a16:creationId xmlns:a16="http://schemas.microsoft.com/office/drawing/2014/main" id="{3E280377-2A26-D424-99BC-5628A92FB5DC}"/>
              </a:ext>
            </a:extLst>
          </xdr:cNvPr>
          <xdr:cNvSpPr txBox="1"/>
        </xdr:nvSpPr>
        <xdr:spPr>
          <a:xfrm>
            <a:off x="10311848" y="4978296"/>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48" name="TextBox 34">
            <a:extLst>
              <a:ext uri="{FF2B5EF4-FFF2-40B4-BE49-F238E27FC236}">
                <a16:creationId xmlns:a16="http://schemas.microsoft.com/office/drawing/2014/main" id="{5D9FDF55-FD7F-F8FB-5414-387772D086F3}"/>
              </a:ext>
            </a:extLst>
          </xdr:cNvPr>
          <xdr:cNvSpPr txBox="1"/>
        </xdr:nvSpPr>
        <xdr:spPr>
          <a:xfrm>
            <a:off x="11106979"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49" name="TextBox 34">
            <a:extLst>
              <a:ext uri="{FF2B5EF4-FFF2-40B4-BE49-F238E27FC236}">
                <a16:creationId xmlns:a16="http://schemas.microsoft.com/office/drawing/2014/main" id="{9537BA49-81AF-AD33-706E-F05422774158}"/>
              </a:ext>
            </a:extLst>
          </xdr:cNvPr>
          <xdr:cNvSpPr txBox="1"/>
        </xdr:nvSpPr>
        <xdr:spPr>
          <a:xfrm>
            <a:off x="11305761" y="6436034"/>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temperature-related hazards)</a:t>
            </a:r>
          </a:p>
        </xdr:txBody>
      </xdr:sp>
      <xdr:sp macro="" textlink="">
        <xdr:nvSpPr>
          <xdr:cNvPr id="3350" name="TextBox 34">
            <a:extLst>
              <a:ext uri="{FF2B5EF4-FFF2-40B4-BE49-F238E27FC236}">
                <a16:creationId xmlns:a16="http://schemas.microsoft.com/office/drawing/2014/main" id="{DE0165D9-A923-F967-D108-8BDE0A76FF06}"/>
              </a:ext>
            </a:extLst>
          </xdr:cNvPr>
          <xdr:cNvSpPr txBox="1"/>
        </xdr:nvSpPr>
        <xdr:spPr>
          <a:xfrm>
            <a:off x="12564718" y="4978296"/>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51" name="TextBox 34">
            <a:extLst>
              <a:ext uri="{FF2B5EF4-FFF2-40B4-BE49-F238E27FC236}">
                <a16:creationId xmlns:a16="http://schemas.microsoft.com/office/drawing/2014/main" id="{5E2A1F2D-E38C-F98E-A8E2-B06BDD4022AD}"/>
              </a:ext>
            </a:extLst>
          </xdr:cNvPr>
          <xdr:cNvSpPr txBox="1"/>
        </xdr:nvSpPr>
        <xdr:spPr>
          <a:xfrm>
            <a:off x="13359849"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52" name="TextBox 34">
            <a:extLst>
              <a:ext uri="{FF2B5EF4-FFF2-40B4-BE49-F238E27FC236}">
                <a16:creationId xmlns:a16="http://schemas.microsoft.com/office/drawing/2014/main" id="{82DFE269-B1E1-514C-CE45-5802B6B4DA91}"/>
              </a:ext>
            </a:extLst>
          </xdr:cNvPr>
          <xdr:cNvSpPr txBox="1"/>
        </xdr:nvSpPr>
        <xdr:spPr>
          <a:xfrm>
            <a:off x="14295783" y="5988773"/>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extreme winds)</a:t>
            </a:r>
          </a:p>
        </xdr:txBody>
      </xdr:sp>
    </xdr:grpSp>
    <xdr:clientData/>
  </xdr:twoCellAnchor>
  <xdr:twoCellAnchor>
    <xdr:from>
      <xdr:col>3</xdr:col>
      <xdr:colOff>92940</xdr:colOff>
      <xdr:row>52</xdr:row>
      <xdr:rowOff>86591</xdr:rowOff>
    </xdr:from>
    <xdr:to>
      <xdr:col>13</xdr:col>
      <xdr:colOff>138546</xdr:colOff>
      <xdr:row>56</xdr:row>
      <xdr:rowOff>23092</xdr:rowOff>
    </xdr:to>
    <xdr:sp macro="" textlink="">
      <xdr:nvSpPr>
        <xdr:cNvPr id="3" name="TextBox 2">
          <a:extLst>
            <a:ext uri="{FF2B5EF4-FFF2-40B4-BE49-F238E27FC236}">
              <a16:creationId xmlns:a16="http://schemas.microsoft.com/office/drawing/2014/main" id="{277CE233-F49C-4084-A6DC-7994CECA24EC}"/>
            </a:ext>
          </a:extLst>
        </xdr:cNvPr>
        <xdr:cNvSpPr txBox="1"/>
      </xdr:nvSpPr>
      <xdr:spPr>
        <a:xfrm>
          <a:off x="2032576" y="9692409"/>
          <a:ext cx="6511061"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i="0" u="none" strike="noStrike" baseline="30000">
              <a:solidFill>
                <a:schemeClr val="bg1"/>
              </a:solidFill>
              <a:latin typeface="+mn-lt"/>
              <a:ea typeface="Roboto" panose="02000000000000000000" pitchFamily="2" charset="0"/>
              <a:cs typeface="Roboto" panose="02000000000000000000" pitchFamily="2" charset="0"/>
            </a:rPr>
            <a:t>1</a:t>
          </a:r>
          <a:r>
            <a:rPr lang="en-US" sz="1000" b="1" i="0" u="none" strike="noStrike" baseline="0">
              <a:solidFill>
                <a:schemeClr val="bg1"/>
              </a:solidFill>
              <a:latin typeface="+mn-lt"/>
              <a:ea typeface="Roboto" panose="02000000000000000000" pitchFamily="2" charset="0"/>
              <a:cs typeface="Roboto" panose="02000000000000000000" pitchFamily="2" charset="0"/>
            </a:rPr>
            <a:t>  </a:t>
          </a:r>
          <a:r>
            <a:rPr lang="en-US" sz="1100" b="0" i="0">
              <a:solidFill>
                <a:schemeClr val="bg1"/>
              </a:solidFill>
              <a:effectLst/>
              <a:latin typeface="+mn-lt"/>
              <a:ea typeface="+mn-ea"/>
              <a:cs typeface="+mn-cs"/>
            </a:rPr>
            <a:t>If the project involves a building complex with multiple buildings serving different functions, it is recommended to perform an individual assessment for each building. However, if the buildings within the building complex serve similar functions and have the same design, a single assessment would suffice</a:t>
          </a:r>
          <a:endParaRPr lang="en-US" sz="1000" b="0">
            <a:solidFill>
              <a:schemeClr val="bg1"/>
            </a:solidFill>
            <a:latin typeface="+mn-lt"/>
            <a:ea typeface="Roboto" panose="02000000000000000000" pitchFamily="2" charset="0"/>
            <a:cs typeface="Roboto" panose="02000000000000000000" pitchFamily="2" charset="0"/>
          </a:endParaRPr>
        </a:p>
      </xdr:txBody>
    </xdr:sp>
    <xdr:clientData/>
  </xdr:twoCellAnchor>
  <xdr:twoCellAnchor>
    <xdr:from>
      <xdr:col>3</xdr:col>
      <xdr:colOff>150091</xdr:colOff>
      <xdr:row>52</xdr:row>
      <xdr:rowOff>46182</xdr:rowOff>
    </xdr:from>
    <xdr:to>
      <xdr:col>4</xdr:col>
      <xdr:colOff>235065</xdr:colOff>
      <xdr:row>52</xdr:row>
      <xdr:rowOff>46182</xdr:rowOff>
    </xdr:to>
    <xdr:cxnSp macro="">
      <xdr:nvCxnSpPr>
        <xdr:cNvPr id="15" name="Ευθεία γραμμή σύνδεσης 14">
          <a:extLst>
            <a:ext uri="{FF2B5EF4-FFF2-40B4-BE49-F238E27FC236}">
              <a16:creationId xmlns:a16="http://schemas.microsoft.com/office/drawing/2014/main" id="{B3EC7EEB-DEAA-5676-2D29-52AECE55C577}"/>
            </a:ext>
          </a:extLst>
        </xdr:cNvPr>
        <xdr:cNvCxnSpPr/>
      </xdr:nvCxnSpPr>
      <xdr:spPr>
        <a:xfrm>
          <a:off x="2089727" y="9652000"/>
          <a:ext cx="73152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63500</xdr:colOff>
      <xdr:row>32</xdr:row>
      <xdr:rowOff>111125</xdr:rowOff>
    </xdr:from>
    <xdr:to>
      <xdr:col>28</xdr:col>
      <xdr:colOff>165100</xdr:colOff>
      <xdr:row>39</xdr:row>
      <xdr:rowOff>190501</xdr:rowOff>
    </xdr:to>
    <xdr:sp macro="" textlink="">
      <xdr:nvSpPr>
        <xdr:cNvPr id="2" name="TextBox 3">
          <a:extLst>
            <a:ext uri="{FF2B5EF4-FFF2-40B4-BE49-F238E27FC236}">
              <a16:creationId xmlns:a16="http://schemas.microsoft.com/office/drawing/2014/main" id="{BCBB5054-0AED-4E90-8471-AE0D349055F8}"/>
            </a:ext>
          </a:extLst>
        </xdr:cNvPr>
        <xdr:cNvSpPr txBox="1"/>
      </xdr:nvSpPr>
      <xdr:spPr>
        <a:xfrm>
          <a:off x="17510125" y="12985750"/>
          <a:ext cx="6896100" cy="2492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18</xdr:col>
      <xdr:colOff>220229</xdr:colOff>
      <xdr:row>32</xdr:row>
      <xdr:rowOff>276226</xdr:rowOff>
    </xdr:from>
    <xdr:to>
      <xdr:col>27</xdr:col>
      <xdr:colOff>498475</xdr:colOff>
      <xdr:row>39</xdr:row>
      <xdr:rowOff>9527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22CE61-9036-4B75-AECE-28A92A7CEF34}"/>
            </a:ext>
          </a:extLst>
        </xdr:cNvPr>
        <xdr:cNvSpPr txBox="1"/>
      </xdr:nvSpPr>
      <xdr:spPr>
        <a:xfrm>
          <a:off x="17666854" y="13150851"/>
          <a:ext cx="6437746" cy="21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200" b="1" i="0" u="none" strike="noStrike" baseline="0">
              <a:solidFill>
                <a:srgbClr val="002060"/>
              </a:solidFill>
              <a:effectLst/>
              <a:latin typeface="+mn-lt"/>
              <a:ea typeface="+mn-ea"/>
              <a:cs typeface="+mn-cs"/>
            </a:rPr>
            <a:t>HOW TO USE THE IPCC INTERACTIVE ATLAS </a:t>
          </a:r>
          <a:endParaRPr lang="en-US" sz="1200">
            <a:solidFill>
              <a:srgbClr val="002060"/>
            </a:solidFill>
            <a:effectLst/>
            <a:latin typeface="+mn-lt"/>
            <a:ea typeface="+mn-ea"/>
            <a:cs typeface="+mn-cs"/>
          </a:endParaRPr>
        </a:p>
        <a:p>
          <a:pPr marL="0" indent="0" algn="l">
            <a:spcAft>
              <a:spcPts val="1200"/>
            </a:spcAft>
            <a:buSzPct val="150000"/>
            <a:buFont typeface="Arial" panose="020B0604020202020204" pitchFamily="34" charset="0"/>
            <a:buNone/>
          </a:pPr>
          <a:r>
            <a:rPr lang="en-US" sz="1200" b="0" i="0" u="none" strike="noStrike" baseline="0">
              <a:solidFill>
                <a:srgbClr val="002060"/>
              </a:solidFill>
              <a:latin typeface="+mn-lt"/>
              <a:ea typeface="+mn-ea"/>
              <a:cs typeface="+mn-cs"/>
            </a:rPr>
            <a:t>1. Follow the link : </a:t>
          </a:r>
          <a:r>
            <a:rPr lang="en-US" sz="1200" b="1" i="0" u="none" strike="noStrike" baseline="0">
              <a:solidFill>
                <a:srgbClr val="002060"/>
              </a:solidFill>
              <a:latin typeface="+mn-lt"/>
              <a:ea typeface="+mn-ea"/>
              <a:cs typeface="+mn-cs"/>
            </a:rPr>
            <a:t>https://interactive-atlas.ipcc.ch</a:t>
          </a:r>
        </a:p>
        <a:p>
          <a:pPr marL="0" indent="0" algn="l">
            <a:spcAft>
              <a:spcPts val="1200"/>
            </a:spcAft>
            <a:buSzPct val="150000"/>
            <a:buFont typeface="Arial" panose="020B0604020202020204" pitchFamily="34" charset="0"/>
            <a:buNone/>
          </a:pP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2. Choose </a:t>
          </a:r>
          <a:r>
            <a:rPr lang="en-US" sz="1200" b="1" i="0" u="none" strike="noStrike" baseline="0">
              <a:solidFill>
                <a:srgbClr val="002060"/>
              </a:solidFill>
              <a:latin typeface="+mn-lt"/>
              <a:ea typeface="+mn-ea"/>
              <a:cs typeface="+mn-cs"/>
            </a:rPr>
            <a:t>Regional Sythesis</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3. At the top left corner of the page, select the tab '</a:t>
          </a:r>
          <a:r>
            <a:rPr lang="en-US" sz="1200" b="1" i="0" u="none" strike="noStrike" baseline="0">
              <a:solidFill>
                <a:srgbClr val="002060"/>
              </a:solidFill>
              <a:latin typeface="+mn-lt"/>
              <a:ea typeface="+mn-ea"/>
              <a:cs typeface="+mn-cs"/>
            </a:rPr>
            <a:t>Regions</a:t>
          </a:r>
          <a:r>
            <a:rPr lang="en-US" sz="1200" b="0" i="0" u="none" strike="noStrike" baseline="0">
              <a:solidFill>
                <a:srgbClr val="002060"/>
              </a:solidFill>
              <a:latin typeface="+mn-lt"/>
              <a:ea typeface="+mn-ea"/>
              <a:cs typeface="+mn-cs"/>
            </a:rPr>
            <a:t>'</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4. Go to </a:t>
          </a:r>
          <a:r>
            <a:rPr lang="en-US" sz="1200" b="1" i="0" u="none" strike="noStrike" baseline="0">
              <a:solidFill>
                <a:srgbClr val="002060"/>
              </a:solidFill>
              <a:latin typeface="+mn-lt"/>
              <a:ea typeface="+mn-ea"/>
              <a:cs typeface="+mn-cs"/>
            </a:rPr>
            <a:t>'Europe</a:t>
          </a:r>
          <a:r>
            <a:rPr lang="en-US" sz="1200" b="0" i="0" u="none" strike="noStrike" baseline="0">
              <a:solidFill>
                <a:srgbClr val="002060"/>
              </a:solidFill>
              <a:latin typeface="+mn-lt"/>
              <a:ea typeface="+mn-ea"/>
              <a:cs typeface="+mn-cs"/>
            </a:rPr>
            <a:t>' Section and specify the regional subsystem that applies to the project under consideration.</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5. The regional climate projections will be appear on the right. Browse the inofrmation provided, to obtain the future trend of the </a:t>
          </a:r>
          <a:r>
            <a:rPr lang="en-US" sz="1200" b="1" i="0" u="none" strike="noStrike" baseline="0">
              <a:solidFill>
                <a:srgbClr val="002060"/>
              </a:solidFill>
              <a:latin typeface="+mn-lt"/>
              <a:ea typeface="+mn-ea"/>
              <a:cs typeface="+mn-cs"/>
            </a:rPr>
            <a:t>requested climate  stressor.  </a:t>
          </a:r>
        </a:p>
        <a:p>
          <a:pPr marL="0" indent="0" algn="l">
            <a:spcAft>
              <a:spcPts val="1200"/>
            </a:spcAft>
            <a:buSzPct val="150000"/>
            <a:buFont typeface="Arial" panose="020B0604020202020204" pitchFamily="34" charset="0"/>
            <a:buNone/>
          </a:pPr>
          <a:endParaRPr lang="en-US" sz="1200" b="0" i="0" u="none" strike="noStrike" baseline="0">
            <a:solidFill>
              <a:srgbClr val="002060"/>
            </a:solidFill>
            <a:latin typeface="+mn-lt"/>
            <a:ea typeface="+mn-ea"/>
            <a:cs typeface="+mn-cs"/>
          </a:endParaRPr>
        </a:p>
      </xdr:txBody>
    </xdr:sp>
    <xdr:clientData/>
  </xdr:twoCellAnchor>
  <xdr:twoCellAnchor>
    <xdr:from>
      <xdr:col>17</xdr:col>
      <xdr:colOff>15875</xdr:colOff>
      <xdr:row>35</xdr:row>
      <xdr:rowOff>219940</xdr:rowOff>
    </xdr:from>
    <xdr:to>
      <xdr:col>17</xdr:col>
      <xdr:colOff>477693</xdr:colOff>
      <xdr:row>35</xdr:row>
      <xdr:rowOff>219940</xdr:rowOff>
    </xdr:to>
    <xdr:cxnSp macro="">
      <xdr:nvCxnSpPr>
        <xdr:cNvPr id="4" name="Ευθύγραμμο βέλος σύνδεσης 3">
          <a:extLst>
            <a:ext uri="{FF2B5EF4-FFF2-40B4-BE49-F238E27FC236}">
              <a16:creationId xmlns:a16="http://schemas.microsoft.com/office/drawing/2014/main" id="{A25B127A-E7DA-4327-8BE6-8E327E1E91DD}"/>
            </a:ext>
          </a:extLst>
        </xdr:cNvPr>
        <xdr:cNvCxnSpPr/>
      </xdr:nvCxnSpPr>
      <xdr:spPr>
        <a:xfrm flipH="1">
          <a:off x="16827500" y="1438044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41</xdr:row>
      <xdr:rowOff>305954</xdr:rowOff>
    </xdr:from>
    <xdr:to>
      <xdr:col>17</xdr:col>
      <xdr:colOff>565727</xdr:colOff>
      <xdr:row>41</xdr:row>
      <xdr:rowOff>305954</xdr:rowOff>
    </xdr:to>
    <xdr:cxnSp macro="">
      <xdr:nvCxnSpPr>
        <xdr:cNvPr id="12" name="Ευθύγραμμο βέλος σύνδεσης 4">
          <a:extLst>
            <a:ext uri="{FF2B5EF4-FFF2-40B4-BE49-F238E27FC236}">
              <a16:creationId xmlns:a16="http://schemas.microsoft.com/office/drawing/2014/main" id="{C3B085E4-10AA-4A19-9ABC-71F47A84BAE4}"/>
            </a:ext>
          </a:extLst>
        </xdr:cNvPr>
        <xdr:cNvCxnSpPr/>
      </xdr:nvCxnSpPr>
      <xdr:spPr>
        <a:xfrm flipH="1">
          <a:off x="16960273" y="16504227"/>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106796</xdr:colOff>
      <xdr:row>40</xdr:row>
      <xdr:rowOff>357909</xdr:rowOff>
    </xdr:from>
    <xdr:to>
      <xdr:col>22</xdr:col>
      <xdr:colOff>80243</xdr:colOff>
      <xdr:row>42</xdr:row>
      <xdr:rowOff>619125</xdr:rowOff>
    </xdr:to>
    <xdr:sp macro="" textlink="">
      <xdr:nvSpPr>
        <xdr:cNvPr id="8" name="TextBox 3">
          <a:extLst>
            <a:ext uri="{FF2B5EF4-FFF2-40B4-BE49-F238E27FC236}">
              <a16:creationId xmlns:a16="http://schemas.microsoft.com/office/drawing/2014/main" id="{2B87792D-1528-4553-B1FD-4FCFE50143C8}"/>
            </a:ext>
          </a:extLst>
        </xdr:cNvPr>
        <xdr:cNvSpPr txBox="1"/>
      </xdr:nvSpPr>
      <xdr:spPr>
        <a:xfrm>
          <a:off x="16751734" y="16038440"/>
          <a:ext cx="2830947" cy="158281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xdr:txBody>
    </xdr:sp>
    <xdr:clientData/>
  </xdr:twoCellAnchor>
  <xdr:twoCellAnchor>
    <xdr:from>
      <xdr:col>18</xdr:col>
      <xdr:colOff>269875</xdr:colOff>
      <xdr:row>40</xdr:row>
      <xdr:rowOff>516659</xdr:rowOff>
    </xdr:from>
    <xdr:to>
      <xdr:col>21</xdr:col>
      <xdr:colOff>531090</xdr:colOff>
      <xdr:row>42</xdr:row>
      <xdr:rowOff>440531</xdr:rowOff>
    </xdr:to>
    <xdr:sp macro="" textlink="">
      <xdr:nvSpPr>
        <xdr:cNvPr id="15" name="TextBox 6">
          <a:extLst>
            <a:ext uri="{FF2B5EF4-FFF2-40B4-BE49-F238E27FC236}">
              <a16:creationId xmlns:a16="http://schemas.microsoft.com/office/drawing/2014/main" id="{DC403F11-5E9E-4C43-845C-D59ED5057B0A}"/>
            </a:ext>
          </a:extLst>
        </xdr:cNvPr>
        <xdr:cNvSpPr txBox="1"/>
      </xdr:nvSpPr>
      <xdr:spPr>
        <a:xfrm>
          <a:off x="16914813" y="16197190"/>
          <a:ext cx="2511496" cy="124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200" b="1" i="0" u="none" strike="noStrike" baseline="0">
              <a:solidFill>
                <a:schemeClr val="tx2"/>
              </a:solidFill>
              <a:latin typeface="+mn-lt"/>
              <a:ea typeface="+mn-ea"/>
              <a:cs typeface="+mn-cs"/>
            </a:rPr>
            <a:t>NOTE </a:t>
          </a:r>
          <a:endParaRPr lang="en-US" sz="1200">
            <a:solidFill>
              <a:schemeClr val="tx2"/>
            </a:solidFill>
            <a:effectLst/>
            <a:latin typeface="+mn-lt"/>
            <a:ea typeface="+mn-ea"/>
            <a:cs typeface="+mn-cs"/>
          </a:endParaRPr>
        </a:p>
        <a:p>
          <a:pPr marL="0" indent="0" algn="l">
            <a:spcAft>
              <a:spcPts val="1200"/>
            </a:spcAft>
            <a:buSzPct val="150000"/>
            <a:buFont typeface="Arial" panose="020B0604020202020204" pitchFamily="34" charset="0"/>
            <a:buNone/>
          </a:pPr>
          <a:r>
            <a:rPr lang="en-US" sz="1200" b="0" i="0" u="none" strike="noStrike" baseline="0">
              <a:solidFill>
                <a:schemeClr val="tx2"/>
              </a:solidFill>
              <a:latin typeface="+mn-lt"/>
              <a:ea typeface="+mn-ea"/>
              <a:cs typeface="+mn-cs"/>
            </a:rPr>
            <a:t>Set equal to 0.0 if the project is not located at a low-lying region or a coastal site. Otherwise leave the multipliers as they are.</a:t>
          </a:r>
        </a:p>
        <a:p>
          <a:pPr marL="0" indent="0" algn="l">
            <a:spcAft>
              <a:spcPts val="1200"/>
            </a:spcAft>
            <a:buSzPct val="150000"/>
            <a:buFont typeface="Arial" panose="020B0604020202020204" pitchFamily="34" charset="0"/>
            <a:buNone/>
          </a:pPr>
          <a:endParaRPr lang="en-US" sz="1200" b="1" i="0" u="none" strike="noStrike" baseline="0">
            <a:solidFill>
              <a:schemeClr val="bg1"/>
            </a:solidFill>
            <a:latin typeface="+mn-lt"/>
            <a:ea typeface="+mn-ea"/>
            <a:cs typeface="+mn-cs"/>
          </a:endParaRPr>
        </a:p>
        <a:p>
          <a:pPr marL="0" indent="0" algn="l">
            <a:spcAft>
              <a:spcPts val="1200"/>
            </a:spcAft>
            <a:buSzPct val="150000"/>
            <a:buFont typeface="Arial" panose="020B0604020202020204" pitchFamily="34" charset="0"/>
            <a:buNone/>
          </a:pPr>
          <a:endParaRPr lang="en-US" sz="1200" b="1" i="0" u="none" strike="noStrike" baseline="0">
            <a:solidFill>
              <a:schemeClr val="bg1"/>
            </a:solidFill>
            <a:latin typeface="+mn-lt"/>
            <a:ea typeface="+mn-ea"/>
            <a:cs typeface="+mn-cs"/>
          </a:endParaRPr>
        </a:p>
      </xdr:txBody>
    </xdr:sp>
    <xdr:clientData/>
  </xdr:twoCellAnchor>
  <xdr:twoCellAnchor>
    <xdr:from>
      <xdr:col>17</xdr:col>
      <xdr:colOff>60036</xdr:colOff>
      <xdr:row>42</xdr:row>
      <xdr:rowOff>192808</xdr:rowOff>
    </xdr:from>
    <xdr:to>
      <xdr:col>17</xdr:col>
      <xdr:colOff>521854</xdr:colOff>
      <xdr:row>42</xdr:row>
      <xdr:rowOff>192808</xdr:rowOff>
    </xdr:to>
    <xdr:cxnSp macro="">
      <xdr:nvCxnSpPr>
        <xdr:cNvPr id="13" name="Ευθύγραμμο βέλος σύνδεσης 7">
          <a:extLst>
            <a:ext uri="{FF2B5EF4-FFF2-40B4-BE49-F238E27FC236}">
              <a16:creationId xmlns:a16="http://schemas.microsoft.com/office/drawing/2014/main" id="{32B494A5-C9D1-4692-9761-F23815D677C4}"/>
            </a:ext>
          </a:extLst>
        </xdr:cNvPr>
        <xdr:cNvCxnSpPr/>
      </xdr:nvCxnSpPr>
      <xdr:spPr>
        <a:xfrm flipH="1">
          <a:off x="16916400" y="17072263"/>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2661029</xdr:colOff>
      <xdr:row>50</xdr:row>
      <xdr:rowOff>393700</xdr:rowOff>
    </xdr:to>
    <xdr:grpSp>
      <xdr:nvGrpSpPr>
        <xdr:cNvPr id="61" name="Group 22">
          <a:extLst>
            <a:ext uri="{FF2B5EF4-FFF2-40B4-BE49-F238E27FC236}">
              <a16:creationId xmlns:a16="http://schemas.microsoft.com/office/drawing/2014/main" id="{CAA6A472-0B23-3D80-43C4-9800DEB2A33F}"/>
            </a:ext>
          </a:extLst>
        </xdr:cNvPr>
        <xdr:cNvGrpSpPr/>
      </xdr:nvGrpSpPr>
      <xdr:grpSpPr>
        <a:xfrm>
          <a:off x="0" y="0"/>
          <a:ext cx="2661029" cy="20455731"/>
          <a:chOff x="11907" y="199718"/>
          <a:chExt cx="2784141" cy="20669690"/>
        </a:xfrm>
      </xdr:grpSpPr>
      <xdr:sp macro="" textlink="">
        <xdr:nvSpPr>
          <xdr:cNvPr id="62" name="Rectangle 19">
            <a:extLst>
              <a:ext uri="{FF2B5EF4-FFF2-40B4-BE49-F238E27FC236}">
                <a16:creationId xmlns:a16="http://schemas.microsoft.com/office/drawing/2014/main" id="{7B580810-DF43-B714-CDAB-87ED125A157A}"/>
              </a:ext>
            </a:extLst>
          </xdr:cNvPr>
          <xdr:cNvSpPr/>
        </xdr:nvSpPr>
        <xdr:spPr>
          <a:xfrm>
            <a:off x="11907" y="199718"/>
            <a:ext cx="2784141" cy="20669690"/>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3">
            <a:extLst>
              <a:ext uri="{FF2B5EF4-FFF2-40B4-BE49-F238E27FC236}">
                <a16:creationId xmlns:a16="http://schemas.microsoft.com/office/drawing/2014/main" id="{B87B7E18-1459-47B4-9D07-025F22AC5603}"/>
              </a:ext>
            </a:extLst>
          </xdr:cNvPr>
          <xdr:cNvSpPr txBox="1"/>
        </xdr:nvSpPr>
        <xdr:spPr>
          <a:xfrm>
            <a:off x="159408" y="1101623"/>
            <a:ext cx="2291476" cy="982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help users rate the susceptibility of the area of interest to flooding and soil</a:t>
            </a:r>
            <a:r>
              <a:rPr lang="en-US" sz="1100" b="0" baseline="0">
                <a:solidFill>
                  <a:schemeClr val="bg1"/>
                </a:solidFill>
                <a:latin typeface="+mn-lt"/>
              </a:rPr>
              <a:t> hazards</a:t>
            </a:r>
            <a:r>
              <a:rPr lang="en-US" sz="1100" b="0">
                <a:solidFill>
                  <a:schemeClr val="bg1"/>
                </a:solidFill>
                <a:latin typeface="+mn-lt"/>
              </a:rPr>
              <a:t> considering present and future climate conditions. The assessment can be semi-qualitative using available maps or purely qualitatively using empirical indicators. The selection is a matter of user preference and relies on the type of available data. Inexperienced users are advised to use the ‘Empirical Indicators’ option.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Determine whether the conditions described in Table1.1 apply to the area of interest. Fill-in only the non-shaded cells. The flood exposure score will be automatically calculated.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Select an assessment option for the soil-related</a:t>
            </a:r>
            <a:r>
              <a:rPr lang="en-US" sz="1100" b="0" baseline="0">
                <a:solidFill>
                  <a:schemeClr val="bg1"/>
                </a:solidFill>
                <a:latin typeface="+mn-lt"/>
              </a:rPr>
              <a:t> </a:t>
            </a:r>
            <a:r>
              <a:rPr lang="en-US" sz="1100" b="0">
                <a:solidFill>
                  <a:schemeClr val="bg1"/>
                </a:solidFill>
                <a:latin typeface="+mn-lt"/>
              </a:rPr>
              <a:t>hazard choosing between the two available options</a:t>
            </a:r>
            <a:r>
              <a:rPr lang="el-GR" sz="1100" b="0">
                <a:solidFill>
                  <a:schemeClr val="bg1"/>
                </a:solidFill>
                <a:latin typeface="+mn-lt"/>
              </a:rPr>
              <a:t>.</a:t>
            </a:r>
          </a:p>
          <a:p>
            <a:pPr marL="144000" indent="-144000" algn="l">
              <a:spcAft>
                <a:spcPts val="600"/>
              </a:spcAft>
              <a:buSzPct val="100000"/>
              <a:buFont typeface="+mj-lt"/>
              <a:buAutoNum type="arabicPeriod"/>
            </a:pPr>
            <a:r>
              <a:rPr lang="en-US" sz="1100" b="0">
                <a:solidFill>
                  <a:schemeClr val="bg1"/>
                </a:solidFill>
                <a:latin typeface="+mn-lt"/>
              </a:rPr>
              <a:t>Answer the questions of Table 1.2. to assess the soil</a:t>
            </a:r>
            <a:r>
              <a:rPr lang="en-US" sz="1100" b="0" baseline="0">
                <a:solidFill>
                  <a:schemeClr val="bg1"/>
                </a:solidFill>
                <a:latin typeface="+mn-lt"/>
              </a:rPr>
              <a:t> risk level</a:t>
            </a:r>
            <a:r>
              <a:rPr lang="en-US" sz="1100" b="0">
                <a:solidFill>
                  <a:schemeClr val="bg1"/>
                </a:solidFill>
                <a:latin typeface="+mn-lt"/>
              </a:rPr>
              <a:t> at the area of interest.</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Look up the climate projections of IPCC (https://interactive-atlas.ipcc.ch) and observe how the rainfall patterns (and flooding conditions) are expected to change in the future at a regional scale. Follow the probe Questions of Table 1.3 to describe the rate of change. Give a score &gt; 1 if the trends are increasing (i.e., the region is expected to experience heavier rainfalls in the future and hence a higher risk of flooding, and &lt; 1 in case milder climate conditions are expected to materialize.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Updated exposure levels (reflectingfuture climate conditions) will be automatically calculated for both hazards. The maximum exposure score (between current and future) will be transferred to Step 3 to inform the Vulnerability assessment. </a:t>
            </a:r>
          </a:p>
        </xdr:txBody>
      </xdr:sp>
      <xdr:grpSp>
        <xdr:nvGrpSpPr>
          <xdr:cNvPr id="64" name="Group 5">
            <a:extLst>
              <a:ext uri="{FF2B5EF4-FFF2-40B4-BE49-F238E27FC236}">
                <a16:creationId xmlns:a16="http://schemas.microsoft.com/office/drawing/2014/main" id="{5EB9B729-D736-4F2D-ACC0-248D2D5869F9}"/>
              </a:ext>
            </a:extLst>
          </xdr:cNvPr>
          <xdr:cNvGrpSpPr/>
        </xdr:nvGrpSpPr>
        <xdr:grpSpPr>
          <a:xfrm>
            <a:off x="168459" y="379876"/>
            <a:ext cx="431173" cy="435489"/>
            <a:chOff x="1238250" y="942975"/>
            <a:chExt cx="533400" cy="533400"/>
          </a:xfrm>
        </xdr:grpSpPr>
        <xdr:sp macro="" textlink="">
          <xdr:nvSpPr>
            <xdr:cNvPr id="65" name="Rectangle: Rounded Corners 9">
              <a:hlinkClick xmlns:r="http://schemas.openxmlformats.org/officeDocument/2006/relationships" r:id="rId2"/>
              <a:extLst>
                <a:ext uri="{FF2B5EF4-FFF2-40B4-BE49-F238E27FC236}">
                  <a16:creationId xmlns:a16="http://schemas.microsoft.com/office/drawing/2014/main" id="{D7352433-950F-84F4-32A5-AFF28ED2A8E9}"/>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11" descr="Home with solid fill">
              <a:hlinkClick xmlns:r="http://schemas.openxmlformats.org/officeDocument/2006/relationships" r:id="rId2"/>
              <a:extLst>
                <a:ext uri="{FF2B5EF4-FFF2-40B4-BE49-F238E27FC236}">
                  <a16:creationId xmlns:a16="http://schemas.microsoft.com/office/drawing/2014/main" id="{B667EBAA-07BE-319A-E19C-35E654DE2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309688" y="1014413"/>
              <a:ext cx="390525" cy="390525"/>
            </a:xfrm>
            <a:prstGeom prst="rect">
              <a:avLst/>
            </a:prstGeom>
          </xdr:spPr>
        </xdr:pic>
      </xdr:grpSp>
      <xdr:sp macro="" textlink="">
        <xdr:nvSpPr>
          <xdr:cNvPr id="70" name="TextBox 17">
            <a:extLst>
              <a:ext uri="{FF2B5EF4-FFF2-40B4-BE49-F238E27FC236}">
                <a16:creationId xmlns:a16="http://schemas.microsoft.com/office/drawing/2014/main" id="{58C9F9FC-235C-4F0D-92A5-927AEC99400B}"/>
              </a:ext>
            </a:extLst>
          </xdr:cNvPr>
          <xdr:cNvSpPr txBox="1"/>
        </xdr:nvSpPr>
        <xdr:spPr>
          <a:xfrm>
            <a:off x="606030" y="11560166"/>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EXPOSURE LEVEL</a:t>
            </a:r>
            <a:endParaRPr lang="en-US" sz="1050" b="1">
              <a:solidFill>
                <a:schemeClr val="bg1"/>
              </a:solidFill>
            </a:endParaRPr>
          </a:p>
        </xdr:txBody>
      </xdr:sp>
      <xdr:pic>
        <xdr:nvPicPr>
          <xdr:cNvPr id="71" name="Picture 18">
            <a:extLst>
              <a:ext uri="{FF2B5EF4-FFF2-40B4-BE49-F238E27FC236}">
                <a16:creationId xmlns:a16="http://schemas.microsoft.com/office/drawing/2014/main" id="{126842B8-26A6-0289-8937-97F28EB408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96730" y="12112165"/>
            <a:ext cx="2559291" cy="2674987"/>
          </a:xfrm>
          <a:prstGeom prst="rect">
            <a:avLst/>
          </a:prstGeom>
        </xdr:spPr>
      </xdr:pic>
    </xdr:grpSp>
    <xdr:clientData/>
  </xdr:twoCellAnchor>
  <xdr:twoCellAnchor>
    <xdr:from>
      <xdr:col>0</xdr:col>
      <xdr:colOff>1810295</xdr:colOff>
      <xdr:row>0</xdr:row>
      <xdr:rowOff>163711</xdr:rowOff>
    </xdr:from>
    <xdr:to>
      <xdr:col>0</xdr:col>
      <xdr:colOff>2240753</xdr:colOff>
      <xdr:row>2</xdr:row>
      <xdr:rowOff>3429</xdr:rowOff>
    </xdr:to>
    <xdr:grpSp>
      <xdr:nvGrpSpPr>
        <xdr:cNvPr id="14" name="Group 13">
          <a:hlinkClick xmlns:r="http://schemas.openxmlformats.org/officeDocument/2006/relationships" r:id="rId6"/>
          <a:extLst>
            <a:ext uri="{FF2B5EF4-FFF2-40B4-BE49-F238E27FC236}">
              <a16:creationId xmlns:a16="http://schemas.microsoft.com/office/drawing/2014/main" id="{FF29922C-7700-B537-1F7C-7939A869E8D4}"/>
            </a:ext>
          </a:extLst>
        </xdr:cNvPr>
        <xdr:cNvGrpSpPr/>
      </xdr:nvGrpSpPr>
      <xdr:grpSpPr>
        <a:xfrm>
          <a:off x="1810295" y="163711"/>
          <a:ext cx="430458" cy="458843"/>
          <a:chOff x="1810295" y="163711"/>
          <a:chExt cx="430458" cy="464796"/>
        </a:xfrm>
      </xdr:grpSpPr>
      <xdr:sp macro="" textlink="">
        <xdr:nvSpPr>
          <xdr:cNvPr id="6" name="Rectangle: Rounded Corners 12">
            <a:extLst>
              <a:ext uri="{FF2B5EF4-FFF2-40B4-BE49-F238E27FC236}">
                <a16:creationId xmlns:a16="http://schemas.microsoft.com/office/drawing/2014/main" id="{AF16D017-CA2A-9E3B-A5CA-2732C36EE45A}"/>
              </a:ext>
            </a:extLst>
          </xdr:cNvPr>
          <xdr:cNvSpPr/>
        </xdr:nvSpPr>
        <xdr:spPr>
          <a:xfrm>
            <a:off x="1810295" y="163711"/>
            <a:ext cx="430458" cy="464796"/>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13">
            <a:extLst>
              <a:ext uri="{FF2B5EF4-FFF2-40B4-BE49-F238E27FC236}">
                <a16:creationId xmlns:a16="http://schemas.microsoft.com/office/drawing/2014/main" id="{324D87BA-C6C3-D1C6-789D-28EC4A5EB311}"/>
              </a:ext>
            </a:extLst>
          </xdr:cNvPr>
          <xdr:cNvSpPr/>
        </xdr:nvSpPr>
        <xdr:spPr>
          <a:xfrm>
            <a:off x="1901415" y="262100"/>
            <a:ext cx="248218" cy="26801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46</xdr:row>
      <xdr:rowOff>79375</xdr:rowOff>
    </xdr:to>
    <xdr:sp macro="" textlink="">
      <xdr:nvSpPr>
        <xdr:cNvPr id="2" name="Rectangle 6">
          <a:extLst>
            <a:ext uri="{FF2B5EF4-FFF2-40B4-BE49-F238E27FC236}">
              <a16:creationId xmlns:a16="http://schemas.microsoft.com/office/drawing/2014/main" id="{694A8CF8-431E-4DF3-8DF5-3A83D790C5E7}"/>
            </a:ext>
          </a:extLst>
        </xdr:cNvPr>
        <xdr:cNvSpPr/>
      </xdr:nvSpPr>
      <xdr:spPr>
        <a:xfrm>
          <a:off x="0" y="2307"/>
          <a:ext cx="2779526" cy="2319106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474013</xdr:rowOff>
    </xdr:from>
    <xdr:to>
      <xdr:col>0</xdr:col>
      <xdr:colOff>2434935</xdr:colOff>
      <xdr:row>28</xdr:row>
      <xdr:rowOff>476250</xdr:rowOff>
    </xdr:to>
    <xdr:sp macro="" textlink="">
      <xdr:nvSpPr>
        <xdr:cNvPr id="3" name="TextBox 7">
          <a:extLst>
            <a:ext uri="{FF2B5EF4-FFF2-40B4-BE49-F238E27FC236}">
              <a16:creationId xmlns:a16="http://schemas.microsoft.com/office/drawing/2014/main" id="{A8732966-FE64-4065-AEEB-EB0D9BD696C7}"/>
            </a:ext>
          </a:extLst>
        </xdr:cNvPr>
        <xdr:cNvSpPr txBox="1"/>
      </xdr:nvSpPr>
      <xdr:spPr>
        <a:xfrm>
          <a:off x="147257" y="918513"/>
          <a:ext cx="2287678" cy="1827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bg1"/>
              </a:solidFill>
              <a:effectLst/>
              <a:latin typeface="+mn-lt"/>
              <a:ea typeface="+mn-ea"/>
              <a:cs typeface="+mn-cs"/>
            </a:rPr>
            <a:t>Instructions</a:t>
          </a:r>
          <a:endParaRPr lang="en-US">
            <a:solidFill>
              <a:schemeClr val="bg1"/>
            </a:solidFill>
            <a:effectLst/>
          </a:endParaRPr>
        </a:p>
        <a:p>
          <a:r>
            <a:rPr lang="en-US" sz="1100" b="0">
              <a:solidFill>
                <a:schemeClr val="bg1"/>
              </a:solidFill>
              <a:effectLst/>
              <a:latin typeface="+mn-lt"/>
              <a:ea typeface="+mn-ea"/>
              <a:cs typeface="+mn-cs"/>
            </a:rPr>
            <a:t>The scope of this step is to help users assess the sensitivity of the various building components to </a:t>
          </a:r>
          <a:r>
            <a:rPr lang="en-US" sz="1100" b="0" baseline="0">
              <a:solidFill>
                <a:schemeClr val="bg1"/>
              </a:solidFill>
              <a:effectLst/>
              <a:latin typeface="+mn-lt"/>
              <a:ea typeface="+mn-ea"/>
              <a:cs typeface="+mn-cs"/>
            </a:rPr>
            <a:t>flooding and soil-related hazards.</a:t>
          </a:r>
        </a:p>
        <a:p>
          <a:endParaRPr lang="en-US">
            <a:solidFill>
              <a:schemeClr val="bg1"/>
            </a:solidFill>
            <a:effectLst/>
          </a:endParaRPr>
        </a:p>
        <a:p>
          <a:pPr eaLnBrk="1" fontAlgn="auto" latinLnBrk="0" hangingPunct="1"/>
          <a:r>
            <a:rPr lang="en-US" sz="1100" b="0">
              <a:solidFill>
                <a:schemeClr val="bg1"/>
              </a:solidFill>
              <a:effectLst/>
              <a:latin typeface="+mn-lt"/>
              <a:ea typeface="+mn-ea"/>
              <a:cs typeface="+mn-cs"/>
            </a:rPr>
            <a:t>1. Start by selecting the </a:t>
          </a:r>
          <a:r>
            <a:rPr lang="en-US" sz="1100" b="1">
              <a:solidFill>
                <a:schemeClr val="bg1"/>
              </a:solidFill>
              <a:effectLst/>
              <a:latin typeface="+mn-lt"/>
              <a:ea typeface="+mn-ea"/>
              <a:cs typeface="+mn-cs"/>
            </a:rPr>
            <a:t>type of building for which the assessment is performed. </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____________________________</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SIMPLIFIED</a:t>
          </a:r>
          <a:r>
            <a:rPr lang="en-US" sz="1100" b="1" baseline="0">
              <a:solidFill>
                <a:schemeClr val="bg1"/>
              </a:solidFill>
              <a:effectLst/>
              <a:latin typeface="+mn-lt"/>
              <a:ea typeface="+mn-ea"/>
              <a:cs typeface="+mn-cs"/>
            </a:rPr>
            <a:t> ASSESSMENT </a:t>
          </a:r>
          <a:br>
            <a:rPr lang="en-US" sz="1100" b="1" baseline="0">
              <a:solidFill>
                <a:schemeClr val="bg1"/>
              </a:solidFill>
              <a:effectLst/>
              <a:latin typeface="+mn-lt"/>
              <a:ea typeface="+mn-ea"/>
              <a:cs typeface="+mn-cs"/>
            </a:rPr>
          </a:br>
          <a:r>
            <a:rPr lang="en-US" sz="1100" b="1" baseline="0">
              <a:solidFill>
                <a:schemeClr val="bg1"/>
              </a:solidFill>
              <a:effectLst/>
              <a:latin typeface="+mn-lt"/>
              <a:ea typeface="+mn-ea"/>
              <a:cs typeface="+mn-cs"/>
            </a:rPr>
            <a:t>(performed if the building is a Small Residence/Office/ Shop)</a:t>
          </a:r>
        </a:p>
        <a:p>
          <a:pPr eaLnBrk="1" fontAlgn="auto" latinLnBrk="0" hangingPunct="1"/>
          <a:endParaRPr lang="en-US">
            <a:solidFill>
              <a:schemeClr val="bg1"/>
            </a:solidFill>
            <a:effectLst/>
          </a:endParaRPr>
        </a:p>
        <a:p>
          <a:pPr eaLnBrk="1" fontAlgn="auto" latinLnBrk="0" hangingPunct="1"/>
          <a:r>
            <a:rPr lang="en-US" sz="1100" b="0" baseline="0">
              <a:solidFill>
                <a:schemeClr val="bg1"/>
              </a:solidFill>
              <a:effectLst/>
              <a:latin typeface="+mn-lt"/>
              <a:ea typeface="+mn-ea"/>
              <a:cs typeface="+mn-cs"/>
            </a:rPr>
            <a:t>1. </a:t>
          </a:r>
          <a:r>
            <a:rPr lang="en-US" sz="1100" b="1">
              <a:solidFill>
                <a:schemeClr val="bg1"/>
              </a:solidFill>
              <a:effectLst/>
              <a:latin typeface="+mn-lt"/>
              <a:ea typeface="+mn-ea"/>
              <a:cs typeface="+mn-cs"/>
            </a:rPr>
            <a:t>Apply N/A to Gray Cells</a:t>
          </a:r>
          <a:r>
            <a:rPr lang="en-US" sz="1100">
              <a:solidFill>
                <a:schemeClr val="bg1"/>
              </a:solidFill>
              <a:effectLst/>
              <a:latin typeface="+mn-lt"/>
              <a:ea typeface="+mn-ea"/>
              <a:cs typeface="+mn-cs"/>
            </a:rPr>
            <a:t>: Use the drop-down menu in Column D titled 'SELECTION' to apply the 'N/A' entry to all gray-colored cells.</a:t>
          </a: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2. </a:t>
          </a:r>
          <a:r>
            <a:rPr lang="en-US" sz="1100" b="1">
              <a:solidFill>
                <a:schemeClr val="bg1"/>
              </a:solidFill>
              <a:effectLst/>
              <a:latin typeface="+mn-lt"/>
              <a:ea typeface="+mn-ea"/>
              <a:cs typeface="+mn-cs"/>
            </a:rPr>
            <a:t>Answer Scoring Questions for Heatwaves/Wildfires</a:t>
          </a:r>
          <a:r>
            <a:rPr lang="en-US" sz="1100">
              <a:solidFill>
                <a:schemeClr val="bg1"/>
              </a:solidFill>
              <a:effectLst/>
              <a:latin typeface="+mn-lt"/>
              <a:ea typeface="+mn-ea"/>
              <a:cs typeface="+mn-cs"/>
            </a:rPr>
            <a:t>: Answer questions Q2.1 to Q2.4 by assigning an</a:t>
          </a:r>
          <a:r>
            <a:rPr lang="en-US" sz="1100" baseline="0">
              <a:solidFill>
                <a:schemeClr val="bg1"/>
              </a:solidFill>
              <a:effectLst/>
              <a:latin typeface="+mn-lt"/>
              <a:ea typeface="+mn-ea"/>
              <a:cs typeface="+mn-cs"/>
            </a:rPr>
            <a:t> appropriare score </a:t>
          </a:r>
          <a:r>
            <a:rPr lang="en-US" sz="1100">
              <a:solidFill>
                <a:schemeClr val="bg1"/>
              </a:solidFill>
              <a:effectLst/>
              <a:latin typeface="+mn-lt"/>
              <a:ea typeface="+mn-ea"/>
              <a:cs typeface="+mn-cs"/>
            </a:rPr>
            <a:t>to the cells of Row 13. For simplified assessments, leave</a:t>
          </a:r>
          <a:r>
            <a:rPr lang="en-US" sz="1100" baseline="0">
              <a:solidFill>
                <a:schemeClr val="bg1"/>
              </a:solidFill>
              <a:effectLst/>
              <a:latin typeface="+mn-lt"/>
              <a:ea typeface="+mn-ea"/>
              <a:cs typeface="+mn-cs"/>
            </a:rPr>
            <a:t>  the subsequent rows blank.</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building's preliminary sensitivity to flooding</a:t>
          </a:r>
          <a:r>
            <a:rPr lang="en-US" sz="1100" baseline="0">
              <a:solidFill>
                <a:schemeClr val="bg1"/>
              </a:solidFill>
              <a:effectLst/>
              <a:latin typeface="+mn-lt"/>
              <a:ea typeface="+mn-ea"/>
              <a:cs typeface="+mn-cs"/>
            </a:rPr>
            <a:t> and soil-hazards</a:t>
          </a:r>
          <a:r>
            <a:rPr lang="en-US" sz="1100">
              <a:solidFill>
                <a:schemeClr val="bg1"/>
              </a:solidFill>
              <a:effectLst/>
              <a:latin typeface="+mn-lt"/>
              <a:ea typeface="+mn-ea"/>
              <a:cs typeface="+mn-cs"/>
            </a:rPr>
            <a:t> will automatically appear in Column K</a:t>
          </a:r>
          <a:r>
            <a:rPr lang="en-US" sz="1100" baseline="0">
              <a:solidFill>
                <a:schemeClr val="bg1"/>
              </a:solidFill>
              <a:effectLst/>
              <a:latin typeface="+mn-lt"/>
              <a:ea typeface="+mn-ea"/>
              <a:cs typeface="+mn-cs"/>
            </a:rPr>
            <a:t> titled</a:t>
          </a:r>
          <a:r>
            <a:rPr lang="en-US" sz="1100">
              <a:solidFill>
                <a:schemeClr val="bg1"/>
              </a:solidFill>
              <a:effectLst/>
              <a:latin typeface="+mn-lt"/>
              <a:ea typeface="+mn-ea"/>
              <a:cs typeface="+mn-cs"/>
            </a:rPr>
            <a:t> 'Average Sensitivity Score'.</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4. Assess Adaptive Capacity</a:t>
          </a:r>
          <a:r>
            <a:rPr lang="en-US" sz="1100">
              <a:solidFill>
                <a:schemeClr val="bg1"/>
              </a:solidFill>
              <a:effectLst/>
              <a:latin typeface="+mn-lt"/>
              <a:ea typeface="+mn-ea"/>
              <a:cs typeface="+mn-cs"/>
            </a:rPr>
            <a:t>: Answer questions Q2.5 and Q2.7 to assess the building's 'Adaptive Capacity' ( i.e.,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to the threats mentioned. A non-zero score in 'Adaptive Capacity' will automatically lower the building's sensitivity, which will</a:t>
          </a:r>
          <a:r>
            <a:rPr lang="en-US" sz="1100" baseline="0">
              <a:solidFill>
                <a:schemeClr val="bg1"/>
              </a:solidFill>
              <a:effectLst/>
              <a:latin typeface="+mn-lt"/>
              <a:ea typeface="+mn-ea"/>
              <a:cs typeface="+mn-cs"/>
            </a:rPr>
            <a:t> be presented </a:t>
          </a:r>
          <a:r>
            <a:rPr lang="en-US" sz="1100">
              <a:solidFill>
                <a:schemeClr val="bg1"/>
              </a:solidFill>
              <a:effectLst/>
              <a:latin typeface="+mn-lt"/>
              <a:ea typeface="+mn-ea"/>
              <a:cs typeface="+mn-cs"/>
            </a:rPr>
            <a:t>in Column R titled</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'Final Sensitivity Score'</a:t>
          </a:r>
          <a:r>
            <a:rPr lang="en-US" sz="1100" baseline="0">
              <a:solidFill>
                <a:schemeClr val="bg1"/>
              </a:solidFill>
              <a:effectLst/>
              <a:latin typeface="+mn-lt"/>
              <a:ea typeface="+mn-ea"/>
              <a:cs typeface="+mn-cs"/>
            </a:rPr>
            <a:t> under Row 13.</a:t>
          </a:r>
          <a:endParaRPr lang="en-US" sz="1100">
            <a:solidFill>
              <a:schemeClr val="bg1"/>
            </a:solidFill>
            <a:effectLst/>
            <a:latin typeface="+mn-lt"/>
            <a:ea typeface="+mn-ea"/>
            <a:cs typeface="+mn-cs"/>
          </a:endParaRP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______________________________</a:t>
          </a:r>
          <a:endParaRPr lang="en-US">
            <a:solidFill>
              <a:schemeClr val="bg1"/>
            </a:solidFill>
            <a:effectLst/>
          </a:endParaRPr>
        </a:p>
        <a:p>
          <a:pPr eaLnBrk="1" fontAlgn="auto" latinLnBrk="0" hangingPunct="1"/>
          <a:endParaRPr lang="en-US" sz="1100" b="1" baseline="0">
            <a:solidFill>
              <a:schemeClr val="bg1"/>
            </a:solidFill>
            <a:effectLst/>
            <a:latin typeface="+mn-lt"/>
            <a:ea typeface="+mn-ea"/>
            <a:cs typeface="+mn-cs"/>
          </a:endParaRPr>
        </a:p>
        <a:p>
          <a:pPr eaLnBrk="1" fontAlgn="auto" latinLnBrk="0" hangingPunct="1"/>
          <a:r>
            <a:rPr lang="en-US" sz="1100" b="1" baseline="0">
              <a:solidFill>
                <a:schemeClr val="bg1"/>
              </a:solidFill>
              <a:effectLst/>
              <a:latin typeface="+mn-lt"/>
              <a:ea typeface="+mn-ea"/>
              <a:cs typeface="+mn-cs"/>
            </a:rPr>
            <a:t>MULTI-COMPONENT ASSESSMENT (</a:t>
          </a:r>
          <a:r>
            <a:rPr lang="en-US" sz="1100" b="0" baseline="0">
              <a:solidFill>
                <a:schemeClr val="bg1"/>
              </a:solidFill>
              <a:effectLst/>
              <a:latin typeface="+mn-lt"/>
              <a:ea typeface="+mn-ea"/>
              <a:cs typeface="+mn-cs"/>
            </a:rPr>
            <a:t>f</a:t>
          </a:r>
          <a:r>
            <a:rPr lang="en-US" sz="1100">
              <a:solidFill>
                <a:schemeClr val="bg1"/>
              </a:solidFill>
              <a:effectLst/>
              <a:latin typeface="+mn-lt"/>
              <a:ea typeface="+mn-ea"/>
              <a:cs typeface="+mn-cs"/>
            </a:rPr>
            <a:t>or all other facilities and</a:t>
          </a:r>
          <a:r>
            <a:rPr lang="en-US" sz="1100" baseline="0">
              <a:solidFill>
                <a:schemeClr val="bg1"/>
              </a:solidFill>
              <a:effectLst/>
              <a:latin typeface="+mn-lt"/>
              <a:ea typeface="+mn-ea"/>
              <a:cs typeface="+mn-cs"/>
            </a:rPr>
            <a:t> bigger residences)</a:t>
          </a:r>
        </a:p>
        <a:p>
          <a:pPr eaLnBrk="1" fontAlgn="auto" latinLnBrk="0" hangingPunct="1"/>
          <a:endParaRPr lang="en-US">
            <a:solidFill>
              <a:schemeClr val="bg1"/>
            </a:solidFill>
            <a:effectLst/>
          </a:endParaRPr>
        </a:p>
        <a:p>
          <a:pPr eaLnBrk="1" fontAlgn="auto" latinLnBrk="0" hangingPunct="1"/>
          <a:r>
            <a:rPr lang="en-US" sz="1100" baseline="0">
              <a:solidFill>
                <a:schemeClr val="bg1"/>
              </a:solidFill>
              <a:effectLst/>
              <a:latin typeface="+mn-lt"/>
              <a:ea typeface="+mn-ea"/>
              <a:cs typeface="+mn-cs"/>
            </a:rPr>
            <a:t>1. </a:t>
          </a:r>
          <a:r>
            <a:rPr lang="en-US" sz="1100" b="1">
              <a:solidFill>
                <a:schemeClr val="bg1"/>
              </a:solidFill>
              <a:effectLst/>
              <a:latin typeface="+mn-lt"/>
              <a:ea typeface="+mn-ea"/>
              <a:cs typeface="+mn-cs"/>
            </a:rPr>
            <a:t>Define the Key Building Components</a:t>
          </a:r>
          <a:r>
            <a:rPr lang="en-US" sz="1100">
              <a:solidFill>
                <a:schemeClr val="bg1"/>
              </a:solidFill>
              <a:effectLst/>
              <a:latin typeface="+mn-lt"/>
              <a:ea typeface="+mn-ea"/>
              <a:cs typeface="+mn-cs"/>
            </a:rPr>
            <a:t>: Use the drop-down menu to select which components in Column C are relevant to the project. Deactivate those that are not by selecting ‘N/A’.</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2. Answer Scoring Questions</a:t>
          </a:r>
          <a:r>
            <a:rPr lang="en-US" sz="1100" b="1" baseline="0">
              <a:solidFill>
                <a:schemeClr val="bg1"/>
              </a:solidFill>
              <a:effectLst/>
              <a:latin typeface="+mn-lt"/>
              <a:ea typeface="+mn-ea"/>
              <a:cs typeface="+mn-cs"/>
            </a:rPr>
            <a:t> for flooding and soil-related hazards</a:t>
          </a:r>
          <a:r>
            <a:rPr lang="en-US" sz="1100">
              <a:solidFill>
                <a:schemeClr val="bg1"/>
              </a:solidFill>
              <a:effectLst/>
              <a:latin typeface="+mn-lt"/>
              <a:ea typeface="+mn-ea"/>
              <a:cs typeface="+mn-cs"/>
            </a:rPr>
            <a:t>: Answer questions Q2.1 to Q2.4 by assigning an</a:t>
          </a:r>
          <a:r>
            <a:rPr lang="en-US" sz="1100" baseline="0">
              <a:solidFill>
                <a:schemeClr val="bg1"/>
              </a:solidFill>
              <a:effectLst/>
              <a:latin typeface="+mn-lt"/>
              <a:ea typeface="+mn-ea"/>
              <a:cs typeface="+mn-cs"/>
            </a:rPr>
            <a:t> appropriate score to </a:t>
          </a:r>
          <a:r>
            <a:rPr lang="en-US" sz="1100">
              <a:solidFill>
                <a:schemeClr val="bg1"/>
              </a:solidFill>
              <a:effectLst/>
              <a:latin typeface="+mn-lt"/>
              <a:ea typeface="+mn-ea"/>
              <a:cs typeface="+mn-cs"/>
            </a:rPr>
            <a:t>the cells of Row 14 and below. Leave the cells of Row 13 blank, as they are meant to be used for the 'Single Component Assessment'.</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sensitivity score of each individual building component to flooding and soil-hazards</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will automatically appear in Column R, titled ‘Average Sensitivity Score’ – Rows 14 and below.</a:t>
          </a:r>
        </a:p>
        <a:p>
          <a:pPr eaLnBrk="1" fontAlgn="auto" latinLnBrk="0" hangingPunct="1"/>
          <a:endParaRPr lang="en-US">
            <a:solidFill>
              <a:schemeClr val="bg1"/>
            </a:solidFill>
            <a:effectLst/>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sz="1100" b="1">
              <a:solidFill>
                <a:schemeClr val="bg1"/>
              </a:solidFill>
              <a:effectLst/>
              <a:latin typeface="+mn-lt"/>
              <a:ea typeface="+mn-ea"/>
              <a:cs typeface="+mn-cs"/>
            </a:rPr>
            <a:t>Assess Adaptive Capacity</a:t>
          </a:r>
          <a:r>
            <a:rPr lang="en-US" sz="1100">
              <a:solidFill>
                <a:schemeClr val="bg1"/>
              </a:solidFill>
              <a:effectLst/>
              <a:latin typeface="+mn-lt"/>
              <a:ea typeface="+mn-ea"/>
              <a:cs typeface="+mn-cs"/>
            </a:rPr>
            <a:t>: Answer questions Q2.5 to Q2.7 to determine the 'Adaptive Capacity' of each component to extreme heat and wildfires. A non-zero ‘Adaptive Capacity’ score will automatically reduce the sensitivity of the component, which will appear in Column R, titled 'Final Sensitivity Score' – Rows 14 and below.</a:t>
          </a:r>
        </a:p>
        <a:p>
          <a:endParaRPr lang="en-US">
            <a:solidFill>
              <a:schemeClr val="bg1"/>
            </a:solidFill>
            <a:effectLst/>
          </a:endParaRPr>
        </a:p>
        <a:p>
          <a:r>
            <a:rPr lang="en-US" sz="1100" b="1">
              <a:solidFill>
                <a:schemeClr val="bg1"/>
              </a:solidFill>
              <a:effectLst/>
              <a:latin typeface="+mn-lt"/>
              <a:ea typeface="+mn-ea"/>
              <a:cs typeface="+mn-cs"/>
            </a:rPr>
            <a:t>5. Final Sensitivity Score Display</a:t>
          </a:r>
          <a:r>
            <a:rPr lang="en-US" sz="1100">
              <a:solidFill>
                <a:schemeClr val="bg1"/>
              </a:solidFill>
              <a:effectLst/>
              <a:latin typeface="+mn-lt"/>
              <a:ea typeface="+mn-ea"/>
              <a:cs typeface="+mn-cs"/>
            </a:rPr>
            <a:t>: The final sensitivity scores of all active components  will appear in Column</a:t>
          </a:r>
          <a:r>
            <a:rPr lang="en-US" sz="1100" baseline="0">
              <a:solidFill>
                <a:schemeClr val="bg1"/>
              </a:solidFill>
              <a:effectLst/>
              <a:latin typeface="+mn-lt"/>
              <a:ea typeface="+mn-ea"/>
              <a:cs typeface="+mn-cs"/>
            </a:rPr>
            <a:t> R</a:t>
          </a:r>
          <a:r>
            <a:rPr lang="en-US" sz="1100">
              <a:solidFill>
                <a:schemeClr val="bg1"/>
              </a:solidFill>
              <a:effectLst/>
              <a:latin typeface="+mn-lt"/>
              <a:ea typeface="+mn-ea"/>
              <a:cs typeface="+mn-cs"/>
            </a:rPr>
            <a:t> (in the respective cells) and will be automatically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transferred to the Water_Soil-Step3 tab.</a:t>
          </a:r>
          <a:endParaRPr lang="en-US">
            <a:solidFill>
              <a:schemeClr val="bg1"/>
            </a:solidFill>
            <a:effectLst/>
          </a:endParaRP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2F5A9A5B-277E-4C03-84B2-09DE29FFACA9}"/>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DE8B575D-067C-4709-8BB6-9930F27E670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569F01-5FD9-275E-AA82-1950892B0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5" name="Group 14">
          <a:hlinkClick xmlns:r="http://schemas.openxmlformats.org/officeDocument/2006/relationships" r:id="rId4"/>
          <a:extLst>
            <a:ext uri="{FF2B5EF4-FFF2-40B4-BE49-F238E27FC236}">
              <a16:creationId xmlns:a16="http://schemas.microsoft.com/office/drawing/2014/main" id="{358561A0-4D32-834C-1290-84C97E40A726}"/>
            </a:ext>
          </a:extLst>
        </xdr:cNvPr>
        <xdr:cNvGrpSpPr/>
      </xdr:nvGrpSpPr>
      <xdr:grpSpPr>
        <a:xfrm>
          <a:off x="1864237" y="193638"/>
          <a:ext cx="430458" cy="441912"/>
          <a:chOff x="1864237" y="193638"/>
          <a:chExt cx="430458" cy="477785"/>
        </a:xfrm>
      </xdr:grpSpPr>
      <xdr:sp macro="" textlink="">
        <xdr:nvSpPr>
          <xdr:cNvPr id="8" name="Rectangle: Rounded Corners 12">
            <a:extLst>
              <a:ext uri="{FF2B5EF4-FFF2-40B4-BE49-F238E27FC236}">
                <a16:creationId xmlns:a16="http://schemas.microsoft.com/office/drawing/2014/main" id="{1061B3AA-18C4-4DF0-8890-81039BB249F9}"/>
              </a:ext>
            </a:extLst>
          </xdr:cNvPr>
          <xdr:cNvSpPr/>
        </xdr:nvSpPr>
        <xdr:spPr>
          <a:xfrm>
            <a:off x="1864237" y="193638"/>
            <a:ext cx="430458" cy="477785"/>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CFE22EA9-9BAE-A9FE-3F18-AF496C01B148}"/>
              </a:ext>
            </a:extLst>
          </xdr:cNvPr>
          <xdr:cNvSpPr/>
        </xdr:nvSpPr>
        <xdr:spPr>
          <a:xfrm>
            <a:off x="1955357" y="294776"/>
            <a:ext cx="248218" cy="27550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6" name="Group 15">
          <a:hlinkClick xmlns:r="http://schemas.openxmlformats.org/officeDocument/2006/relationships" r:id="rId5"/>
          <a:extLst>
            <a:ext uri="{FF2B5EF4-FFF2-40B4-BE49-F238E27FC236}">
              <a16:creationId xmlns:a16="http://schemas.microsoft.com/office/drawing/2014/main" id="{4D5B80D2-3156-AD0E-4D51-ED104E1E4FB0}"/>
            </a:ext>
          </a:extLst>
        </xdr:cNvPr>
        <xdr:cNvGrpSpPr/>
      </xdr:nvGrpSpPr>
      <xdr:grpSpPr>
        <a:xfrm>
          <a:off x="1244567" y="193638"/>
          <a:ext cx="430458" cy="441912"/>
          <a:chOff x="1244567" y="193638"/>
          <a:chExt cx="430458" cy="477785"/>
        </a:xfrm>
      </xdr:grpSpPr>
      <xdr:sp macro="" textlink="">
        <xdr:nvSpPr>
          <xdr:cNvPr id="10" name="Rectangle: Rounded Corners 14">
            <a:extLst>
              <a:ext uri="{FF2B5EF4-FFF2-40B4-BE49-F238E27FC236}">
                <a16:creationId xmlns:a16="http://schemas.microsoft.com/office/drawing/2014/main" id="{4BCF29AF-50F2-A30C-2F63-39BD5E32CCB3}"/>
              </a:ext>
            </a:extLst>
          </xdr:cNvPr>
          <xdr:cNvSpPr/>
        </xdr:nvSpPr>
        <xdr:spPr>
          <a:xfrm>
            <a:off x="1244567" y="193638"/>
            <a:ext cx="430458" cy="477785"/>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747AC77E-2E25-E314-7414-26617EB7F51B}"/>
              </a:ext>
            </a:extLst>
          </xdr:cNvPr>
          <xdr:cNvSpPr/>
        </xdr:nvSpPr>
        <xdr:spPr>
          <a:xfrm rot="10800000">
            <a:off x="1335686" y="294776"/>
            <a:ext cx="248218" cy="27550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738770</xdr:colOff>
      <xdr:row>28</xdr:row>
      <xdr:rowOff>379958</xdr:rowOff>
    </xdr:from>
    <xdr:to>
      <xdr:col>0</xdr:col>
      <xdr:colOff>2012111</xdr:colOff>
      <xdr:row>29</xdr:row>
      <xdr:rowOff>137013</xdr:rowOff>
    </xdr:to>
    <xdr:sp macro="" textlink="">
      <xdr:nvSpPr>
        <xdr:cNvPr id="12" name="TextBox 10">
          <a:extLst>
            <a:ext uri="{FF2B5EF4-FFF2-40B4-BE49-F238E27FC236}">
              <a16:creationId xmlns:a16="http://schemas.microsoft.com/office/drawing/2014/main" id="{3EC18350-3EA5-4F1C-BB08-4116F71A59DC}"/>
            </a:ext>
          </a:extLst>
        </xdr:cNvPr>
        <xdr:cNvSpPr txBox="1"/>
      </xdr:nvSpPr>
      <xdr:spPr>
        <a:xfrm>
          <a:off x="738770" y="19096583"/>
          <a:ext cx="1273341" cy="471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78985</xdr:colOff>
      <xdr:row>29</xdr:row>
      <xdr:rowOff>216467</xdr:rowOff>
    </xdr:from>
    <xdr:to>
      <xdr:col>0</xdr:col>
      <xdr:colOff>2690633</xdr:colOff>
      <xdr:row>42</xdr:row>
      <xdr:rowOff>17318</xdr:rowOff>
    </xdr:to>
    <xdr:pic>
      <xdr:nvPicPr>
        <xdr:cNvPr id="13" name="Picture 11">
          <a:extLst>
            <a:ext uri="{FF2B5EF4-FFF2-40B4-BE49-F238E27FC236}">
              <a16:creationId xmlns:a16="http://schemas.microsoft.com/office/drawing/2014/main" id="{0F9E5587-5752-4803-B2FD-48ED2542D9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8985" y="19647467"/>
          <a:ext cx="2611648" cy="2721851"/>
        </a:xfrm>
        <a:prstGeom prst="rect">
          <a:avLst/>
        </a:prstGeom>
      </xdr:spPr>
    </xdr:pic>
    <xdr:clientData/>
  </xdr:twoCellAnchor>
  <xdr:twoCellAnchor>
    <xdr:from>
      <xdr:col>3</xdr:col>
      <xdr:colOff>623455</xdr:colOff>
      <xdr:row>8</xdr:row>
      <xdr:rowOff>427181</xdr:rowOff>
    </xdr:from>
    <xdr:to>
      <xdr:col>3</xdr:col>
      <xdr:colOff>796637</xdr:colOff>
      <xdr:row>9</xdr:row>
      <xdr:rowOff>342755</xdr:rowOff>
    </xdr:to>
    <xdr:sp macro="" textlink="">
      <xdr:nvSpPr>
        <xdr:cNvPr id="14" name="Βέλος: Κάτω 13">
          <a:extLst>
            <a:ext uri="{FF2B5EF4-FFF2-40B4-BE49-F238E27FC236}">
              <a16:creationId xmlns:a16="http://schemas.microsoft.com/office/drawing/2014/main" id="{885ADE5E-0728-4B22-9F27-52354290F35F}"/>
            </a:ext>
          </a:extLst>
        </xdr:cNvPr>
        <xdr:cNvSpPr/>
      </xdr:nvSpPr>
      <xdr:spPr>
        <a:xfrm>
          <a:off x="7259205" y="3570431"/>
          <a:ext cx="173182" cy="48707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2791319</xdr:colOff>
      <xdr:row>26</xdr:row>
      <xdr:rowOff>34635</xdr:rowOff>
    </xdr:to>
    <xdr:grpSp>
      <xdr:nvGrpSpPr>
        <xdr:cNvPr id="2" name="Group 5">
          <a:extLst>
            <a:ext uri="{FF2B5EF4-FFF2-40B4-BE49-F238E27FC236}">
              <a16:creationId xmlns:a16="http://schemas.microsoft.com/office/drawing/2014/main" id="{E161ECE2-0990-4E54-8488-3A0F206A91AA}"/>
            </a:ext>
          </a:extLst>
        </xdr:cNvPr>
        <xdr:cNvGrpSpPr/>
      </xdr:nvGrpSpPr>
      <xdr:grpSpPr>
        <a:xfrm>
          <a:off x="0" y="0"/>
          <a:ext cx="2791319" cy="12702885"/>
          <a:chOff x="11907" y="199718"/>
          <a:chExt cx="2784141" cy="12414272"/>
        </a:xfrm>
      </xdr:grpSpPr>
      <xdr:sp macro="" textlink="">
        <xdr:nvSpPr>
          <xdr:cNvPr id="3" name="Rectangle 6">
            <a:extLst>
              <a:ext uri="{FF2B5EF4-FFF2-40B4-BE49-F238E27FC236}">
                <a16:creationId xmlns:a16="http://schemas.microsoft.com/office/drawing/2014/main" id="{E7E36284-25ED-7B09-EE7E-373E0984224D}"/>
              </a:ext>
            </a:extLst>
          </xdr:cNvPr>
          <xdr:cNvSpPr/>
        </xdr:nvSpPr>
        <xdr:spPr>
          <a:xfrm>
            <a:off x="11907" y="199718"/>
            <a:ext cx="2784141" cy="1241427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7">
            <a:extLst>
              <a:ext uri="{FF2B5EF4-FFF2-40B4-BE49-F238E27FC236}">
                <a16:creationId xmlns:a16="http://schemas.microsoft.com/office/drawing/2014/main" id="{F14F8038-6EFF-43C0-E5A0-C3C8DAE3C9BD}"/>
              </a:ext>
            </a:extLst>
          </xdr:cNvPr>
          <xdr:cNvSpPr txBox="1"/>
        </xdr:nvSpPr>
        <xdr:spPr>
          <a:xfrm>
            <a:off x="159408" y="1101625"/>
            <a:ext cx="2291476" cy="3767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The scope of this step is to help users identify the building’s components that are  more</a:t>
            </a:r>
            <a:r>
              <a:rPr lang="en-US" sz="1100" b="0" baseline="0">
                <a:solidFill>
                  <a:schemeClr val="bg1"/>
                </a:solidFill>
                <a:latin typeface="+mn-lt"/>
              </a:rPr>
              <a:t> probable to</a:t>
            </a:r>
            <a:r>
              <a:rPr lang="en-US" sz="1100" b="0">
                <a:solidFill>
                  <a:schemeClr val="bg1"/>
                </a:solidFill>
                <a:latin typeface="+mn-lt"/>
              </a:rPr>
              <a:t> sustain damage in the event of</a:t>
            </a:r>
            <a:r>
              <a:rPr lang="en-US" sz="1100" b="0" baseline="0">
                <a:solidFill>
                  <a:schemeClr val="bg1"/>
                </a:solidFill>
                <a:latin typeface="+mn-lt"/>
              </a:rPr>
              <a:t> flooding or landslide</a:t>
            </a:r>
            <a:r>
              <a:rPr lang="en-US" sz="1100" b="0">
                <a:solidFill>
                  <a:schemeClr val="bg1"/>
                </a:solidFill>
                <a:latin typeface="+mn-lt"/>
              </a:rPr>
              <a:t>.</a:t>
            </a:r>
          </a:p>
          <a:p>
            <a:pPr marL="144000" indent="-144000" algn="l">
              <a:spcAft>
                <a:spcPts val="600"/>
              </a:spcAft>
              <a:buSzPct val="100000"/>
              <a:buFont typeface="+mj-lt"/>
              <a:buAutoNum type="arabicPeriod"/>
            </a:pPr>
            <a:r>
              <a:rPr lang="en-US" sz="1100" b="0">
                <a:solidFill>
                  <a:schemeClr val="bg1"/>
                </a:solidFill>
                <a:latin typeface="+mn-lt"/>
              </a:rPr>
              <a:t>The risk</a:t>
            </a:r>
            <a:r>
              <a:rPr lang="en-US" sz="1100" b="0" baseline="0">
                <a:solidFill>
                  <a:schemeClr val="bg1"/>
                </a:solidFill>
                <a:latin typeface="+mn-lt"/>
              </a:rPr>
              <a:t> </a:t>
            </a:r>
            <a:r>
              <a:rPr lang="en-US" sz="1100" b="0">
                <a:solidFill>
                  <a:schemeClr val="bg1"/>
                </a:solidFill>
                <a:latin typeface="+mn-lt"/>
              </a:rPr>
              <a:t>of each component is derived automatically by combining the sensitivity and the exposure scores of the previous Steps. Risks 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 scores are automatically transferred to Step 4, to inform</a:t>
            </a:r>
            <a:r>
              <a:rPr lang="en-US" sz="1100" b="0" baseline="0">
                <a:solidFill>
                  <a:schemeClr val="bg1"/>
                </a:solidFill>
                <a:latin typeface="+mn-lt"/>
              </a:rPr>
              <a:t> the </a:t>
            </a:r>
            <a:r>
              <a:rPr lang="en-US" sz="1100" b="0">
                <a:solidFill>
                  <a:schemeClr val="bg1"/>
                </a:solidFill>
                <a:latin typeface="+mn-lt"/>
              </a:rPr>
              <a:t>selection of adaptation measures. </a:t>
            </a:r>
          </a:p>
        </xdr:txBody>
      </xdr:sp>
      <xdr:grpSp>
        <xdr:nvGrpSpPr>
          <xdr:cNvPr id="19" name="Group 8">
            <a:extLst>
              <a:ext uri="{FF2B5EF4-FFF2-40B4-BE49-F238E27FC236}">
                <a16:creationId xmlns:a16="http://schemas.microsoft.com/office/drawing/2014/main" id="{79AD055D-BA3F-8265-31EB-1A02E373A1F7}"/>
              </a:ext>
            </a:extLst>
          </xdr:cNvPr>
          <xdr:cNvGrpSpPr/>
        </xdr:nvGrpSpPr>
        <xdr:grpSpPr>
          <a:xfrm>
            <a:off x="168460" y="379876"/>
            <a:ext cx="431173" cy="435489"/>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032D906B-9939-B33F-A437-21924156711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4FE835FE-F8DE-10B0-87C8-7ACDED657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2" name="Group 9">
            <a:extLst>
              <a:ext uri="{FF2B5EF4-FFF2-40B4-BE49-F238E27FC236}">
                <a16:creationId xmlns:a16="http://schemas.microsoft.com/office/drawing/2014/main" id="{307F3149-2D5F-1B51-6215-D00AB52F956C}"/>
              </a:ext>
            </a:extLst>
          </xdr:cNvPr>
          <xdr:cNvGrpSpPr/>
        </xdr:nvGrpSpPr>
        <xdr:grpSpPr>
          <a:xfrm>
            <a:off x="1258540" y="379876"/>
            <a:ext cx="1051872" cy="435489"/>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30564027-70C4-FD43-651D-3B5F1574C22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1BE0CD47-BE1D-5755-1494-8F9EC37D7CC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564D5591-E9EE-6989-FC14-8BA3F95E3F9C}"/>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86935C51-CDE1-C875-6C9A-D6D6E7B8DC08}"/>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 name="TextBox 10">
            <a:extLst>
              <a:ext uri="{FF2B5EF4-FFF2-40B4-BE49-F238E27FC236}">
                <a16:creationId xmlns:a16="http://schemas.microsoft.com/office/drawing/2014/main" id="{426408E2-8F1C-97CC-E98D-E61F4B8470D9}"/>
              </a:ext>
            </a:extLst>
          </xdr:cNvPr>
          <xdr:cNvSpPr txBox="1"/>
        </xdr:nvSpPr>
        <xdr:spPr>
          <a:xfrm>
            <a:off x="693356" y="4865280"/>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28" name="Picture 11">
            <a:extLst>
              <a:ext uri="{FF2B5EF4-FFF2-40B4-BE49-F238E27FC236}">
                <a16:creationId xmlns:a16="http://schemas.microsoft.com/office/drawing/2014/main" id="{012D4717-EA19-3809-389F-0C8A943A58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1612" y="5296544"/>
            <a:ext cx="2498921" cy="318294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23626</xdr:colOff>
      <xdr:row>66</xdr:row>
      <xdr:rowOff>413245</xdr:rowOff>
    </xdr:to>
    <xdr:grpSp>
      <xdr:nvGrpSpPr>
        <xdr:cNvPr id="90" name="Group 16">
          <a:extLst>
            <a:ext uri="{FF2B5EF4-FFF2-40B4-BE49-F238E27FC236}">
              <a16:creationId xmlns:a16="http://schemas.microsoft.com/office/drawing/2014/main" id="{C78D64F8-4618-441B-80A0-5BDCA93AF04C}"/>
            </a:ext>
          </a:extLst>
        </xdr:cNvPr>
        <xdr:cNvGrpSpPr/>
      </xdr:nvGrpSpPr>
      <xdr:grpSpPr>
        <a:xfrm>
          <a:off x="0" y="0"/>
          <a:ext cx="2799483" cy="27042424"/>
          <a:chOff x="11907" y="199718"/>
          <a:chExt cx="2784141" cy="27452509"/>
        </a:xfrm>
      </xdr:grpSpPr>
      <xdr:sp macro="" textlink="">
        <xdr:nvSpPr>
          <xdr:cNvPr id="91" name="Rectangle 17">
            <a:extLst>
              <a:ext uri="{FF2B5EF4-FFF2-40B4-BE49-F238E27FC236}">
                <a16:creationId xmlns:a16="http://schemas.microsoft.com/office/drawing/2014/main" id="{496A6D73-07EC-2499-D326-E7C5B901E68A}"/>
              </a:ext>
            </a:extLst>
          </xdr:cNvPr>
          <xdr:cNvSpPr/>
        </xdr:nvSpPr>
        <xdr:spPr>
          <a:xfrm>
            <a:off x="11907" y="199718"/>
            <a:ext cx="2784141" cy="2745250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18">
            <a:extLst>
              <a:ext uri="{FF2B5EF4-FFF2-40B4-BE49-F238E27FC236}">
                <a16:creationId xmlns:a16="http://schemas.microsoft.com/office/drawing/2014/main" id="{18DDFDD3-B12A-EFFB-872B-CA4CA59F831A}"/>
              </a:ext>
            </a:extLst>
          </xdr:cNvPr>
          <xdr:cNvSpPr txBox="1"/>
        </xdr:nvSpPr>
        <xdr:spPr>
          <a:xfrm>
            <a:off x="159408" y="1101624"/>
            <a:ext cx="2291476" cy="1176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000" b="0">
                <a:solidFill>
                  <a:schemeClr val="bg1"/>
                </a:solidFill>
                <a:latin typeface="+mn-lt"/>
              </a:rPr>
              <a:t>T</a:t>
            </a:r>
            <a:r>
              <a:rPr lang="en-US" sz="1100" b="0">
                <a:solidFill>
                  <a:schemeClr val="bg1"/>
                </a:solidFill>
                <a:latin typeface="+mn-lt"/>
              </a:rPr>
              <a:t>his step will inform users about the variety of adaptation measures that can be used to climate-proof buildings against flooding and soil-related</a:t>
            </a:r>
            <a:r>
              <a:rPr lang="en-US" sz="1100" b="0" baseline="0">
                <a:solidFill>
                  <a:schemeClr val="bg1"/>
                </a:solidFill>
                <a:latin typeface="+mn-lt"/>
              </a:rPr>
              <a:t> hazards</a:t>
            </a:r>
            <a:r>
              <a:rPr lang="en-US" sz="1100" b="0">
                <a:solidFill>
                  <a:schemeClr val="bg1"/>
                </a:solidFill>
                <a:latin typeface="+mn-lt"/>
              </a:rPr>
              <a:t>. The list of adaptation measures is displayed in Table 4.2. Every adaptation measure is linked</a:t>
            </a:r>
            <a:r>
              <a:rPr lang="en-US" sz="1100" b="0" baseline="0">
                <a:solidFill>
                  <a:schemeClr val="bg1"/>
                </a:solidFill>
                <a:latin typeface="+mn-lt"/>
              </a:rPr>
              <a:t> </a:t>
            </a:r>
            <a:r>
              <a:rPr lang="en-US" sz="1100" b="0">
                <a:solidFill>
                  <a:schemeClr val="bg1"/>
                </a:solidFill>
                <a:latin typeface="+mn-lt"/>
              </a:rPr>
              <a:t>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its risk. For ease of reference, the</a:t>
            </a:r>
            <a:r>
              <a:rPr lang="en-US" sz="1100" b="0" baseline="0">
                <a:solidFill>
                  <a:schemeClr val="bg1"/>
                </a:solidFill>
                <a:latin typeface="+mn-lt"/>
              </a:rPr>
              <a:t> risk of each component</a:t>
            </a:r>
            <a:r>
              <a:rPr lang="en-US" sz="1100" b="0">
                <a:solidFill>
                  <a:schemeClr val="bg1"/>
                </a:solidFill>
                <a:latin typeface="+mn-lt"/>
              </a:rPr>
              <a:t> is automatically transferred herein from the previous step. Select measures that offer protection to moderate</a:t>
            </a:r>
            <a:r>
              <a:rPr lang="en-US" sz="1100" b="0" baseline="0">
                <a:solidFill>
                  <a:schemeClr val="bg1"/>
                </a:solidFill>
                <a:latin typeface="+mn-lt"/>
              </a:rPr>
              <a:t> </a:t>
            </a:r>
            <a:r>
              <a:rPr lang="en-US" sz="1100" b="0">
                <a:solidFill>
                  <a:schemeClr val="bg1"/>
                </a:solidFill>
                <a:latin typeface="+mn-lt"/>
              </a:rPr>
              <a:t>or high</a:t>
            </a:r>
            <a:r>
              <a:rPr lang="en-US" sz="1100" b="0" baseline="0">
                <a:solidFill>
                  <a:schemeClr val="bg1"/>
                </a:solidFill>
                <a:latin typeface="+mn-lt"/>
              </a:rPr>
              <a:t> risk</a:t>
            </a:r>
            <a:r>
              <a:rPr lang="en-US" sz="1100" b="0">
                <a:solidFill>
                  <a:schemeClr val="bg1"/>
                </a:solidFill>
                <a:latin typeface="+mn-lt"/>
              </a:rPr>
              <a:t> components. Prioritize measures that: (i) offer higher protection;  (ii) can benefit multiple components; and (iii) are cost-efficient. Enter the list of selected measures in the Field 4.2.</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indent="-144000" algn="l">
              <a:spcAft>
                <a:spcPts val="600"/>
              </a:spcAft>
              <a:buSzPct val="100000"/>
              <a:buFont typeface="+mj-lt"/>
              <a:buAutoNum type="arabicPeriod"/>
            </a:pPr>
            <a:r>
              <a:rPr lang="en-US" sz="1100" b="0">
                <a:solidFill>
                  <a:schemeClr val="bg1"/>
                </a:solidFill>
                <a:latin typeface="+mn-lt"/>
              </a:rPr>
              <a:t> For each building component, determine the level of protection that is offered by the selected adaptation strategy and enter your response in the Field 4.3. In case the selection includes more than one measures, determine an aggregated level of protection considering complementarities between adaptation measures</a:t>
            </a:r>
            <a:r>
              <a:rPr lang="en-US" sz="1100" b="0" baseline="0">
                <a:solidFill>
                  <a:schemeClr val="bg1"/>
                </a:solidFill>
                <a:latin typeface="+mn-lt"/>
              </a:rPr>
              <a:t> and project-specific features and limitations.</a:t>
            </a:r>
            <a:endParaRPr lang="en-US" sz="1100" b="0">
              <a:solidFill>
                <a:schemeClr val="bg1"/>
              </a:solidFill>
              <a:latin typeface="+mn-lt"/>
            </a:endParaRPr>
          </a:p>
          <a:p>
            <a:pPr marL="144000" indent="-144000" algn="l">
              <a:spcAft>
                <a:spcPts val="600"/>
              </a:spcAft>
              <a:buSzPct val="100000"/>
              <a:buFont typeface="+mj-lt"/>
              <a:buAutoNum type="arabicPeriod"/>
            </a:pP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 score of each component will be displayed in field 4.4. The climate-proofing is considered successful when the residual risk of all buildings’ components (after the implementation of adaptation measures) is below</a:t>
            </a:r>
            <a:r>
              <a:rPr lang="en-US" sz="1100" b="0" baseline="0">
                <a:solidFill>
                  <a:schemeClr val="bg1"/>
                </a:solidFill>
                <a:latin typeface="+mn-lt"/>
              </a:rPr>
              <a:t> the maximum acceptable risk level</a:t>
            </a:r>
            <a:r>
              <a:rPr lang="en-US" sz="1100" b="0">
                <a:solidFill>
                  <a:schemeClr val="bg1"/>
                </a:solidFill>
                <a:latin typeface="+mn-lt"/>
              </a:rPr>
              <a:t>. If not, modify the adaptation strategy accordingly and repeat the assessment. </a:t>
            </a:r>
          </a:p>
        </xdr:txBody>
      </xdr:sp>
      <xdr:grpSp>
        <xdr:nvGrpSpPr>
          <xdr:cNvPr id="93" name="Group 19">
            <a:extLst>
              <a:ext uri="{FF2B5EF4-FFF2-40B4-BE49-F238E27FC236}">
                <a16:creationId xmlns:a16="http://schemas.microsoft.com/office/drawing/2014/main" id="{0277C5D4-0583-8E1D-0173-0A2364F7BA18}"/>
              </a:ext>
            </a:extLst>
          </xdr:cNvPr>
          <xdr:cNvGrpSpPr/>
        </xdr:nvGrpSpPr>
        <xdr:grpSpPr>
          <a:xfrm>
            <a:off x="168460" y="379876"/>
            <a:ext cx="431173" cy="435489"/>
            <a:chOff x="1238250" y="942975"/>
            <a:chExt cx="533400" cy="533400"/>
          </a:xfrm>
        </xdr:grpSpPr>
        <xdr:sp macro="" textlink="">
          <xdr:nvSpPr>
            <xdr:cNvPr id="94" name="Rectangle: Rounded Corners 27">
              <a:hlinkClick xmlns:r="http://schemas.openxmlformats.org/officeDocument/2006/relationships" r:id="rId1"/>
              <a:extLst>
                <a:ext uri="{FF2B5EF4-FFF2-40B4-BE49-F238E27FC236}">
                  <a16:creationId xmlns:a16="http://schemas.microsoft.com/office/drawing/2014/main" id="{B1D27B8D-B983-C21F-2105-2D909AAE675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5" name="Graphic 28" descr="Home with solid fill">
              <a:hlinkClick xmlns:r="http://schemas.openxmlformats.org/officeDocument/2006/relationships" r:id="rId1"/>
              <a:extLst>
                <a:ext uri="{FF2B5EF4-FFF2-40B4-BE49-F238E27FC236}">
                  <a16:creationId xmlns:a16="http://schemas.microsoft.com/office/drawing/2014/main" id="{7C236D93-0BFD-30CD-45E8-F3CF8E409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96" name="Group 20">
            <a:extLst>
              <a:ext uri="{FF2B5EF4-FFF2-40B4-BE49-F238E27FC236}">
                <a16:creationId xmlns:a16="http://schemas.microsoft.com/office/drawing/2014/main" id="{C7FAFA45-D72C-1830-9B83-C7A81B94084C}"/>
              </a:ext>
            </a:extLst>
          </xdr:cNvPr>
          <xdr:cNvGrpSpPr/>
        </xdr:nvGrpSpPr>
        <xdr:grpSpPr>
          <a:xfrm>
            <a:off x="1258540" y="379876"/>
            <a:ext cx="1051872" cy="435489"/>
            <a:chOff x="1037919" y="109140"/>
            <a:chExt cx="1301261" cy="533400"/>
          </a:xfrm>
        </xdr:grpSpPr>
        <xdr:sp macro="" textlink="">
          <xdr:nvSpPr>
            <xdr:cNvPr id="97" name="Rectangle: Rounded Corners 23">
              <a:hlinkClick xmlns:r="http://schemas.openxmlformats.org/officeDocument/2006/relationships" r:id="rId4"/>
              <a:extLst>
                <a:ext uri="{FF2B5EF4-FFF2-40B4-BE49-F238E27FC236}">
                  <a16:creationId xmlns:a16="http://schemas.microsoft.com/office/drawing/2014/main" id="{46B8C9F2-43F1-9C2D-8FA3-E6A8C8A8D3D3}"/>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Arrow: Right 24">
              <a:hlinkClick xmlns:r="http://schemas.openxmlformats.org/officeDocument/2006/relationships" r:id="rId4"/>
              <a:extLst>
                <a:ext uri="{FF2B5EF4-FFF2-40B4-BE49-F238E27FC236}">
                  <a16:creationId xmlns:a16="http://schemas.microsoft.com/office/drawing/2014/main" id="{8415C6DF-FF78-A242-88EB-042BA7D281B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Rectangle: Rounded Corners 25">
              <a:hlinkClick xmlns:r="http://schemas.openxmlformats.org/officeDocument/2006/relationships" r:id="rId5"/>
              <a:extLst>
                <a:ext uri="{FF2B5EF4-FFF2-40B4-BE49-F238E27FC236}">
                  <a16:creationId xmlns:a16="http://schemas.microsoft.com/office/drawing/2014/main" id="{540FB59C-FF8D-B2BA-9281-AF084EA0C788}"/>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Arrow: Right 26">
              <a:hlinkClick xmlns:r="http://schemas.openxmlformats.org/officeDocument/2006/relationships" r:id="rId5"/>
              <a:extLst>
                <a:ext uri="{FF2B5EF4-FFF2-40B4-BE49-F238E27FC236}">
                  <a16:creationId xmlns:a16="http://schemas.microsoft.com/office/drawing/2014/main" id="{674BB6C9-E331-B2F4-4744-8D140A6D52F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23</xdr:col>
      <xdr:colOff>47625</xdr:colOff>
      <xdr:row>23</xdr:row>
      <xdr:rowOff>225425</xdr:rowOff>
    </xdr:from>
    <xdr:to>
      <xdr:col>23</xdr:col>
      <xdr:colOff>509443</xdr:colOff>
      <xdr:row>23</xdr:row>
      <xdr:rowOff>225425</xdr:rowOff>
    </xdr:to>
    <xdr:cxnSp macro="">
      <xdr:nvCxnSpPr>
        <xdr:cNvPr id="4" name="Ευθύγραμμο βέλος σύνδεσης 3">
          <a:extLst>
            <a:ext uri="{FF2B5EF4-FFF2-40B4-BE49-F238E27FC236}">
              <a16:creationId xmlns:a16="http://schemas.microsoft.com/office/drawing/2014/main" id="{63566D87-1C51-4745-A89D-957F879F7F9D}"/>
            </a:ext>
          </a:extLst>
        </xdr:cNvPr>
        <xdr:cNvCxnSpPr/>
      </xdr:nvCxnSpPr>
      <xdr:spPr>
        <a:xfrm flipH="1">
          <a:off x="34544000" y="787717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607332</xdr:colOff>
      <xdr:row>19</xdr:row>
      <xdr:rowOff>41729</xdr:rowOff>
    </xdr:from>
    <xdr:to>
      <xdr:col>27</xdr:col>
      <xdr:colOff>559152</xdr:colOff>
      <xdr:row>26</xdr:row>
      <xdr:rowOff>123371</xdr:rowOff>
    </xdr:to>
    <xdr:sp macro="" textlink="">
      <xdr:nvSpPr>
        <xdr:cNvPr id="5" name="TextBox 3">
          <a:extLst>
            <a:ext uri="{FF2B5EF4-FFF2-40B4-BE49-F238E27FC236}">
              <a16:creationId xmlns:a16="http://schemas.microsoft.com/office/drawing/2014/main" id="{C18C0AED-E4DF-4FD1-B3D2-420D32D715CB}"/>
            </a:ext>
          </a:extLst>
        </xdr:cNvPr>
        <xdr:cNvSpPr txBox="1"/>
      </xdr:nvSpPr>
      <xdr:spPr>
        <a:xfrm>
          <a:off x="35202132" y="6823529"/>
          <a:ext cx="6581220" cy="2824842"/>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762453</xdr:colOff>
      <xdr:row>19</xdr:row>
      <xdr:rowOff>205016</xdr:rowOff>
    </xdr:from>
    <xdr:to>
      <xdr:col>27</xdr:col>
      <xdr:colOff>101600</xdr:colOff>
      <xdr:row>26</xdr:row>
      <xdr:rowOff>37194</xdr:rowOff>
    </xdr:to>
    <xdr:sp macro="" textlink="">
      <xdr:nvSpPr>
        <xdr:cNvPr id="6" name="TextBox 5">
          <a:extLst>
            <a:ext uri="{FF2B5EF4-FFF2-40B4-BE49-F238E27FC236}">
              <a16:creationId xmlns:a16="http://schemas.microsoft.com/office/drawing/2014/main" id="{B95945BA-9C5B-4953-8B8F-0F2EFD397B36}"/>
            </a:ext>
          </a:extLst>
        </xdr:cNvPr>
        <xdr:cNvSpPr txBox="1"/>
      </xdr:nvSpPr>
      <xdr:spPr>
        <a:xfrm>
          <a:off x="35357253" y="6986816"/>
          <a:ext cx="5968547" cy="257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xdr:colOff>
      <xdr:row>63</xdr:row>
      <xdr:rowOff>224517</xdr:rowOff>
    </xdr:to>
    <xdr:sp macro="" textlink="">
      <xdr:nvSpPr>
        <xdr:cNvPr id="36" name="Rectangle 11">
          <a:extLst>
            <a:ext uri="{FF2B5EF4-FFF2-40B4-BE49-F238E27FC236}">
              <a16:creationId xmlns:a16="http://schemas.microsoft.com/office/drawing/2014/main" id="{3B23D23F-110D-38EC-D075-3DF21B2A2171}"/>
            </a:ext>
          </a:extLst>
        </xdr:cNvPr>
        <xdr:cNvSpPr/>
      </xdr:nvSpPr>
      <xdr:spPr>
        <a:xfrm>
          <a:off x="0" y="0"/>
          <a:ext cx="2784219" cy="25753785"/>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147505</xdr:colOff>
      <xdr:row>2</xdr:row>
      <xdr:rowOff>307768</xdr:rowOff>
    </xdr:from>
    <xdr:to>
      <xdr:col>0</xdr:col>
      <xdr:colOff>2439045</xdr:colOff>
      <xdr:row>14</xdr:row>
      <xdr:rowOff>668762</xdr:rowOff>
    </xdr:to>
    <xdr:sp macro="" textlink="">
      <xdr:nvSpPr>
        <xdr:cNvPr id="37" name="TextBox 12">
          <a:extLst>
            <a:ext uri="{FF2B5EF4-FFF2-40B4-BE49-F238E27FC236}">
              <a16:creationId xmlns:a16="http://schemas.microsoft.com/office/drawing/2014/main" id="{C00F630F-2E54-5CB9-A1C7-E59CC057E5B8}"/>
            </a:ext>
          </a:extLst>
        </xdr:cNvPr>
        <xdr:cNvSpPr txBox="1"/>
      </xdr:nvSpPr>
      <xdr:spPr>
        <a:xfrm>
          <a:off x="147505" y="906482"/>
          <a:ext cx="2291540" cy="6729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Use Table 1.1 to assess the facility's exposure to extreme heat and wildfires and Table 1.2 to assess exposure to extreme cold and heavy snowfall. </a:t>
          </a:r>
        </a:p>
        <a:p>
          <a:pPr marL="144000" indent="-144000" algn="l">
            <a:spcAft>
              <a:spcPts val="600"/>
            </a:spcAft>
            <a:buSzPct val="100000"/>
            <a:buFont typeface="+mj-lt"/>
            <a:buAutoNum type="arabicPeriod"/>
          </a:pPr>
          <a:r>
            <a:rPr lang="en-US" sz="1100" b="0">
              <a:solidFill>
                <a:schemeClr val="bg1"/>
              </a:solidFill>
              <a:latin typeface="+mn-lt"/>
            </a:rPr>
            <a:t>Determine whether the conditions described in Table1.1 apply to the facility under study, and estimate the exposure level (Low, Medium, High) to extreme heat and wildfires by averaging individual scores. </a:t>
          </a:r>
        </a:p>
        <a:p>
          <a:pPr marL="144000" indent="-144000" algn="l">
            <a:spcAft>
              <a:spcPts val="600"/>
            </a:spcAft>
            <a:buSzPct val="100000"/>
            <a:buFont typeface="+mj-lt"/>
            <a:buAutoNum type="arabicPeriod"/>
          </a:pPr>
          <a:r>
            <a:rPr lang="en-US" sz="1100" b="0">
              <a:solidFill>
                <a:schemeClr val="bg1"/>
              </a:solidFill>
              <a:latin typeface="+mn-lt"/>
            </a:rPr>
            <a:t>Repeat the same procedure with the questions of Table 1.2 to etsimate the facility's exposure to extreme cold and heavy snowfall.</a:t>
          </a:r>
        </a:p>
        <a:p>
          <a:pPr marL="144000" indent="-144000" algn="l">
            <a:spcAft>
              <a:spcPts val="600"/>
            </a:spcAft>
            <a:buSzPct val="100000"/>
            <a:buFont typeface="+mj-lt"/>
            <a:buAutoNum type="arabicPeriod"/>
          </a:pPr>
          <a:r>
            <a:rPr lang="en-US" sz="1100" b="0">
              <a:solidFill>
                <a:schemeClr val="bg1"/>
              </a:solidFill>
              <a:latin typeface="+mn-lt"/>
            </a:rPr>
            <a:t>Look up the climate projections of IPCC (https://interactive-atlas.ipcc.ch) and observe how temperature patterns are expected to change in the future at a regional scale. Follow the probe Questions of Table 1.3 to estimate the climate-change multiplier for each condition described. Give a score &gt; 1 if climate conditions are becoming less favorable or  &lt; 1 if milder climate conditions are expected to materialize.  </a:t>
          </a:r>
        </a:p>
        <a:p>
          <a:pPr marL="144000" indent="-144000" algn="l">
            <a:spcAft>
              <a:spcPts val="600"/>
            </a:spcAft>
            <a:buSzPct val="100000"/>
            <a:buFont typeface="+mj-lt"/>
            <a:buAutoNum type="arabicPeriod"/>
          </a:pPr>
          <a:r>
            <a:rPr lang="en-US" sz="1100" b="0">
              <a:solidFill>
                <a:schemeClr val="bg1"/>
              </a:solidFill>
              <a:latin typeface="+mn-lt"/>
            </a:rPr>
            <a:t>Updated exposure levels (that are more representative of future climate conditions) will be automatically calculated for all threats. The maximum exposure score (between current and future) will transferred to Step 3 to inform the Vulnerability assessment. </a:t>
          </a:r>
        </a:p>
      </xdr:txBody>
    </xdr:sp>
    <xdr:clientData/>
  </xdr:twoCellAnchor>
  <xdr:twoCellAnchor editAs="oneCell">
    <xdr:from>
      <xdr:col>0</xdr:col>
      <xdr:colOff>156557</xdr:colOff>
      <xdr:row>0</xdr:row>
      <xdr:rowOff>181072</xdr:rowOff>
    </xdr:from>
    <xdr:to>
      <xdr:col>0</xdr:col>
      <xdr:colOff>587742</xdr:colOff>
      <xdr:row>2</xdr:row>
      <xdr:rowOff>20056</xdr:rowOff>
    </xdr:to>
    <xdr:grpSp>
      <xdr:nvGrpSpPr>
        <xdr:cNvPr id="38" name="Group 13">
          <a:extLst>
            <a:ext uri="{FF2B5EF4-FFF2-40B4-BE49-F238E27FC236}">
              <a16:creationId xmlns:a16="http://schemas.microsoft.com/office/drawing/2014/main" id="{CCAADCCF-7AE4-A48B-AE2A-AFBEFE8C525A}"/>
            </a:ext>
          </a:extLst>
        </xdr:cNvPr>
        <xdr:cNvGrpSpPr/>
      </xdr:nvGrpSpPr>
      <xdr:grpSpPr>
        <a:xfrm>
          <a:off x="156557" y="181072"/>
          <a:ext cx="431185" cy="446203"/>
          <a:chOff x="1238250" y="942975"/>
          <a:chExt cx="533400" cy="533400"/>
        </a:xfrm>
      </xdr:grpSpPr>
      <xdr:sp macro="" textlink="">
        <xdr:nvSpPr>
          <xdr:cNvPr id="39" name="Rectangle: Rounded Corners 21">
            <a:hlinkClick xmlns:r="http://schemas.openxmlformats.org/officeDocument/2006/relationships" r:id="rId1"/>
            <a:extLst>
              <a:ext uri="{FF2B5EF4-FFF2-40B4-BE49-F238E27FC236}">
                <a16:creationId xmlns:a16="http://schemas.microsoft.com/office/drawing/2014/main" id="{A6418D19-F663-5B28-8BA9-9F7DB0BC5D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22" descr="Home with solid fill">
            <a:hlinkClick xmlns:r="http://schemas.openxmlformats.org/officeDocument/2006/relationships" r:id="rId1"/>
            <a:extLst>
              <a:ext uri="{FF2B5EF4-FFF2-40B4-BE49-F238E27FC236}">
                <a16:creationId xmlns:a16="http://schemas.microsoft.com/office/drawing/2014/main" id="{FAE6E70E-C725-5300-FDC5-3050A861C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1867384</xdr:colOff>
      <xdr:row>0</xdr:row>
      <xdr:rowOff>181072</xdr:rowOff>
    </xdr:from>
    <xdr:to>
      <xdr:col>0</xdr:col>
      <xdr:colOff>2298569</xdr:colOff>
      <xdr:row>2</xdr:row>
      <xdr:rowOff>20056</xdr:rowOff>
    </xdr:to>
    <xdr:grpSp>
      <xdr:nvGrpSpPr>
        <xdr:cNvPr id="2" name="Group 1">
          <a:hlinkClick xmlns:r="http://schemas.openxmlformats.org/officeDocument/2006/relationships" r:id="rId4"/>
          <a:extLst>
            <a:ext uri="{FF2B5EF4-FFF2-40B4-BE49-F238E27FC236}">
              <a16:creationId xmlns:a16="http://schemas.microsoft.com/office/drawing/2014/main" id="{6EEAFC2C-4B54-52C4-896F-C5A6FB7E564F}"/>
            </a:ext>
          </a:extLst>
        </xdr:cNvPr>
        <xdr:cNvGrpSpPr/>
      </xdr:nvGrpSpPr>
      <xdr:grpSpPr>
        <a:xfrm>
          <a:off x="1867384" y="181072"/>
          <a:ext cx="431185" cy="446203"/>
          <a:chOff x="1867384" y="181072"/>
          <a:chExt cx="431185" cy="448584"/>
        </a:xfrm>
      </xdr:grpSpPr>
      <xdr:sp macro="" textlink="">
        <xdr:nvSpPr>
          <xdr:cNvPr id="42" name="Rectangle: Rounded Corners 17">
            <a:extLst>
              <a:ext uri="{FF2B5EF4-FFF2-40B4-BE49-F238E27FC236}">
                <a16:creationId xmlns:a16="http://schemas.microsoft.com/office/drawing/2014/main" id="{9193C3A3-9F97-4EDB-B3FB-D81217F7920A}"/>
              </a:ext>
            </a:extLst>
          </xdr:cNvPr>
          <xdr:cNvSpPr/>
        </xdr:nvSpPr>
        <xdr:spPr>
          <a:xfrm>
            <a:off x="1867384" y="181072"/>
            <a:ext cx="431185" cy="448584"/>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Arrow: Right 18">
            <a:extLst>
              <a:ext uri="{FF2B5EF4-FFF2-40B4-BE49-F238E27FC236}">
                <a16:creationId xmlns:a16="http://schemas.microsoft.com/office/drawing/2014/main" id="{1E90B750-F630-1FF0-339D-28D4C633B5EA}"/>
              </a:ext>
            </a:extLst>
          </xdr:cNvPr>
          <xdr:cNvSpPr/>
        </xdr:nvSpPr>
        <xdr:spPr>
          <a:xfrm>
            <a:off x="1958658" y="276029"/>
            <a:ext cx="248637" cy="25867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1246668</xdr:colOff>
      <xdr:row>0</xdr:row>
      <xdr:rowOff>181072</xdr:rowOff>
    </xdr:from>
    <xdr:to>
      <xdr:col>0</xdr:col>
      <xdr:colOff>1677853</xdr:colOff>
      <xdr:row>2</xdr:row>
      <xdr:rowOff>20056</xdr:rowOff>
    </xdr:to>
    <xdr:grpSp>
      <xdr:nvGrpSpPr>
        <xdr:cNvPr id="3" name="Group 2">
          <a:hlinkClick xmlns:r="http://schemas.openxmlformats.org/officeDocument/2006/relationships" r:id="rId5"/>
          <a:extLst>
            <a:ext uri="{FF2B5EF4-FFF2-40B4-BE49-F238E27FC236}">
              <a16:creationId xmlns:a16="http://schemas.microsoft.com/office/drawing/2014/main" id="{9EA6B320-FDB9-AD12-829D-3BE513D92F2D}"/>
            </a:ext>
          </a:extLst>
        </xdr:cNvPr>
        <xdr:cNvGrpSpPr/>
      </xdr:nvGrpSpPr>
      <xdr:grpSpPr>
        <a:xfrm>
          <a:off x="1246668" y="181072"/>
          <a:ext cx="431185" cy="446203"/>
          <a:chOff x="1246668" y="181072"/>
          <a:chExt cx="431185" cy="448584"/>
        </a:xfrm>
      </xdr:grpSpPr>
      <xdr:sp macro="" textlink="">
        <xdr:nvSpPr>
          <xdr:cNvPr id="44" name="Rectangle: Rounded Corners 19">
            <a:extLst>
              <a:ext uri="{FF2B5EF4-FFF2-40B4-BE49-F238E27FC236}">
                <a16:creationId xmlns:a16="http://schemas.microsoft.com/office/drawing/2014/main" id="{FC720ABF-85AE-862C-4FD1-6EC8D4001F76}"/>
              </a:ext>
            </a:extLst>
          </xdr:cNvPr>
          <xdr:cNvSpPr/>
        </xdr:nvSpPr>
        <xdr:spPr>
          <a:xfrm>
            <a:off x="1246668" y="181072"/>
            <a:ext cx="431185" cy="448584"/>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Arrow: Right 20">
            <a:extLst>
              <a:ext uri="{FF2B5EF4-FFF2-40B4-BE49-F238E27FC236}">
                <a16:creationId xmlns:a16="http://schemas.microsoft.com/office/drawing/2014/main" id="{E6A0BDFA-00D9-7F46-16A5-636D6223588C}"/>
              </a:ext>
            </a:extLst>
          </xdr:cNvPr>
          <xdr:cNvSpPr/>
        </xdr:nvSpPr>
        <xdr:spPr>
          <a:xfrm rot="10800000">
            <a:off x="1337941" y="276029"/>
            <a:ext cx="248637" cy="258670"/>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630425</xdr:colOff>
      <xdr:row>14</xdr:row>
      <xdr:rowOff>803138</xdr:rowOff>
    </xdr:from>
    <xdr:to>
      <xdr:col>0</xdr:col>
      <xdr:colOff>2133434</xdr:colOff>
      <xdr:row>14</xdr:row>
      <xdr:rowOff>1274916</xdr:rowOff>
    </xdr:to>
    <xdr:sp macro="" textlink="">
      <xdr:nvSpPr>
        <xdr:cNvPr id="46" name="TextBox 15">
          <a:extLst>
            <a:ext uri="{FF2B5EF4-FFF2-40B4-BE49-F238E27FC236}">
              <a16:creationId xmlns:a16="http://schemas.microsoft.com/office/drawing/2014/main" id="{8307EC36-7580-E2B9-6B0B-C39E888231B5}"/>
            </a:ext>
          </a:extLst>
        </xdr:cNvPr>
        <xdr:cNvSpPr txBox="1"/>
      </xdr:nvSpPr>
      <xdr:spPr>
        <a:xfrm>
          <a:off x="630425" y="7769995"/>
          <a:ext cx="1503009" cy="471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EXPOSURE LEVEL</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editAs="oneCell">
    <xdr:from>
      <xdr:col>0</xdr:col>
      <xdr:colOff>83767</xdr:colOff>
      <xdr:row>14</xdr:row>
      <xdr:rowOff>1346576</xdr:rowOff>
    </xdr:from>
    <xdr:to>
      <xdr:col>0</xdr:col>
      <xdr:colOff>2586608</xdr:colOff>
      <xdr:row>23</xdr:row>
      <xdr:rowOff>163584</xdr:rowOff>
    </xdr:to>
    <xdr:pic>
      <xdr:nvPicPr>
        <xdr:cNvPr id="47" name="Picture 16">
          <a:extLst>
            <a:ext uri="{FF2B5EF4-FFF2-40B4-BE49-F238E27FC236}">
              <a16:creationId xmlns:a16="http://schemas.microsoft.com/office/drawing/2014/main" id="{D903183A-390E-678E-689D-1CD8782745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3767" y="8313433"/>
          <a:ext cx="2502841" cy="2631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2308</xdr:rowOff>
    </xdr:from>
    <xdr:to>
      <xdr:col>0</xdr:col>
      <xdr:colOff>2779526</xdr:colOff>
      <xdr:row>40</xdr:row>
      <xdr:rowOff>239280</xdr:rowOff>
    </xdr:to>
    <xdr:sp macro="" textlink="">
      <xdr:nvSpPr>
        <xdr:cNvPr id="2" name="Rectangle 6">
          <a:extLst>
            <a:ext uri="{FF2B5EF4-FFF2-40B4-BE49-F238E27FC236}">
              <a16:creationId xmlns:a16="http://schemas.microsoft.com/office/drawing/2014/main" id="{187FB087-D7DD-4A4D-BAB8-1DAED2DC38C6}"/>
            </a:ext>
          </a:extLst>
        </xdr:cNvPr>
        <xdr:cNvSpPr/>
      </xdr:nvSpPr>
      <xdr:spPr>
        <a:xfrm>
          <a:off x="0" y="2308"/>
          <a:ext cx="2779526" cy="2796309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474014</xdr:rowOff>
    </xdr:from>
    <xdr:to>
      <xdr:col>0</xdr:col>
      <xdr:colOff>2434935</xdr:colOff>
      <xdr:row>29</xdr:row>
      <xdr:rowOff>74706</xdr:rowOff>
    </xdr:to>
    <xdr:sp macro="" textlink="">
      <xdr:nvSpPr>
        <xdr:cNvPr id="3" name="TextBox 7">
          <a:extLst>
            <a:ext uri="{FF2B5EF4-FFF2-40B4-BE49-F238E27FC236}">
              <a16:creationId xmlns:a16="http://schemas.microsoft.com/office/drawing/2014/main" id="{21EE6D3B-D26B-4F81-9F17-69C6BB3C49FB}"/>
            </a:ext>
          </a:extLst>
        </xdr:cNvPr>
        <xdr:cNvSpPr txBox="1"/>
      </xdr:nvSpPr>
      <xdr:spPr>
        <a:xfrm>
          <a:off x="147257" y="922249"/>
          <a:ext cx="2287678" cy="2072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0" indent="0" algn="l">
            <a:spcAft>
              <a:spcPts val="1200"/>
            </a:spcAft>
            <a:buSzPct val="150000"/>
            <a:buFont typeface="Arial" panose="020B0604020202020204" pitchFamily="34" charset="0"/>
            <a:buNone/>
          </a:pPr>
          <a:r>
            <a:rPr lang="en-US" sz="1100" b="0">
              <a:solidFill>
                <a:schemeClr val="bg1"/>
              </a:solidFill>
              <a:latin typeface="+mn-lt"/>
            </a:rPr>
            <a:t>The scope of this step is to help users assess the sensitivity of the various building components to heatwaves</a:t>
          </a:r>
          <a:r>
            <a:rPr lang="en-US" sz="1100" b="0" baseline="0">
              <a:solidFill>
                <a:schemeClr val="bg1"/>
              </a:solidFill>
              <a:latin typeface="+mn-lt"/>
            </a:rPr>
            <a:t>, wildfires and cold spells.</a:t>
          </a:r>
          <a:endParaRPr lang="en-US" sz="1100" b="0">
            <a:solidFill>
              <a:schemeClr val="bg1"/>
            </a:solidFill>
            <a:latin typeface="+mn-lt"/>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0">
              <a:solidFill>
                <a:schemeClr val="bg1"/>
              </a:solidFill>
              <a:latin typeface="+mn-lt"/>
            </a:rPr>
            <a:t>1. The</a:t>
          </a:r>
          <a:r>
            <a:rPr lang="en-US" sz="1100" b="0" baseline="0">
              <a:solidFill>
                <a:schemeClr val="bg1"/>
              </a:solidFill>
              <a:latin typeface="+mn-lt"/>
            </a:rPr>
            <a:t> </a:t>
          </a:r>
          <a:r>
            <a:rPr lang="en-US" sz="1100" b="0">
              <a:solidFill>
                <a:schemeClr val="bg1"/>
              </a:solidFill>
              <a:latin typeface="+mn-lt"/>
            </a:rPr>
            <a:t>building type selection</a:t>
          </a:r>
          <a:r>
            <a:rPr lang="en-US" sz="1100" b="0" baseline="0">
              <a:solidFill>
                <a:schemeClr val="bg1"/>
              </a:solidFill>
              <a:latin typeface="+mn-lt"/>
            </a:rPr>
            <a:t> is transferred herein from the 'Water_Soil-Step 2' tab and cannot be modified. </a:t>
          </a:r>
          <a:endParaRPr lang="en-US" sz="1100" b="0">
            <a:solidFill>
              <a:schemeClr val="bg1"/>
            </a:solidFill>
            <a:latin typeface="+mn-lt"/>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1">
              <a:solidFill>
                <a:schemeClr val="bg1"/>
              </a:solidFill>
              <a:effectLst/>
              <a:latin typeface="+mn-lt"/>
              <a:ea typeface="+mn-ea"/>
              <a:cs typeface="+mn-cs"/>
            </a:rPr>
            <a:t>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300" b="1">
              <a:solidFill>
                <a:srgbClr val="FFCCFF"/>
              </a:solidFill>
              <a:effectLst/>
              <a:latin typeface="+mn-lt"/>
              <a:ea typeface="+mn-ea"/>
              <a:cs typeface="+mn-cs"/>
            </a:rPr>
            <a:t>SIMPLIFIED</a:t>
          </a:r>
          <a:r>
            <a:rPr lang="en-US" sz="1300" b="1" baseline="0">
              <a:solidFill>
                <a:srgbClr val="FFCCFF"/>
              </a:solidFill>
              <a:effectLst/>
              <a:latin typeface="+mn-lt"/>
              <a:ea typeface="+mn-ea"/>
              <a:cs typeface="+mn-cs"/>
            </a:rPr>
            <a:t> ASSESSMENT </a:t>
          </a:r>
          <a:br>
            <a:rPr lang="en-US" sz="1300" b="1" baseline="0">
              <a:solidFill>
                <a:schemeClr val="bg1"/>
              </a:solidFill>
              <a:effectLst/>
              <a:latin typeface="+mn-lt"/>
              <a:ea typeface="+mn-ea"/>
              <a:cs typeface="+mn-cs"/>
            </a:rPr>
          </a:br>
          <a:r>
            <a:rPr lang="en-US" sz="1300" b="1" baseline="0">
              <a:solidFill>
                <a:schemeClr val="bg1"/>
              </a:solidFill>
              <a:effectLst/>
              <a:latin typeface="+mn-lt"/>
              <a:ea typeface="+mn-ea"/>
              <a:cs typeface="+mn-cs"/>
            </a:rPr>
            <a:t>(performed if the building is a Small Residence/Office/ Shop)</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0" baseline="0">
              <a:solidFill>
                <a:schemeClr val="bg1"/>
              </a:solidFill>
              <a:effectLst/>
              <a:latin typeface="+mn-lt"/>
              <a:ea typeface="+mn-ea"/>
              <a:cs typeface="+mn-cs"/>
            </a:rPr>
            <a:t>1. </a:t>
          </a:r>
          <a:r>
            <a:rPr lang="en-US" b="1">
              <a:solidFill>
                <a:schemeClr val="bg1"/>
              </a:solidFill>
            </a:rPr>
            <a:t>Apply N/A to Gray Cells</a:t>
          </a:r>
          <a:r>
            <a:rPr lang="en-US">
              <a:solidFill>
                <a:schemeClr val="bg1"/>
              </a:solidFill>
            </a:rPr>
            <a:t>: Use the drop-down menu in Column D titled 'SELECTION' to apply the 'N/A' entry to all gray-colored cells.</a:t>
          </a:r>
          <a:endParaRPr lang="en-US" sz="1100" b="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a:solidFill>
                <a:schemeClr val="bg1"/>
              </a:solidFill>
              <a:effectLst/>
              <a:latin typeface="+mn-lt"/>
              <a:ea typeface="+mn-ea"/>
              <a:cs typeface="+mn-cs"/>
            </a:rPr>
            <a:t>2. </a:t>
          </a:r>
          <a:r>
            <a:rPr lang="en-US" b="1">
              <a:solidFill>
                <a:schemeClr val="bg1"/>
              </a:solidFill>
            </a:rPr>
            <a:t>Answer Scoring Questions for Heatwaves/Wildfires</a:t>
          </a:r>
          <a:r>
            <a:rPr lang="en-US">
              <a:solidFill>
                <a:schemeClr val="bg1"/>
              </a:solidFill>
            </a:rPr>
            <a:t>: Answer questions Q2.1 to Q2.4 by assigning a score of 0 or 3 to the cells of</a:t>
          </a:r>
          <a:r>
            <a:rPr lang="en-US" baseline="0">
              <a:solidFill>
                <a:schemeClr val="bg1"/>
              </a:solidFill>
            </a:rPr>
            <a:t> </a:t>
          </a:r>
          <a:r>
            <a:rPr lang="en-US">
              <a:solidFill>
                <a:schemeClr val="bg1"/>
              </a:solidFill>
            </a:rPr>
            <a:t>Row 13. For simplified assessments, leave</a:t>
          </a:r>
          <a:r>
            <a:rPr lang="en-US" baseline="0">
              <a:solidFill>
                <a:schemeClr val="bg1"/>
              </a:solidFill>
            </a:rPr>
            <a:t>  the subsequent rows blank.</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3. View Preliminary Sensitivity Score</a:t>
          </a:r>
          <a:r>
            <a:rPr lang="en-US">
              <a:solidFill>
                <a:schemeClr val="bg1"/>
              </a:solidFill>
            </a:rPr>
            <a:t>: The building's preliminary sensitivity to heatwaves and wildfires will automatically appear in Column K</a:t>
          </a:r>
          <a:r>
            <a:rPr lang="en-US" baseline="0">
              <a:solidFill>
                <a:schemeClr val="bg1"/>
              </a:solidFill>
            </a:rPr>
            <a:t> titled</a:t>
          </a:r>
          <a:r>
            <a:rPr lang="en-US">
              <a:solidFill>
                <a:schemeClr val="bg1"/>
              </a:solidFill>
            </a:rPr>
            <a:t> 'Average Sensitivity Score'.</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4. Assess Adaptive Capacity</a:t>
          </a:r>
          <a:r>
            <a:rPr lang="en-US">
              <a:solidFill>
                <a:schemeClr val="bg1"/>
              </a:solidFill>
            </a:rPr>
            <a:t>: Answer questions Q2.5 and Q2.6 to assess the building's 'Adaptive Capacity' ( i.e.,</a:t>
          </a:r>
          <a:r>
            <a:rPr lang="en-US" baseline="0">
              <a:solidFill>
                <a:schemeClr val="bg1"/>
              </a:solidFill>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a:solidFill>
                <a:schemeClr val="bg1"/>
              </a:solidFill>
            </a:rPr>
            <a:t>to the threats mentioned. A non-zero score in 'Adaptive Capacity' will automatically lower the building's sensitivity, which will</a:t>
          </a:r>
          <a:r>
            <a:rPr lang="en-US" baseline="0">
              <a:solidFill>
                <a:schemeClr val="bg1"/>
              </a:solidFill>
            </a:rPr>
            <a:t> be presented </a:t>
          </a:r>
          <a:r>
            <a:rPr lang="en-US">
              <a:solidFill>
                <a:schemeClr val="bg1"/>
              </a:solidFill>
            </a:rPr>
            <a:t>in Column Q titled</a:t>
          </a:r>
          <a:r>
            <a:rPr lang="en-US" baseline="0">
              <a:solidFill>
                <a:schemeClr val="bg1"/>
              </a:solidFill>
            </a:rPr>
            <a:t> </a:t>
          </a:r>
          <a:r>
            <a:rPr lang="en-US">
              <a:solidFill>
                <a:schemeClr val="bg1"/>
              </a:solidFill>
            </a:rPr>
            <a:t> 'Final Sensitivity Score'.</a:t>
          </a:r>
          <a:endParaRPr lang="en-US" sz="1100" b="0">
            <a:solidFill>
              <a:schemeClr val="bg1"/>
            </a:solidFill>
            <a:effectLst/>
            <a:latin typeface="+mn-lt"/>
            <a:ea typeface="+mn-ea"/>
            <a:cs typeface="+mn-cs"/>
          </a:endParaRPr>
        </a:p>
        <a:p>
          <a:pPr eaLnBrk="1" fontAlgn="auto" latinLnBrk="0" hangingPunct="1"/>
          <a:r>
            <a:rPr lang="en-US" sz="1100" b="1" baseline="0">
              <a:solidFill>
                <a:schemeClr val="bg1"/>
              </a:solidFill>
              <a:effectLst/>
              <a:latin typeface="+mn-lt"/>
              <a:ea typeface="+mn-ea"/>
              <a:cs typeface="+mn-cs"/>
            </a:rPr>
            <a:t>5. </a:t>
          </a:r>
          <a:r>
            <a:rPr lang="en-US" b="1">
              <a:solidFill>
                <a:schemeClr val="bg1"/>
              </a:solidFill>
            </a:rPr>
            <a:t>Assess for Cold Spells</a:t>
          </a:r>
          <a:r>
            <a:rPr lang="en-US">
              <a:solidFill>
                <a:schemeClr val="bg1"/>
              </a:solidFill>
            </a:rPr>
            <a:t>: Repeat the assessment for cold spells by answering questions Q2.7 to Q2.10 and Q2.11 to Q2.12. Enter your responses only in the cells of Row 40.</a:t>
          </a:r>
          <a:endParaRPr lang="en-US" sz="1100" b="1" baseline="0">
            <a:solidFill>
              <a:schemeClr val="bg1"/>
            </a:solidFill>
            <a:effectLst/>
            <a:latin typeface="+mn-lt"/>
            <a:ea typeface="+mn-ea"/>
            <a:cs typeface="+mn-cs"/>
          </a:endParaRPr>
        </a:p>
        <a:p>
          <a:pPr eaLnBrk="1" fontAlgn="auto" latinLnBrk="0" hangingPunct="1"/>
          <a:endParaRPr lang="en-US" sz="1100" b="1" baseline="0">
            <a:solidFill>
              <a:schemeClr val="bg1"/>
            </a:solidFill>
            <a:effectLst/>
            <a:latin typeface="+mn-lt"/>
            <a:ea typeface="+mn-ea"/>
            <a:cs typeface="+mn-cs"/>
          </a:endParaRPr>
        </a:p>
        <a:p>
          <a:pPr eaLnBrk="1" fontAlgn="auto" latinLnBrk="0" hangingPunct="1"/>
          <a:r>
            <a:rPr lang="en-US" b="1">
              <a:solidFill>
                <a:schemeClr val="bg1"/>
              </a:solidFill>
            </a:rPr>
            <a:t>6. Final Sensitivity Score Display</a:t>
          </a:r>
          <a:r>
            <a:rPr lang="en-US">
              <a:solidFill>
                <a:schemeClr val="bg1"/>
              </a:solidFill>
            </a:rPr>
            <a:t>: The 'Final Sensitivity Score' for both 'Extreme Heat' and 'Extreme Cold' will automatically appear in Column Q, under Rows 13 and 40 respectively.</a:t>
          </a:r>
          <a:endParaRPr lang="en-US" sz="1100" b="1" baseline="0">
            <a:solidFill>
              <a:schemeClr val="bg1"/>
            </a:solidFill>
            <a:effectLst/>
            <a:latin typeface="+mn-lt"/>
            <a:ea typeface="+mn-ea"/>
            <a:cs typeface="+mn-cs"/>
          </a:endParaRPr>
        </a:p>
        <a:p>
          <a:pPr eaLnBrk="1" fontAlgn="auto" latinLnBrk="0" hangingPunct="1"/>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a:solidFill>
                <a:schemeClr val="bg1"/>
              </a:solidFill>
              <a:effectLst/>
            </a:rPr>
            <a:t>______________________________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300" b="1" baseline="0">
              <a:solidFill>
                <a:srgbClr val="FFCCFF"/>
              </a:solidFill>
              <a:effectLst/>
              <a:latin typeface="+mn-lt"/>
              <a:ea typeface="+mn-ea"/>
              <a:cs typeface="+mn-cs"/>
            </a:rPr>
            <a:t>MULTI-COMPONENT ASSESSMENT </a:t>
          </a:r>
          <a:r>
            <a:rPr lang="en-US" sz="1300" b="1" baseline="0">
              <a:solidFill>
                <a:schemeClr val="bg1"/>
              </a:solidFill>
              <a:effectLst/>
              <a:latin typeface="+mn-lt"/>
              <a:ea typeface="+mn-ea"/>
              <a:cs typeface="+mn-cs"/>
            </a:rPr>
            <a:t>(</a:t>
          </a:r>
          <a:r>
            <a:rPr lang="en-US" sz="1300" b="0" baseline="0">
              <a:solidFill>
                <a:schemeClr val="bg1"/>
              </a:solidFill>
              <a:effectLst/>
              <a:latin typeface="+mn-lt"/>
              <a:ea typeface="+mn-ea"/>
              <a:cs typeface="+mn-cs"/>
            </a:rPr>
            <a:t>f</a:t>
          </a:r>
          <a:r>
            <a:rPr lang="en-US" sz="1300">
              <a:solidFill>
                <a:schemeClr val="bg1"/>
              </a:solidFill>
              <a:effectLst/>
              <a:latin typeface="+mn-lt"/>
              <a:ea typeface="+mn-ea"/>
              <a:cs typeface="+mn-cs"/>
            </a:rPr>
            <a:t>or all other facilities and</a:t>
          </a:r>
          <a:r>
            <a:rPr lang="en-US" sz="1300" baseline="0">
              <a:solidFill>
                <a:schemeClr val="bg1"/>
              </a:solidFill>
              <a:effectLst/>
              <a:latin typeface="+mn-lt"/>
              <a:ea typeface="+mn-ea"/>
              <a:cs typeface="+mn-cs"/>
            </a:rPr>
            <a:t> bigger residences)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aseline="0">
              <a:solidFill>
                <a:schemeClr val="bg1"/>
              </a:solidFill>
              <a:effectLst/>
              <a:latin typeface="+mn-lt"/>
              <a:ea typeface="+mn-ea"/>
              <a:cs typeface="+mn-cs"/>
            </a:rPr>
            <a:t>1. </a:t>
          </a:r>
          <a:r>
            <a:rPr lang="en-US" b="1">
              <a:solidFill>
                <a:schemeClr val="bg1"/>
              </a:solidFill>
            </a:rPr>
            <a:t>Define the Key Building Components</a:t>
          </a:r>
          <a:r>
            <a:rPr lang="en-US">
              <a:solidFill>
                <a:schemeClr val="bg1"/>
              </a:solidFill>
            </a:rPr>
            <a:t>: Use the drop-down menu to select which components in Column C are relevant to the project. Deactivate those that are not by selecting ‘N/A’.</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2. Answer Scoring Questions for Heatwaves/Wildfires</a:t>
          </a:r>
          <a:r>
            <a:rPr lang="en-US">
              <a:solidFill>
                <a:schemeClr val="bg1"/>
              </a:solidFill>
            </a:rPr>
            <a:t>: Answer questions Q2.1 to Q2.4 by assigning a score of 0 or 3 to the cells of Row 14 and below. Leave the cells of Row 13 blank, as they are meant to be used for the 'Single Component Assessment'.</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3. View Preliminary Sensitivity Score</a:t>
          </a:r>
          <a:r>
            <a:rPr lang="en-US">
              <a:solidFill>
                <a:schemeClr val="bg1"/>
              </a:solidFill>
            </a:rPr>
            <a:t>: The sensitivity score of each individual building component to heatwaves and wildfires will automatically appear in Column K, titled ‘Average Sensitivity Score’ – Rows 14 and below.</a:t>
          </a:r>
          <a:endParaRPr lang="en-US" sz="1100" b="1">
            <a:solidFill>
              <a:schemeClr val="bg1"/>
            </a:solidFill>
            <a:effectLst/>
            <a:latin typeface="+mn-lt"/>
            <a:ea typeface="+mn-ea"/>
            <a:cs typeface="+mn-cs"/>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b="1">
              <a:solidFill>
                <a:schemeClr val="bg1"/>
              </a:solidFill>
            </a:rPr>
            <a:t>Assess Adaptive Capacity</a:t>
          </a:r>
          <a:r>
            <a:rPr lang="en-US">
              <a:solidFill>
                <a:schemeClr val="bg1"/>
              </a:solidFill>
            </a:rPr>
            <a:t>: Answer questions Q2.5 to Q2.6 to determine the 'Adaptive Capacity' of each component to extreme heat and wildfires. A non-zero ‘Adaptive Capacity’ score will automatically reduce the sensitivity of the component, which will appear in Column Q, titled 'Final Sensitivity Score' – Rows 14 and below.</a:t>
          </a:r>
        </a:p>
        <a:p>
          <a:endParaRPr lang="en-US"/>
        </a:p>
        <a:p>
          <a:r>
            <a:rPr lang="en-US" b="1">
              <a:solidFill>
                <a:schemeClr val="bg1"/>
              </a:solidFill>
            </a:rPr>
            <a:t>5. Assess for Cold Spells</a:t>
          </a:r>
          <a:r>
            <a:rPr lang="en-US">
              <a:solidFill>
                <a:schemeClr val="bg1"/>
              </a:solidFill>
            </a:rPr>
            <a:t>: Repeat the assessment for cold spells by answering questions Q2.7 to Q2.10 and Q2.11 to Q2.12. For 'Extreme Heat,' provide your scores in the cells of Rows 14-40. For 'Extreme Cold,' provide your scores in the cells of Rows 41-57.</a:t>
          </a:r>
        </a:p>
        <a:p>
          <a:endParaRPr lang="en-US">
            <a:solidFill>
              <a:schemeClr val="bg1"/>
            </a:solidFill>
          </a:endParaRPr>
        </a:p>
        <a:p>
          <a:r>
            <a:rPr lang="en-US" b="1">
              <a:solidFill>
                <a:schemeClr val="bg1"/>
              </a:solidFill>
            </a:rPr>
            <a:t>6. Final Sensitivity Score Display</a:t>
          </a:r>
          <a:r>
            <a:rPr lang="en-US">
              <a:solidFill>
                <a:schemeClr val="bg1"/>
              </a:solidFill>
            </a:rPr>
            <a:t>: The final sensitivity scores of all active components for both 'Extreme Heat' and 'Extreme Cold' will automatically appear in Column Q (in the respective cells) and will be transferred to the Temperature-Step3 tab.</a:t>
          </a: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F1AE98D2-51B3-4C54-8EB3-13916C0167AA}"/>
            </a:ext>
          </a:extLst>
        </xdr:cNvPr>
        <xdr:cNvGrpSpPr/>
      </xdr:nvGrpSpPr>
      <xdr:grpSpPr>
        <a:xfrm>
          <a:off x="156293" y="193638"/>
          <a:ext cx="430458" cy="446447"/>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02BD84AD-C939-ADF5-644B-6855A6144186}"/>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238D06-DEAB-879D-B47D-B4595998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6" name="Group 15">
          <a:hlinkClick xmlns:r="http://schemas.openxmlformats.org/officeDocument/2006/relationships" r:id="rId4"/>
          <a:extLst>
            <a:ext uri="{FF2B5EF4-FFF2-40B4-BE49-F238E27FC236}">
              <a16:creationId xmlns:a16="http://schemas.microsoft.com/office/drawing/2014/main" id="{1806F1ED-72A8-585C-3CA7-1C8985AD4394}"/>
            </a:ext>
          </a:extLst>
        </xdr:cNvPr>
        <xdr:cNvGrpSpPr/>
      </xdr:nvGrpSpPr>
      <xdr:grpSpPr>
        <a:xfrm>
          <a:off x="1864237" y="193638"/>
          <a:ext cx="433633" cy="446447"/>
          <a:chOff x="1864237" y="188690"/>
          <a:chExt cx="430458" cy="467889"/>
        </a:xfrm>
      </xdr:grpSpPr>
      <xdr:sp macro="" textlink="">
        <xdr:nvSpPr>
          <xdr:cNvPr id="8" name="Rectangle: Rounded Corners 12">
            <a:extLst>
              <a:ext uri="{FF2B5EF4-FFF2-40B4-BE49-F238E27FC236}">
                <a16:creationId xmlns:a16="http://schemas.microsoft.com/office/drawing/2014/main" id="{1D27754E-B84E-7CC1-205B-DFE16F13617D}"/>
              </a:ext>
            </a:extLst>
          </xdr:cNvPr>
          <xdr:cNvSpPr/>
        </xdr:nvSpPr>
        <xdr:spPr>
          <a:xfrm>
            <a:off x="1864237" y="188690"/>
            <a:ext cx="430458" cy="467889"/>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0882A1EA-6313-1927-AF58-1886749AF959}"/>
              </a:ext>
            </a:extLst>
          </xdr:cNvPr>
          <xdr:cNvSpPr/>
        </xdr:nvSpPr>
        <xdr:spPr>
          <a:xfrm>
            <a:off x="1955357" y="287734"/>
            <a:ext cx="248218" cy="269802"/>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7" name="Group 16">
          <a:hlinkClick xmlns:r="http://schemas.openxmlformats.org/officeDocument/2006/relationships" r:id="rId5"/>
          <a:extLst>
            <a:ext uri="{FF2B5EF4-FFF2-40B4-BE49-F238E27FC236}">
              <a16:creationId xmlns:a16="http://schemas.microsoft.com/office/drawing/2014/main" id="{D6832CC6-C6AB-1410-83E3-F31CE09F9DB0}"/>
            </a:ext>
          </a:extLst>
        </xdr:cNvPr>
        <xdr:cNvGrpSpPr/>
      </xdr:nvGrpSpPr>
      <xdr:grpSpPr>
        <a:xfrm>
          <a:off x="1247742" y="193638"/>
          <a:ext cx="427283" cy="446447"/>
          <a:chOff x="1244567" y="188690"/>
          <a:chExt cx="430458" cy="467889"/>
        </a:xfrm>
      </xdr:grpSpPr>
      <xdr:sp macro="" textlink="">
        <xdr:nvSpPr>
          <xdr:cNvPr id="10" name="Rectangle: Rounded Corners 14">
            <a:extLst>
              <a:ext uri="{FF2B5EF4-FFF2-40B4-BE49-F238E27FC236}">
                <a16:creationId xmlns:a16="http://schemas.microsoft.com/office/drawing/2014/main" id="{62E0CB93-F21B-7284-7BC9-7714E368FE0B}"/>
              </a:ext>
            </a:extLst>
          </xdr:cNvPr>
          <xdr:cNvSpPr/>
        </xdr:nvSpPr>
        <xdr:spPr>
          <a:xfrm>
            <a:off x="1244567" y="188690"/>
            <a:ext cx="430458" cy="467889"/>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CDC1343C-2C02-B233-0F7F-E83CEB0CB158}"/>
              </a:ext>
            </a:extLst>
          </xdr:cNvPr>
          <xdr:cNvSpPr/>
        </xdr:nvSpPr>
        <xdr:spPr>
          <a:xfrm rot="10800000">
            <a:off x="1335686" y="287734"/>
            <a:ext cx="248218" cy="269802"/>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714591</xdr:colOff>
      <xdr:row>29</xdr:row>
      <xdr:rowOff>365526</xdr:rowOff>
    </xdr:from>
    <xdr:to>
      <xdr:col>0</xdr:col>
      <xdr:colOff>1987932</xdr:colOff>
      <xdr:row>29</xdr:row>
      <xdr:rowOff>822595</xdr:rowOff>
    </xdr:to>
    <xdr:sp macro="" textlink="">
      <xdr:nvSpPr>
        <xdr:cNvPr id="12" name="TextBox 10">
          <a:extLst>
            <a:ext uri="{FF2B5EF4-FFF2-40B4-BE49-F238E27FC236}">
              <a16:creationId xmlns:a16="http://schemas.microsoft.com/office/drawing/2014/main" id="{5BF7148C-EA57-42AA-9E86-7514D97B4FA0}"/>
            </a:ext>
          </a:extLst>
        </xdr:cNvPr>
        <xdr:cNvSpPr txBox="1"/>
      </xdr:nvSpPr>
      <xdr:spPr>
        <a:xfrm>
          <a:off x="714591" y="21964597"/>
          <a:ext cx="1273341" cy="45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128408</xdr:colOff>
      <xdr:row>29</xdr:row>
      <xdr:rowOff>854424</xdr:rowOff>
    </xdr:from>
    <xdr:to>
      <xdr:col>0</xdr:col>
      <xdr:colOff>2627971</xdr:colOff>
      <xdr:row>37</xdr:row>
      <xdr:rowOff>536281</xdr:rowOff>
    </xdr:to>
    <xdr:pic>
      <xdr:nvPicPr>
        <xdr:cNvPr id="13" name="Picture 11">
          <a:extLst>
            <a:ext uri="{FF2B5EF4-FFF2-40B4-BE49-F238E27FC236}">
              <a16:creationId xmlns:a16="http://schemas.microsoft.com/office/drawing/2014/main" id="{6FFB43E9-B54E-4351-96CD-93223F43A9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28408" y="22453495"/>
          <a:ext cx="2499563" cy="2555232"/>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14" name="Βέλος: Κάτω 13">
          <a:extLst>
            <a:ext uri="{FF2B5EF4-FFF2-40B4-BE49-F238E27FC236}">
              <a16:creationId xmlns:a16="http://schemas.microsoft.com/office/drawing/2014/main" id="{272CD63A-D7B8-4F0E-AC42-F3ECECF792D0}"/>
            </a:ext>
          </a:extLst>
        </xdr:cNvPr>
        <xdr:cNvSpPr/>
      </xdr:nvSpPr>
      <xdr:spPr>
        <a:xfrm>
          <a:off x="7252855" y="3468831"/>
          <a:ext cx="173182" cy="48072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555625</xdr:colOff>
      <xdr:row>35</xdr:row>
      <xdr:rowOff>190500</xdr:rowOff>
    </xdr:from>
    <xdr:to>
      <xdr:col>3</xdr:col>
      <xdr:colOff>770967</xdr:colOff>
      <xdr:row>36</xdr:row>
      <xdr:rowOff>320242</xdr:rowOff>
    </xdr:to>
    <xdr:sp macro="" textlink="">
      <xdr:nvSpPr>
        <xdr:cNvPr id="15" name="Βέλος: Κάτω 14">
          <a:extLst>
            <a:ext uri="{FF2B5EF4-FFF2-40B4-BE49-F238E27FC236}">
              <a16:creationId xmlns:a16="http://schemas.microsoft.com/office/drawing/2014/main" id="{40553C1F-C425-42F7-92A1-09931A0770B8}"/>
            </a:ext>
          </a:extLst>
        </xdr:cNvPr>
        <xdr:cNvSpPr/>
      </xdr:nvSpPr>
      <xdr:spPr>
        <a:xfrm>
          <a:off x="7553325" y="3009900"/>
          <a:ext cx="215342" cy="682192"/>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2770001</xdr:colOff>
      <xdr:row>27</xdr:row>
      <xdr:rowOff>25400</xdr:rowOff>
    </xdr:to>
    <xdr:grpSp>
      <xdr:nvGrpSpPr>
        <xdr:cNvPr id="2" name="Group 6">
          <a:extLst>
            <a:ext uri="{FF2B5EF4-FFF2-40B4-BE49-F238E27FC236}">
              <a16:creationId xmlns:a16="http://schemas.microsoft.com/office/drawing/2014/main" id="{107EC775-D473-4B70-9884-0E75970714F9}"/>
            </a:ext>
          </a:extLst>
        </xdr:cNvPr>
        <xdr:cNvGrpSpPr/>
      </xdr:nvGrpSpPr>
      <xdr:grpSpPr>
        <a:xfrm>
          <a:off x="0" y="0"/>
          <a:ext cx="2773176" cy="15422789"/>
          <a:chOff x="11907" y="199719"/>
          <a:chExt cx="2784141" cy="15402158"/>
        </a:xfrm>
      </xdr:grpSpPr>
      <xdr:sp macro="" textlink="">
        <xdr:nvSpPr>
          <xdr:cNvPr id="3" name="Rectangle 7">
            <a:extLst>
              <a:ext uri="{FF2B5EF4-FFF2-40B4-BE49-F238E27FC236}">
                <a16:creationId xmlns:a16="http://schemas.microsoft.com/office/drawing/2014/main" id="{2E20BE94-8DE0-5E5C-C2C5-079F9E36B31A}"/>
              </a:ext>
            </a:extLst>
          </xdr:cNvPr>
          <xdr:cNvSpPr/>
        </xdr:nvSpPr>
        <xdr:spPr>
          <a:xfrm>
            <a:off x="11907" y="199719"/>
            <a:ext cx="2784141" cy="1540215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B933318-708F-787F-44BD-60BC11311B99}"/>
              </a:ext>
            </a:extLst>
          </xdr:cNvPr>
          <xdr:cNvSpPr txBox="1"/>
        </xdr:nvSpPr>
        <xdr:spPr>
          <a:xfrm>
            <a:off x="159408" y="1101626"/>
            <a:ext cx="2291476" cy="41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effectLst/>
                <a:latin typeface="+mn-lt"/>
                <a:ea typeface="+mn-ea"/>
                <a:cs typeface="+mn-cs"/>
              </a:rPr>
              <a:t>The scope of this step is to help users identify the building’s components that are  more</a:t>
            </a:r>
            <a:r>
              <a:rPr lang="en-US" sz="1100" b="0" baseline="0">
                <a:solidFill>
                  <a:schemeClr val="bg1"/>
                </a:solidFill>
                <a:effectLst/>
                <a:latin typeface="+mn-lt"/>
                <a:ea typeface="+mn-ea"/>
                <a:cs typeface="+mn-cs"/>
              </a:rPr>
              <a:t> probable to</a:t>
            </a:r>
            <a:r>
              <a:rPr lang="en-US" sz="1100" b="0">
                <a:solidFill>
                  <a:schemeClr val="bg1"/>
                </a:solidFill>
                <a:effectLst/>
                <a:latin typeface="+mn-lt"/>
                <a:ea typeface="+mn-ea"/>
                <a:cs typeface="+mn-cs"/>
              </a:rPr>
              <a:t> sustain damage when</a:t>
            </a:r>
            <a:r>
              <a:rPr lang="en-US" sz="1100" b="0" baseline="0">
                <a:solidFill>
                  <a:schemeClr val="bg1"/>
                </a:solidFill>
                <a:effectLst/>
                <a:latin typeface="+mn-lt"/>
                <a:ea typeface="+mn-ea"/>
                <a:cs typeface="+mn-cs"/>
              </a:rPr>
              <a:t> the </a:t>
            </a:r>
            <a:r>
              <a:rPr lang="en-US" sz="1100" b="0">
                <a:solidFill>
                  <a:schemeClr val="bg1"/>
                </a:solidFill>
                <a:latin typeface="+mn-lt"/>
              </a:rPr>
              <a:t> facility is subjected to heatwaves,</a:t>
            </a:r>
            <a:r>
              <a:rPr lang="en-US" sz="1100" b="0" baseline="0">
                <a:solidFill>
                  <a:schemeClr val="bg1"/>
                </a:solidFill>
                <a:latin typeface="+mn-lt"/>
              </a:rPr>
              <a:t> </a:t>
            </a:r>
            <a:r>
              <a:rPr lang="en-US" sz="1100" b="0">
                <a:solidFill>
                  <a:schemeClr val="bg1"/>
                </a:solidFill>
                <a:latin typeface="+mn-lt"/>
              </a:rPr>
              <a:t>wildfires or extreme cold. </a:t>
            </a:r>
          </a:p>
          <a:p>
            <a:pPr marL="144000" indent="-144000" algn="l">
              <a:spcAft>
                <a:spcPts val="600"/>
              </a:spcAft>
              <a:buSzPct val="100000"/>
              <a:buFont typeface="+mj-lt"/>
              <a:buAutoNum type="arabicPeriod"/>
            </a:pPr>
            <a:r>
              <a:rPr lang="en-US" sz="1100" b="0">
                <a:solidFill>
                  <a:schemeClr val="bg1"/>
                </a:solidFill>
                <a:latin typeface="+mn-lt"/>
              </a:rPr>
              <a:t>The component's risk is derived automatically by combining the sensitivity and the exposure scores of the previous Steps. Risks</a:t>
            </a:r>
            <a:r>
              <a:rPr lang="en-US" sz="1100" b="0" baseline="0">
                <a:solidFill>
                  <a:schemeClr val="bg1"/>
                </a:solidFill>
                <a:latin typeface="+mn-lt"/>
              </a:rPr>
              <a:t> </a:t>
            </a:r>
            <a:r>
              <a:rPr lang="en-US" sz="1100" b="0">
                <a:solidFill>
                  <a:schemeClr val="bg1"/>
                </a:solidFill>
                <a:latin typeface="+mn-lt"/>
              </a:rPr>
              <a:t>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a:t>
            </a:r>
            <a:r>
              <a:rPr lang="en-US" sz="1100" b="0" baseline="0">
                <a:solidFill>
                  <a:schemeClr val="bg1"/>
                </a:solidFill>
                <a:latin typeface="+mn-lt"/>
              </a:rPr>
              <a:t> </a:t>
            </a:r>
            <a:r>
              <a:rPr lang="en-US" sz="1100" b="0">
                <a:solidFill>
                  <a:schemeClr val="bg1"/>
                </a:solidFill>
                <a:latin typeface="+mn-lt"/>
              </a:rPr>
              <a:t>scores are automatically transferred to Step 4, to inform the selection of adaptation measures. </a:t>
            </a:r>
          </a:p>
        </xdr:txBody>
      </xdr:sp>
      <xdr:grpSp>
        <xdr:nvGrpSpPr>
          <xdr:cNvPr id="20" name="Group 9">
            <a:extLst>
              <a:ext uri="{FF2B5EF4-FFF2-40B4-BE49-F238E27FC236}">
                <a16:creationId xmlns:a16="http://schemas.microsoft.com/office/drawing/2014/main" id="{A57B7D63-E8D6-707A-C6FE-44E52519EBA9}"/>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148AE4D1-BE37-2467-6D17-08EBDF95854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C127C96-D338-DEA0-0864-C1019FE51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EA5D1768-72EB-6E78-3B17-2B75E21D7817}"/>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ABD8FE5A-0F1B-7D37-1162-23DD6E9B27D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AD417A53-3217-99BB-27D0-4E3C9E1304A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4F3B54F9-EC6C-E2C5-626B-4E82D6ED99EA}"/>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3762DF9-9D80-C260-40CB-7EB7FF87711A}"/>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D80E31C3-660A-AA8C-C1C8-90362425CACE}"/>
              </a:ext>
            </a:extLst>
          </xdr:cNvPr>
          <xdr:cNvSpPr txBox="1"/>
        </xdr:nvSpPr>
        <xdr:spPr>
          <a:xfrm>
            <a:off x="784574" y="5574381"/>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29" name="Picture 12">
            <a:extLst>
              <a:ext uri="{FF2B5EF4-FFF2-40B4-BE49-F238E27FC236}">
                <a16:creationId xmlns:a16="http://schemas.microsoft.com/office/drawing/2014/main" id="{F4F0AB9E-8729-4AA5-D738-10975BD548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6958" y="6191962"/>
            <a:ext cx="2613605" cy="331974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45358</xdr:rowOff>
    </xdr:from>
    <xdr:to>
      <xdr:col>1</xdr:col>
      <xdr:colOff>3669</xdr:colOff>
      <xdr:row>99</xdr:row>
      <xdr:rowOff>25400</xdr:rowOff>
    </xdr:to>
    <xdr:sp macro="" textlink="">
      <xdr:nvSpPr>
        <xdr:cNvPr id="2" name="Rectangle 17">
          <a:extLst>
            <a:ext uri="{FF2B5EF4-FFF2-40B4-BE49-F238E27FC236}">
              <a16:creationId xmlns:a16="http://schemas.microsoft.com/office/drawing/2014/main" id="{D2EA4E8F-E649-4634-B25A-6EE143CF72C7}"/>
            </a:ext>
          </a:extLst>
        </xdr:cNvPr>
        <xdr:cNvSpPr/>
      </xdr:nvSpPr>
      <xdr:spPr>
        <a:xfrm>
          <a:off x="0" y="45358"/>
          <a:ext cx="2899269" cy="4072164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231801</xdr:colOff>
      <xdr:row>2</xdr:row>
      <xdr:rowOff>388092</xdr:rowOff>
    </xdr:from>
    <xdr:to>
      <xdr:col>0</xdr:col>
      <xdr:colOff>2491857</xdr:colOff>
      <xdr:row>4</xdr:row>
      <xdr:rowOff>17727</xdr:rowOff>
    </xdr:to>
    <xdr:grpSp>
      <xdr:nvGrpSpPr>
        <xdr:cNvPr id="4" name="Group 3">
          <a:extLst>
            <a:ext uri="{FF2B5EF4-FFF2-40B4-BE49-F238E27FC236}">
              <a16:creationId xmlns:a16="http://schemas.microsoft.com/office/drawing/2014/main" id="{BC21A7BD-5EC3-4BB1-9624-DB9523E09106}"/>
            </a:ext>
          </a:extLst>
        </xdr:cNvPr>
        <xdr:cNvGrpSpPr/>
      </xdr:nvGrpSpPr>
      <xdr:grpSpPr>
        <a:xfrm>
          <a:off x="231801" y="1036850"/>
          <a:ext cx="2260056" cy="462544"/>
          <a:chOff x="168460" y="379876"/>
          <a:chExt cx="2141952" cy="435489"/>
        </a:xfrm>
      </xdr:grpSpPr>
      <xdr:grpSp>
        <xdr:nvGrpSpPr>
          <xdr:cNvPr id="7" name="Group 6">
            <a:extLst>
              <a:ext uri="{FF2B5EF4-FFF2-40B4-BE49-F238E27FC236}">
                <a16:creationId xmlns:a16="http://schemas.microsoft.com/office/drawing/2014/main" id="{78433D60-BD0C-4402-AFB0-FF1A8E7E92B5}"/>
              </a:ext>
            </a:extLst>
          </xdr:cNvPr>
          <xdr:cNvGrpSpPr/>
        </xdr:nvGrpSpPr>
        <xdr:grpSpPr>
          <a:xfrm>
            <a:off x="168460" y="379876"/>
            <a:ext cx="431173" cy="435489"/>
            <a:chOff x="1238250" y="942975"/>
            <a:chExt cx="533400" cy="533400"/>
          </a:xfrm>
        </xdr:grpSpPr>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AF65A6D-624F-CB3E-FF1B-AE19489871FE}"/>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 name="Graphic 15" descr="Home with solid fill">
              <a:hlinkClick xmlns:r="http://schemas.openxmlformats.org/officeDocument/2006/relationships" r:id="rId1"/>
              <a:extLst>
                <a:ext uri="{FF2B5EF4-FFF2-40B4-BE49-F238E27FC236}">
                  <a16:creationId xmlns:a16="http://schemas.microsoft.com/office/drawing/2014/main" id="{74B4730F-982D-17E5-7AAC-1DD90BF8D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8" name="Group 7">
            <a:extLst>
              <a:ext uri="{FF2B5EF4-FFF2-40B4-BE49-F238E27FC236}">
                <a16:creationId xmlns:a16="http://schemas.microsoft.com/office/drawing/2014/main" id="{67ADECAA-66E7-5B6B-7ACB-9E9B979626A2}"/>
              </a:ext>
            </a:extLst>
          </xdr:cNvPr>
          <xdr:cNvGrpSpPr/>
        </xdr:nvGrpSpPr>
        <xdr:grpSpPr>
          <a:xfrm>
            <a:off x="1258540" y="379876"/>
            <a:ext cx="1051872" cy="435489"/>
            <a:chOff x="1037919" y="109140"/>
            <a:chExt cx="1301261" cy="533400"/>
          </a:xfrm>
        </xdr:grpSpPr>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68E9E26-731D-C23F-888E-F0910FFBE667}"/>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Arrow: Right 11">
              <a:hlinkClick xmlns:r="http://schemas.openxmlformats.org/officeDocument/2006/relationships" r:id="rId4"/>
              <a:extLst>
                <a:ext uri="{FF2B5EF4-FFF2-40B4-BE49-F238E27FC236}">
                  <a16:creationId xmlns:a16="http://schemas.microsoft.com/office/drawing/2014/main" id="{F379AEBF-37E3-ABB5-9EF7-436F657BF51C}"/>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61D270C-9594-2064-5A49-EA352A27DEFB}"/>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Arrow: Right 13">
              <a:hlinkClick xmlns:r="http://schemas.openxmlformats.org/officeDocument/2006/relationships" r:id="rId5"/>
              <a:extLst>
                <a:ext uri="{FF2B5EF4-FFF2-40B4-BE49-F238E27FC236}">
                  <a16:creationId xmlns:a16="http://schemas.microsoft.com/office/drawing/2014/main" id="{255A542B-BD55-C78D-B3D0-23435CAFD1D5}"/>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165100</xdr:colOff>
      <xdr:row>5</xdr:row>
      <xdr:rowOff>114300</xdr:rowOff>
    </xdr:from>
    <xdr:to>
      <xdr:col>0</xdr:col>
      <xdr:colOff>2582925</xdr:colOff>
      <xdr:row>47</xdr:row>
      <xdr:rowOff>25400</xdr:rowOff>
    </xdr:to>
    <xdr:sp macro="" textlink="">
      <xdr:nvSpPr>
        <xdr:cNvPr id="18" name="TextBox 2">
          <a:extLst>
            <a:ext uri="{FF2B5EF4-FFF2-40B4-BE49-F238E27FC236}">
              <a16:creationId xmlns:a16="http://schemas.microsoft.com/office/drawing/2014/main" id="{1DB5E6EB-9878-4753-9848-D46D51905981}"/>
            </a:ext>
          </a:extLst>
        </xdr:cNvPr>
        <xdr:cNvSpPr txBox="1"/>
      </xdr:nvSpPr>
      <xdr:spPr>
        <a:xfrm>
          <a:off x="165100" y="1892300"/>
          <a:ext cx="2417825" cy="133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inform users about the variety of adaptation measures that can be used to climate-proof buildings against temperature</a:t>
          </a:r>
          <a:r>
            <a:rPr lang="en-US" sz="1100" b="0" baseline="0">
              <a:solidFill>
                <a:schemeClr val="bg1"/>
              </a:solidFill>
              <a:latin typeface="+mn-lt"/>
            </a:rPr>
            <a:t> extremes and wildfires</a:t>
          </a:r>
          <a:r>
            <a:rPr lang="en-US" sz="1100" b="0">
              <a:solidFill>
                <a:schemeClr val="bg1"/>
              </a:solidFill>
              <a:latin typeface="+mn-lt"/>
            </a:rPr>
            <a:t>. The list of adaptation measures is displayed in Table 4.2. Every adaptation measure is linked</a:t>
          </a:r>
          <a:r>
            <a:rPr lang="en-US" sz="1100" b="0" baseline="0">
              <a:solidFill>
                <a:schemeClr val="bg1"/>
              </a:solidFill>
              <a:latin typeface="+mn-lt"/>
            </a:rPr>
            <a:t> </a:t>
          </a:r>
          <a:r>
            <a:rPr lang="en-US" sz="1100" b="0">
              <a:solidFill>
                <a:schemeClr val="bg1"/>
              </a:solidFill>
              <a:latin typeface="+mn-lt"/>
            </a:rPr>
            <a:t>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its risk. For ease of reference, the risk</a:t>
          </a:r>
          <a:r>
            <a:rPr lang="en-US" sz="1100" b="0" baseline="0">
              <a:solidFill>
                <a:schemeClr val="bg1"/>
              </a:solidFill>
              <a:latin typeface="+mn-lt"/>
            </a:rPr>
            <a:t> of each component is</a:t>
          </a:r>
          <a:r>
            <a:rPr lang="en-US" sz="1100" b="0">
              <a:solidFill>
                <a:schemeClr val="bg1"/>
              </a:solidFill>
              <a:latin typeface="+mn-lt"/>
            </a:rPr>
            <a:t> automatically transferred herein from the previous step. Select measures that offer protection to moderate or high risk components. Prioritize measures that: (i) offer higher protection;  (ii) can benefit multiple components; and (iii) are cost-efficient. Enter the list of selected measures in the Field 4.2a.</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indent="-144000" algn="l">
            <a:spcAft>
              <a:spcPts val="600"/>
            </a:spcAft>
            <a:buSzPct val="100000"/>
            <a:buFont typeface="+mj-lt"/>
            <a:buAutoNum type="arabicPeriod"/>
          </a:pPr>
          <a:r>
            <a:rPr lang="en-US" sz="1100" b="0">
              <a:solidFill>
                <a:schemeClr val="bg1"/>
              </a:solidFill>
              <a:latin typeface="+mn-lt"/>
            </a:rPr>
            <a:t>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a:t>
          </a:r>
          <a:r>
            <a:rPr lang="en-US" sz="1100" b="0" baseline="0">
              <a:solidFill>
                <a:schemeClr val="bg1"/>
              </a:solidFill>
              <a:latin typeface="+mn-lt"/>
            </a:rPr>
            <a:t> and project specific features or limitations.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 score of each component will be displayed in Field 4.4a. The climate-proofing is considered successful when the residual risk of all buildings’ components (after the implementation of adaptation measures)  lower</a:t>
          </a:r>
          <a:r>
            <a:rPr lang="en-US" sz="1100" b="0" baseline="0">
              <a:solidFill>
                <a:schemeClr val="bg1"/>
              </a:solidFill>
              <a:latin typeface="+mn-lt"/>
            </a:rPr>
            <a:t> than the minimum acceptable risk (for the specific component). </a:t>
          </a:r>
          <a:r>
            <a:rPr lang="en-US" sz="1100" b="0">
              <a:solidFill>
                <a:schemeClr val="bg1"/>
              </a:solidFill>
              <a:latin typeface="+mn-lt"/>
            </a:rPr>
            <a:t>If not, modify the adaptation strategy accordingly and repeat the assessment. </a:t>
          </a:r>
        </a:p>
        <a:p>
          <a:pPr marL="144000" indent="-144000" algn="l">
            <a:spcAft>
              <a:spcPts val="600"/>
            </a:spcAft>
            <a:buSzPct val="100000"/>
            <a:buFont typeface="+mj-lt"/>
            <a:buAutoNum type="arabicPeriod"/>
          </a:pPr>
          <a:r>
            <a:rPr lang="en-US" sz="1100" b="0">
              <a:solidFill>
                <a:schemeClr val="bg1"/>
              </a:solidFill>
              <a:latin typeface="+mn-lt"/>
            </a:rPr>
            <a:t>Repeat the climate-proofing exercise considering extreme cold conditions (Fields 4.1b - 4.4b of Table 4.1). </a:t>
          </a:r>
        </a:p>
      </xdr:txBody>
    </xdr:sp>
    <xdr:clientData/>
  </xdr:twoCellAnchor>
  <xdr:twoCellAnchor>
    <xdr:from>
      <xdr:col>23</xdr:col>
      <xdr:colOff>596901</xdr:colOff>
      <xdr:row>20</xdr:row>
      <xdr:rowOff>137885</xdr:rowOff>
    </xdr:from>
    <xdr:to>
      <xdr:col>30</xdr:col>
      <xdr:colOff>345521</xdr:colOff>
      <xdr:row>28</xdr:row>
      <xdr:rowOff>255360</xdr:rowOff>
    </xdr:to>
    <xdr:sp macro="" textlink="">
      <xdr:nvSpPr>
        <xdr:cNvPr id="5" name="TextBox 3">
          <a:extLst>
            <a:ext uri="{FF2B5EF4-FFF2-40B4-BE49-F238E27FC236}">
              <a16:creationId xmlns:a16="http://schemas.microsoft.com/office/drawing/2014/main" id="{35F404F1-9529-4D7E-A53C-31E467F3387B}"/>
            </a:ext>
          </a:extLst>
        </xdr:cNvPr>
        <xdr:cNvSpPr txBox="1"/>
      </xdr:nvSpPr>
      <xdr:spPr>
        <a:xfrm>
          <a:off x="37833301" y="6564085"/>
          <a:ext cx="6581220" cy="2936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762454</xdr:colOff>
      <xdr:row>21</xdr:row>
      <xdr:rowOff>131082</xdr:rowOff>
    </xdr:from>
    <xdr:to>
      <xdr:col>30</xdr:col>
      <xdr:colOff>511074</xdr:colOff>
      <xdr:row>28</xdr:row>
      <xdr:rowOff>185057</xdr:rowOff>
    </xdr:to>
    <xdr:sp macro="" textlink="">
      <xdr:nvSpPr>
        <xdr:cNvPr id="6" name="TextBox 5">
          <a:extLst>
            <a:ext uri="{FF2B5EF4-FFF2-40B4-BE49-F238E27FC236}">
              <a16:creationId xmlns:a16="http://schemas.microsoft.com/office/drawing/2014/main" id="{390DBE13-68B7-4B10-897B-AC451D248052}"/>
            </a:ext>
          </a:extLst>
        </xdr:cNvPr>
        <xdr:cNvSpPr txBox="1"/>
      </xdr:nvSpPr>
      <xdr:spPr>
        <a:xfrm>
          <a:off x="37998854" y="6760482"/>
          <a:ext cx="6581220" cy="26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twoCellAnchor>
    <xdr:from>
      <xdr:col>23</xdr:col>
      <xdr:colOff>203200</xdr:colOff>
      <xdr:row>41</xdr:row>
      <xdr:rowOff>127000</xdr:rowOff>
    </xdr:from>
    <xdr:to>
      <xdr:col>23</xdr:col>
      <xdr:colOff>665018</xdr:colOff>
      <xdr:row>41</xdr:row>
      <xdr:rowOff>127000</xdr:rowOff>
    </xdr:to>
    <xdr:cxnSp macro="">
      <xdr:nvCxnSpPr>
        <xdr:cNvPr id="9" name="Ευθύγραμμο βέλος σύνδεσης 8">
          <a:extLst>
            <a:ext uri="{FF2B5EF4-FFF2-40B4-BE49-F238E27FC236}">
              <a16:creationId xmlns:a16="http://schemas.microsoft.com/office/drawing/2014/main" id="{DEA12C73-B4AB-4085-A21D-E8F6B583A351}"/>
            </a:ext>
          </a:extLst>
        </xdr:cNvPr>
        <xdr:cNvCxnSpPr/>
      </xdr:nvCxnSpPr>
      <xdr:spPr>
        <a:xfrm flipH="1">
          <a:off x="37439600" y="134874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702128</xdr:colOff>
      <xdr:row>38</xdr:row>
      <xdr:rowOff>65315</xdr:rowOff>
    </xdr:from>
    <xdr:to>
      <xdr:col>30</xdr:col>
      <xdr:colOff>450748</xdr:colOff>
      <xdr:row>45</xdr:row>
      <xdr:rowOff>121104</xdr:rowOff>
    </xdr:to>
    <xdr:sp macro="" textlink="">
      <xdr:nvSpPr>
        <xdr:cNvPr id="10" name="TextBox 3">
          <a:extLst>
            <a:ext uri="{FF2B5EF4-FFF2-40B4-BE49-F238E27FC236}">
              <a16:creationId xmlns:a16="http://schemas.microsoft.com/office/drawing/2014/main" id="{9FD66FD7-870E-41FB-9115-78B7853EDA73}"/>
            </a:ext>
          </a:extLst>
        </xdr:cNvPr>
        <xdr:cNvSpPr txBox="1"/>
      </xdr:nvSpPr>
      <xdr:spPr>
        <a:xfrm>
          <a:off x="37938528" y="12435115"/>
          <a:ext cx="6581220" cy="282438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742496</xdr:colOff>
      <xdr:row>39</xdr:row>
      <xdr:rowOff>46719</xdr:rowOff>
    </xdr:from>
    <xdr:to>
      <xdr:col>30</xdr:col>
      <xdr:colOff>481591</xdr:colOff>
      <xdr:row>45</xdr:row>
      <xdr:rowOff>181429</xdr:rowOff>
    </xdr:to>
    <xdr:sp macro="" textlink="">
      <xdr:nvSpPr>
        <xdr:cNvPr id="17" name="TextBox 16">
          <a:extLst>
            <a:ext uri="{FF2B5EF4-FFF2-40B4-BE49-F238E27FC236}">
              <a16:creationId xmlns:a16="http://schemas.microsoft.com/office/drawing/2014/main" id="{B349E02B-9AB5-4A42-9502-A64267F73DB8}"/>
            </a:ext>
          </a:extLst>
        </xdr:cNvPr>
        <xdr:cNvSpPr txBox="1"/>
      </xdr:nvSpPr>
      <xdr:spPr>
        <a:xfrm>
          <a:off x="37978896" y="12746719"/>
          <a:ext cx="6571695" cy="2573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twoCellAnchor>
    <xdr:from>
      <xdr:col>23</xdr:col>
      <xdr:colOff>47625</xdr:colOff>
      <xdr:row>23</xdr:row>
      <xdr:rowOff>225425</xdr:rowOff>
    </xdr:from>
    <xdr:to>
      <xdr:col>23</xdr:col>
      <xdr:colOff>509443</xdr:colOff>
      <xdr:row>23</xdr:row>
      <xdr:rowOff>225425</xdr:rowOff>
    </xdr:to>
    <xdr:cxnSp macro="">
      <xdr:nvCxnSpPr>
        <xdr:cNvPr id="19" name="Ευθύγραμμο βέλος σύνδεσης 3">
          <a:extLst>
            <a:ext uri="{FF2B5EF4-FFF2-40B4-BE49-F238E27FC236}">
              <a16:creationId xmlns:a16="http://schemas.microsoft.com/office/drawing/2014/main" id="{98761DF7-4243-497F-B71F-A2B8D60FA73E}"/>
            </a:ext>
          </a:extLst>
        </xdr:cNvPr>
        <xdr:cNvCxnSpPr/>
      </xdr:nvCxnSpPr>
      <xdr:spPr>
        <a:xfrm flipH="1">
          <a:off x="35518725" y="71596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23</xdr:row>
      <xdr:rowOff>225425</xdr:rowOff>
    </xdr:from>
    <xdr:to>
      <xdr:col>23</xdr:col>
      <xdr:colOff>509443</xdr:colOff>
      <xdr:row>23</xdr:row>
      <xdr:rowOff>225425</xdr:rowOff>
    </xdr:to>
    <xdr:cxnSp macro="">
      <xdr:nvCxnSpPr>
        <xdr:cNvPr id="3" name="Ευθύγραμμο βέλος σύνδεσης 2">
          <a:extLst>
            <a:ext uri="{FF2B5EF4-FFF2-40B4-BE49-F238E27FC236}">
              <a16:creationId xmlns:a16="http://schemas.microsoft.com/office/drawing/2014/main" id="{7E9177F2-3CD9-4C83-BCE1-2E6B06E74A2A}"/>
            </a:ext>
          </a:extLst>
        </xdr:cNvPr>
        <xdr:cNvCxnSpPr/>
      </xdr:nvCxnSpPr>
      <xdr:spPr>
        <a:xfrm flipH="1">
          <a:off x="34566225" y="80740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2770001</xdr:colOff>
      <xdr:row>30</xdr:row>
      <xdr:rowOff>83128</xdr:rowOff>
    </xdr:to>
    <xdr:grpSp>
      <xdr:nvGrpSpPr>
        <xdr:cNvPr id="2" name="Group 6">
          <a:extLst>
            <a:ext uri="{FF2B5EF4-FFF2-40B4-BE49-F238E27FC236}">
              <a16:creationId xmlns:a16="http://schemas.microsoft.com/office/drawing/2014/main" id="{E8CCE61A-34D2-4F5B-9589-F937A5A9FE5B}"/>
            </a:ext>
          </a:extLst>
        </xdr:cNvPr>
        <xdr:cNvGrpSpPr/>
      </xdr:nvGrpSpPr>
      <xdr:grpSpPr>
        <a:xfrm>
          <a:off x="0" y="0"/>
          <a:ext cx="2773176" cy="12133160"/>
          <a:chOff x="11907" y="199719"/>
          <a:chExt cx="2784141" cy="12153399"/>
        </a:xfrm>
      </xdr:grpSpPr>
      <xdr:sp macro="" textlink="">
        <xdr:nvSpPr>
          <xdr:cNvPr id="3" name="Rectangle 7">
            <a:extLst>
              <a:ext uri="{FF2B5EF4-FFF2-40B4-BE49-F238E27FC236}">
                <a16:creationId xmlns:a16="http://schemas.microsoft.com/office/drawing/2014/main" id="{6C26C35A-2A6F-514F-763B-C7420DECCB6F}"/>
              </a:ext>
            </a:extLst>
          </xdr:cNvPr>
          <xdr:cNvSpPr/>
        </xdr:nvSpPr>
        <xdr:spPr>
          <a:xfrm>
            <a:off x="11907" y="199719"/>
            <a:ext cx="2784141" cy="1215339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9C581DF-F4D3-0F35-311F-239136F25C4D}"/>
              </a:ext>
            </a:extLst>
          </xdr:cNvPr>
          <xdr:cNvSpPr txBox="1"/>
        </xdr:nvSpPr>
        <xdr:spPr>
          <a:xfrm>
            <a:off x="159408" y="1101624"/>
            <a:ext cx="2291476" cy="566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Answer questions Q1.1 to Q1.3 of Table 1.1  to assess the exposure of the facility to extreme wind and hurricanes. Determine whether the conditions described apply to the area of interest and provide the respective score. The exposure score will be automatically calculated as the average of individual scores - Output [a]. </a:t>
            </a:r>
          </a:p>
          <a:p>
            <a:pPr marL="144000" indent="-144000" algn="l">
              <a:spcAft>
                <a:spcPts val="600"/>
              </a:spcAft>
              <a:buSzPct val="100000"/>
              <a:buFont typeface="+mj-lt"/>
              <a:buAutoNum type="arabicPeriod"/>
            </a:pPr>
            <a:r>
              <a:rPr lang="en-US" sz="1100" b="0">
                <a:solidFill>
                  <a:schemeClr val="bg1"/>
                </a:solidFill>
                <a:latin typeface="+mn-lt"/>
              </a:rPr>
              <a:t>In order to assess how exposure levels may change in the future (due to climate change), consult the regional climate projections of IPCC for extreme winds (that may be found here: https://interactive-atlas.ipcc.ch) and determine a climate-change multiplier. Give a score &gt; 1 if the region is expected to experience heavier winds or &lt; 1 if wind extremes are expected to occur less frequently. </a:t>
            </a:r>
          </a:p>
          <a:p>
            <a:pPr marL="144000" indent="-144000" algn="l">
              <a:spcAft>
                <a:spcPts val="600"/>
              </a:spcAft>
              <a:buSzPct val="100000"/>
              <a:buFont typeface="+mj-lt"/>
              <a:buAutoNum type="arabicPeriod"/>
            </a:pPr>
            <a:r>
              <a:rPr lang="en-US" sz="1100" b="0">
                <a:solidFill>
                  <a:schemeClr val="bg1"/>
                </a:solidFill>
                <a:latin typeface="+mn-lt"/>
              </a:rPr>
              <a:t>Updated exposure levels (representative of future climate conditions) will be automatically calculated (Output [b]). The maximum exposure score (between current and future) will be transferred to Step 3 to inform the Vulnerability assessment. </a:t>
            </a:r>
          </a:p>
        </xdr:txBody>
      </xdr:sp>
      <xdr:grpSp>
        <xdr:nvGrpSpPr>
          <xdr:cNvPr id="20" name="Group 9">
            <a:extLst>
              <a:ext uri="{FF2B5EF4-FFF2-40B4-BE49-F238E27FC236}">
                <a16:creationId xmlns:a16="http://schemas.microsoft.com/office/drawing/2014/main" id="{1EBC7E8A-F6AB-B90F-D88D-3F1F005B4070}"/>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D1368105-25DF-2312-6805-C5A7B5782B18}"/>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B1B6017-07DC-AEC5-5274-1FCDAD54E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739F84F8-4E1A-E087-FE5C-0E08FBFE15D3}"/>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B4723063-7BDF-BFF4-506F-3C54648AD68D}"/>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BD2BB023-62FD-895E-4250-13F710B9775B}"/>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61CCE499-BCCB-E8A0-B617-D3367991DEF7}"/>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6B24CF2-5019-A783-356E-2423756508F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0ABE39A2-DD61-9C9F-3022-083644F65667}"/>
              </a:ext>
            </a:extLst>
          </xdr:cNvPr>
          <xdr:cNvSpPr txBox="1"/>
        </xdr:nvSpPr>
        <xdr:spPr>
          <a:xfrm>
            <a:off x="650327" y="7763493"/>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EXPOSURE LEVEL</a:t>
            </a:r>
            <a:endParaRPr lang="en-US" sz="1050" b="1">
              <a:solidFill>
                <a:schemeClr val="bg1"/>
              </a:solidFill>
            </a:endParaRPr>
          </a:p>
        </xdr:txBody>
      </xdr:sp>
      <xdr:pic>
        <xdr:nvPicPr>
          <xdr:cNvPr id="29" name="Picture 12">
            <a:extLst>
              <a:ext uri="{FF2B5EF4-FFF2-40B4-BE49-F238E27FC236}">
                <a16:creationId xmlns:a16="http://schemas.microsoft.com/office/drawing/2014/main" id="{20A5058E-5E82-8FBF-0541-4CABD9F92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9497" y="8312862"/>
            <a:ext cx="2503713" cy="261896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2779526</xdr:colOff>
      <xdr:row>48</xdr:row>
      <xdr:rowOff>115456</xdr:rowOff>
    </xdr:to>
    <xdr:sp macro="" textlink="">
      <xdr:nvSpPr>
        <xdr:cNvPr id="3" name="Rectangle 6">
          <a:extLst>
            <a:ext uri="{FF2B5EF4-FFF2-40B4-BE49-F238E27FC236}">
              <a16:creationId xmlns:a16="http://schemas.microsoft.com/office/drawing/2014/main" id="{41917B2D-2A05-0433-F090-9246AC98F322}"/>
            </a:ext>
          </a:extLst>
        </xdr:cNvPr>
        <xdr:cNvSpPr/>
      </xdr:nvSpPr>
      <xdr:spPr>
        <a:xfrm>
          <a:off x="0" y="0"/>
          <a:ext cx="2779526" cy="22352001"/>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474014</xdr:rowOff>
    </xdr:from>
    <xdr:to>
      <xdr:col>0</xdr:col>
      <xdr:colOff>2434935</xdr:colOff>
      <xdr:row>39</xdr:row>
      <xdr:rowOff>119529</xdr:rowOff>
    </xdr:to>
    <xdr:sp macro="" textlink="">
      <xdr:nvSpPr>
        <xdr:cNvPr id="4" name="TextBox 7">
          <a:extLst>
            <a:ext uri="{FF2B5EF4-FFF2-40B4-BE49-F238E27FC236}">
              <a16:creationId xmlns:a16="http://schemas.microsoft.com/office/drawing/2014/main" id="{CDF5DB13-BD09-588A-F76D-E8854DB848C0}"/>
            </a:ext>
          </a:extLst>
        </xdr:cNvPr>
        <xdr:cNvSpPr txBox="1"/>
      </xdr:nvSpPr>
      <xdr:spPr>
        <a:xfrm>
          <a:off x="147257" y="922249"/>
          <a:ext cx="2287678" cy="1977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bg1"/>
              </a:solidFill>
              <a:effectLst/>
              <a:latin typeface="+mn-lt"/>
              <a:ea typeface="+mn-ea"/>
              <a:cs typeface="+mn-cs"/>
            </a:rPr>
            <a:t>Instructions</a:t>
          </a:r>
          <a:endParaRPr lang="en-US">
            <a:solidFill>
              <a:schemeClr val="bg1"/>
            </a:solidFill>
            <a:effectLst/>
          </a:endParaRPr>
        </a:p>
        <a:p>
          <a:r>
            <a:rPr lang="en-US" sz="1100" b="0">
              <a:solidFill>
                <a:schemeClr val="bg1"/>
              </a:solidFill>
              <a:effectLst/>
              <a:latin typeface="+mn-lt"/>
              <a:ea typeface="+mn-ea"/>
              <a:cs typeface="+mn-cs"/>
            </a:rPr>
            <a:t>The scope of this step is to help users assess the sensitivity of the various building components to </a:t>
          </a:r>
          <a:r>
            <a:rPr lang="en-US" sz="1100" b="0" baseline="0">
              <a:solidFill>
                <a:schemeClr val="bg1"/>
              </a:solidFill>
              <a:effectLst/>
              <a:latin typeface="+mn-lt"/>
              <a:ea typeface="+mn-ea"/>
              <a:cs typeface="+mn-cs"/>
            </a:rPr>
            <a:t>extreme winds.</a:t>
          </a:r>
        </a:p>
        <a:p>
          <a:endParaRPr lang="en-US">
            <a:solidFill>
              <a:schemeClr val="bg1"/>
            </a:solidFill>
            <a:effectLst/>
          </a:endParaRPr>
        </a:p>
        <a:p>
          <a:pPr eaLnBrk="1" fontAlgn="auto" latinLnBrk="0" hangingPunct="1"/>
          <a:r>
            <a:rPr lang="en-US" sz="1100" b="0">
              <a:solidFill>
                <a:schemeClr val="bg1"/>
              </a:solidFill>
              <a:effectLst/>
              <a:latin typeface="+mn-lt"/>
              <a:ea typeface="+mn-ea"/>
              <a:cs typeface="+mn-cs"/>
            </a:rPr>
            <a:t>1. The</a:t>
          </a:r>
          <a:r>
            <a:rPr lang="en-US" sz="1100" b="0" baseline="0">
              <a:solidFill>
                <a:schemeClr val="bg1"/>
              </a:solidFill>
              <a:effectLst/>
              <a:latin typeface="+mn-lt"/>
              <a:ea typeface="+mn-ea"/>
              <a:cs typeface="+mn-cs"/>
            </a:rPr>
            <a:t> </a:t>
          </a:r>
          <a:r>
            <a:rPr lang="en-US" sz="1100" b="0">
              <a:solidFill>
                <a:schemeClr val="bg1"/>
              </a:solidFill>
              <a:effectLst/>
              <a:latin typeface="+mn-lt"/>
              <a:ea typeface="+mn-ea"/>
              <a:cs typeface="+mn-cs"/>
            </a:rPr>
            <a:t>building type selection</a:t>
          </a:r>
          <a:r>
            <a:rPr lang="en-US" sz="1100" b="0" baseline="0">
              <a:solidFill>
                <a:schemeClr val="bg1"/>
              </a:solidFill>
              <a:effectLst/>
              <a:latin typeface="+mn-lt"/>
              <a:ea typeface="+mn-ea"/>
              <a:cs typeface="+mn-cs"/>
            </a:rPr>
            <a:t> is transferred herein from the 'Water_Soil-Step 2' tab and cannot be modified. </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____________________________</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SIMPLIFIED</a:t>
          </a:r>
          <a:r>
            <a:rPr lang="en-US" sz="1100" b="1" baseline="0">
              <a:solidFill>
                <a:schemeClr val="bg1"/>
              </a:solidFill>
              <a:effectLst/>
              <a:latin typeface="+mn-lt"/>
              <a:ea typeface="+mn-ea"/>
              <a:cs typeface="+mn-cs"/>
            </a:rPr>
            <a:t> ASSESSMENT </a:t>
          </a:r>
          <a:br>
            <a:rPr lang="en-US" sz="1100" b="1" baseline="0">
              <a:solidFill>
                <a:schemeClr val="bg1"/>
              </a:solidFill>
              <a:effectLst/>
              <a:latin typeface="+mn-lt"/>
              <a:ea typeface="+mn-ea"/>
              <a:cs typeface="+mn-cs"/>
            </a:rPr>
          </a:br>
          <a:r>
            <a:rPr lang="en-US" sz="1100" b="1" baseline="0">
              <a:solidFill>
                <a:schemeClr val="bg1"/>
              </a:solidFill>
              <a:effectLst/>
              <a:latin typeface="+mn-lt"/>
              <a:ea typeface="+mn-ea"/>
              <a:cs typeface="+mn-cs"/>
            </a:rPr>
            <a:t>(performed if the building is a Small Residence/Office/ Shop)</a:t>
          </a:r>
        </a:p>
        <a:p>
          <a:pPr eaLnBrk="1" fontAlgn="auto" latinLnBrk="0" hangingPunct="1"/>
          <a:endParaRPr lang="en-US">
            <a:solidFill>
              <a:schemeClr val="bg1"/>
            </a:solidFill>
            <a:effectLst/>
          </a:endParaRPr>
        </a:p>
        <a:p>
          <a:pPr eaLnBrk="1" fontAlgn="auto" latinLnBrk="0" hangingPunct="1"/>
          <a:r>
            <a:rPr lang="en-US" sz="1100" b="0" baseline="0">
              <a:solidFill>
                <a:schemeClr val="bg1"/>
              </a:solidFill>
              <a:effectLst/>
              <a:latin typeface="+mn-lt"/>
              <a:ea typeface="+mn-ea"/>
              <a:cs typeface="+mn-cs"/>
            </a:rPr>
            <a:t>1. </a:t>
          </a:r>
          <a:r>
            <a:rPr lang="en-US" sz="1100" b="1">
              <a:solidFill>
                <a:schemeClr val="bg1"/>
              </a:solidFill>
              <a:effectLst/>
              <a:latin typeface="+mn-lt"/>
              <a:ea typeface="+mn-ea"/>
              <a:cs typeface="+mn-cs"/>
            </a:rPr>
            <a:t>Apply N/A to Gray Cells</a:t>
          </a:r>
          <a:r>
            <a:rPr lang="en-US" sz="1100">
              <a:solidFill>
                <a:schemeClr val="bg1"/>
              </a:solidFill>
              <a:effectLst/>
              <a:latin typeface="+mn-lt"/>
              <a:ea typeface="+mn-ea"/>
              <a:cs typeface="+mn-cs"/>
            </a:rPr>
            <a:t>: Use the drop-down menu in Column D titled 'SELECTION' to apply the 'N/A' entry to all gray-colored cells.</a:t>
          </a: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2. </a:t>
          </a:r>
          <a:r>
            <a:rPr lang="en-US" sz="1100" b="1">
              <a:solidFill>
                <a:schemeClr val="bg1"/>
              </a:solidFill>
              <a:effectLst/>
              <a:latin typeface="+mn-lt"/>
              <a:ea typeface="+mn-ea"/>
              <a:cs typeface="+mn-cs"/>
            </a:rPr>
            <a:t>Answer Scoring Questions for Extrenme</a:t>
          </a:r>
          <a:r>
            <a:rPr lang="en-US" sz="1100" b="1" baseline="0">
              <a:solidFill>
                <a:schemeClr val="bg1"/>
              </a:solidFill>
              <a:effectLst/>
              <a:latin typeface="+mn-lt"/>
              <a:ea typeface="+mn-ea"/>
              <a:cs typeface="+mn-cs"/>
            </a:rPr>
            <a:t> Winds</a:t>
          </a:r>
          <a:r>
            <a:rPr lang="en-US" sz="1100">
              <a:solidFill>
                <a:schemeClr val="bg1"/>
              </a:solidFill>
              <a:effectLst/>
              <a:latin typeface="+mn-lt"/>
              <a:ea typeface="+mn-ea"/>
              <a:cs typeface="+mn-cs"/>
            </a:rPr>
            <a:t>: Answer questions Q2.1 to Q2.5 by assigning an</a:t>
          </a:r>
          <a:r>
            <a:rPr lang="en-US" sz="1100" baseline="0">
              <a:solidFill>
                <a:schemeClr val="bg1"/>
              </a:solidFill>
              <a:effectLst/>
              <a:latin typeface="+mn-lt"/>
              <a:ea typeface="+mn-ea"/>
              <a:cs typeface="+mn-cs"/>
            </a:rPr>
            <a:t> appropriate score </a:t>
          </a:r>
          <a:r>
            <a:rPr lang="en-US" sz="1100">
              <a:solidFill>
                <a:schemeClr val="bg1"/>
              </a:solidFill>
              <a:effectLst/>
              <a:latin typeface="+mn-lt"/>
              <a:ea typeface="+mn-ea"/>
              <a:cs typeface="+mn-cs"/>
            </a:rPr>
            <a:t>to the cells of</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Row 13. For simplified assessments, leave</a:t>
          </a:r>
          <a:r>
            <a:rPr lang="en-US" sz="1100" baseline="0">
              <a:solidFill>
                <a:schemeClr val="bg1"/>
              </a:solidFill>
              <a:effectLst/>
              <a:latin typeface="+mn-lt"/>
              <a:ea typeface="+mn-ea"/>
              <a:cs typeface="+mn-cs"/>
            </a:rPr>
            <a:t>  the subsequent rows blank.</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building's preliminary sensitivity to extreme</a:t>
          </a:r>
          <a:r>
            <a:rPr lang="en-US" sz="1100" baseline="0">
              <a:solidFill>
                <a:schemeClr val="bg1"/>
              </a:solidFill>
              <a:effectLst/>
              <a:latin typeface="+mn-lt"/>
              <a:ea typeface="+mn-ea"/>
              <a:cs typeface="+mn-cs"/>
            </a:rPr>
            <a:t> wind</a:t>
          </a:r>
          <a:r>
            <a:rPr lang="en-US" sz="1100">
              <a:solidFill>
                <a:schemeClr val="bg1"/>
              </a:solidFill>
              <a:effectLst/>
              <a:latin typeface="+mn-lt"/>
              <a:ea typeface="+mn-ea"/>
              <a:cs typeface="+mn-cs"/>
            </a:rPr>
            <a:t> will automatically appear in Column L</a:t>
          </a:r>
          <a:r>
            <a:rPr lang="en-US" sz="1100" baseline="0">
              <a:solidFill>
                <a:schemeClr val="bg1"/>
              </a:solidFill>
              <a:effectLst/>
              <a:latin typeface="+mn-lt"/>
              <a:ea typeface="+mn-ea"/>
              <a:cs typeface="+mn-cs"/>
            </a:rPr>
            <a:t> titled</a:t>
          </a:r>
          <a:r>
            <a:rPr lang="en-US" sz="1100">
              <a:solidFill>
                <a:schemeClr val="bg1"/>
              </a:solidFill>
              <a:effectLst/>
              <a:latin typeface="+mn-lt"/>
              <a:ea typeface="+mn-ea"/>
              <a:cs typeface="+mn-cs"/>
            </a:rPr>
            <a:t> 'Average Sensitivity Score'.</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4. Assess Adaptive Capacity</a:t>
          </a:r>
          <a:r>
            <a:rPr lang="en-US" sz="1100">
              <a:solidFill>
                <a:schemeClr val="bg1"/>
              </a:solidFill>
              <a:effectLst/>
              <a:latin typeface="+mn-lt"/>
              <a:ea typeface="+mn-ea"/>
              <a:cs typeface="+mn-cs"/>
            </a:rPr>
            <a:t>: Answer questions Q2.6 and Q2.7 to assess the building's 'Adaptive Capacity' ( i.e.,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to the threats mentioned. A non-zero score in 'Adaptive Capacity' will automatically lower the building's sensitivity, which will</a:t>
          </a:r>
          <a:r>
            <a:rPr lang="en-US" sz="1100" baseline="0">
              <a:solidFill>
                <a:schemeClr val="bg1"/>
              </a:solidFill>
              <a:effectLst/>
              <a:latin typeface="+mn-lt"/>
              <a:ea typeface="+mn-ea"/>
              <a:cs typeface="+mn-cs"/>
            </a:rPr>
            <a:t> be presented </a:t>
          </a:r>
          <a:r>
            <a:rPr lang="en-US" sz="1100">
              <a:solidFill>
                <a:schemeClr val="bg1"/>
              </a:solidFill>
              <a:effectLst/>
              <a:latin typeface="+mn-lt"/>
              <a:ea typeface="+mn-ea"/>
              <a:cs typeface="+mn-cs"/>
            </a:rPr>
            <a:t>in Column R titled</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'Final Sensitivity Score'</a:t>
          </a:r>
          <a:r>
            <a:rPr lang="en-US" sz="1100" baseline="0">
              <a:solidFill>
                <a:schemeClr val="bg1"/>
              </a:solidFill>
              <a:effectLst/>
              <a:latin typeface="+mn-lt"/>
              <a:ea typeface="+mn-ea"/>
              <a:cs typeface="+mn-cs"/>
            </a:rPr>
            <a:t> under Row 13. </a:t>
          </a:r>
          <a:endParaRPr lang="en-US" sz="1100">
            <a:solidFill>
              <a:schemeClr val="bg1"/>
            </a:solidFill>
            <a:effectLst/>
            <a:latin typeface="+mn-lt"/>
            <a:ea typeface="+mn-ea"/>
            <a:cs typeface="+mn-cs"/>
          </a:endParaRP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______________________________</a:t>
          </a:r>
          <a:endParaRPr lang="en-US">
            <a:solidFill>
              <a:schemeClr val="bg1"/>
            </a:solidFill>
            <a:effectLst/>
          </a:endParaRPr>
        </a:p>
        <a:p>
          <a:pPr eaLnBrk="1" fontAlgn="auto" latinLnBrk="0" hangingPunct="1"/>
          <a:r>
            <a:rPr lang="en-US" sz="1100" b="1" baseline="0">
              <a:solidFill>
                <a:schemeClr val="bg1"/>
              </a:solidFill>
              <a:effectLst/>
              <a:latin typeface="+mn-lt"/>
              <a:ea typeface="+mn-ea"/>
              <a:cs typeface="+mn-cs"/>
            </a:rPr>
            <a:t>MULTI-COMPONENT ASSESSMENT (</a:t>
          </a:r>
          <a:r>
            <a:rPr lang="en-US" sz="1100" b="0" baseline="0">
              <a:solidFill>
                <a:schemeClr val="bg1"/>
              </a:solidFill>
              <a:effectLst/>
              <a:latin typeface="+mn-lt"/>
              <a:ea typeface="+mn-ea"/>
              <a:cs typeface="+mn-cs"/>
            </a:rPr>
            <a:t>f</a:t>
          </a:r>
          <a:r>
            <a:rPr lang="en-US" sz="1100">
              <a:solidFill>
                <a:schemeClr val="bg1"/>
              </a:solidFill>
              <a:effectLst/>
              <a:latin typeface="+mn-lt"/>
              <a:ea typeface="+mn-ea"/>
              <a:cs typeface="+mn-cs"/>
            </a:rPr>
            <a:t>or all other facilities and</a:t>
          </a:r>
          <a:r>
            <a:rPr lang="en-US" sz="1100" baseline="0">
              <a:solidFill>
                <a:schemeClr val="bg1"/>
              </a:solidFill>
              <a:effectLst/>
              <a:latin typeface="+mn-lt"/>
              <a:ea typeface="+mn-ea"/>
              <a:cs typeface="+mn-cs"/>
            </a:rPr>
            <a:t> bigger residences)</a:t>
          </a:r>
        </a:p>
        <a:p>
          <a:pPr eaLnBrk="1" fontAlgn="auto" latinLnBrk="0" hangingPunct="1"/>
          <a:endParaRPr lang="en-US">
            <a:solidFill>
              <a:schemeClr val="bg1"/>
            </a:solidFill>
            <a:effectLst/>
          </a:endParaRPr>
        </a:p>
        <a:p>
          <a:pPr eaLnBrk="1" fontAlgn="auto" latinLnBrk="0" hangingPunct="1"/>
          <a:r>
            <a:rPr lang="en-US" sz="1100" baseline="0">
              <a:solidFill>
                <a:schemeClr val="bg1"/>
              </a:solidFill>
              <a:effectLst/>
              <a:latin typeface="+mn-lt"/>
              <a:ea typeface="+mn-ea"/>
              <a:cs typeface="+mn-cs"/>
            </a:rPr>
            <a:t>1. </a:t>
          </a:r>
          <a:r>
            <a:rPr lang="en-US" sz="1100" b="1">
              <a:solidFill>
                <a:schemeClr val="bg1"/>
              </a:solidFill>
              <a:effectLst/>
              <a:latin typeface="+mn-lt"/>
              <a:ea typeface="+mn-ea"/>
              <a:cs typeface="+mn-cs"/>
            </a:rPr>
            <a:t>Define the Key Building Components</a:t>
          </a:r>
          <a:r>
            <a:rPr lang="en-US" sz="1100">
              <a:solidFill>
                <a:schemeClr val="bg1"/>
              </a:solidFill>
              <a:effectLst/>
              <a:latin typeface="+mn-lt"/>
              <a:ea typeface="+mn-ea"/>
              <a:cs typeface="+mn-cs"/>
            </a:rPr>
            <a:t>: Use the drop-down menu to select which components in Column C are relevant to the project. Deactivate those that are not by selecting ‘N/A’.</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2. Answer Scoring Questions for Extreme</a:t>
          </a:r>
          <a:r>
            <a:rPr lang="en-US" sz="1100" b="1" baseline="0">
              <a:solidFill>
                <a:schemeClr val="bg1"/>
              </a:solidFill>
              <a:effectLst/>
              <a:latin typeface="+mn-lt"/>
              <a:ea typeface="+mn-ea"/>
              <a:cs typeface="+mn-cs"/>
            </a:rPr>
            <a:t> Winds</a:t>
          </a:r>
          <a:r>
            <a:rPr lang="en-US" sz="1100">
              <a:solidFill>
                <a:schemeClr val="bg1"/>
              </a:solidFill>
              <a:effectLst/>
              <a:latin typeface="+mn-lt"/>
              <a:ea typeface="+mn-ea"/>
              <a:cs typeface="+mn-cs"/>
            </a:rPr>
            <a:t>: Answer questions Q2.1 to Q2.5 by assigning an</a:t>
          </a:r>
          <a:r>
            <a:rPr lang="en-US" sz="1100" baseline="0">
              <a:solidFill>
                <a:schemeClr val="bg1"/>
              </a:solidFill>
              <a:effectLst/>
              <a:latin typeface="+mn-lt"/>
              <a:ea typeface="+mn-ea"/>
              <a:cs typeface="+mn-cs"/>
            </a:rPr>
            <a:t> appropriate score to the cells of</a:t>
          </a:r>
          <a:r>
            <a:rPr lang="en-US" sz="1100">
              <a:solidFill>
                <a:schemeClr val="bg1"/>
              </a:solidFill>
              <a:effectLst/>
              <a:latin typeface="+mn-lt"/>
              <a:ea typeface="+mn-ea"/>
              <a:cs typeface="+mn-cs"/>
            </a:rPr>
            <a:t> Row 14 and below. Leave the cells of Row 13 blank, as they are meant to be used for the 'Single Component Assessment'.</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sensitivity score of each individual building component to extreme winds will automatically appear in Column R, titled ‘Average Sensitivity Score’ – Rows 14 and below.</a:t>
          </a:r>
        </a:p>
        <a:p>
          <a:pPr eaLnBrk="1" fontAlgn="auto" latinLnBrk="0" hangingPunct="1"/>
          <a:endParaRPr lang="en-US">
            <a:solidFill>
              <a:schemeClr val="bg1"/>
            </a:solidFill>
            <a:effectLst/>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sz="1100" b="1">
              <a:solidFill>
                <a:schemeClr val="bg1"/>
              </a:solidFill>
              <a:effectLst/>
              <a:latin typeface="+mn-lt"/>
              <a:ea typeface="+mn-ea"/>
              <a:cs typeface="+mn-cs"/>
            </a:rPr>
            <a:t>Assess Adaptive Capacity</a:t>
          </a:r>
          <a:r>
            <a:rPr lang="en-US" sz="1100">
              <a:solidFill>
                <a:schemeClr val="bg1"/>
              </a:solidFill>
              <a:effectLst/>
              <a:latin typeface="+mn-lt"/>
              <a:ea typeface="+mn-ea"/>
              <a:cs typeface="+mn-cs"/>
            </a:rPr>
            <a:t>: Answer questions Q2.6 to Q2.7 to determine the 'Adaptive Capacity' of each component to extreme</a:t>
          </a:r>
          <a:r>
            <a:rPr lang="en-US" sz="1100" baseline="0">
              <a:solidFill>
                <a:schemeClr val="bg1"/>
              </a:solidFill>
              <a:effectLst/>
              <a:latin typeface="+mn-lt"/>
              <a:ea typeface="+mn-ea"/>
              <a:cs typeface="+mn-cs"/>
            </a:rPr>
            <a:t> winds</a:t>
          </a:r>
          <a:r>
            <a:rPr lang="en-US" sz="1100">
              <a:solidFill>
                <a:schemeClr val="bg1"/>
              </a:solidFill>
              <a:effectLst/>
              <a:latin typeface="+mn-lt"/>
              <a:ea typeface="+mn-ea"/>
              <a:cs typeface="+mn-cs"/>
            </a:rPr>
            <a:t>. A non-zero ‘Adaptive Capacity’ score will automatically reduce the sensitivity of the component.</a:t>
          </a:r>
        </a:p>
        <a:p>
          <a:endParaRPr lang="en-US">
            <a:solidFill>
              <a:schemeClr val="bg1"/>
            </a:solidFill>
            <a:effectLst/>
          </a:endParaRPr>
        </a:p>
        <a:p>
          <a:r>
            <a:rPr lang="en-US" sz="1100" b="1">
              <a:solidFill>
                <a:schemeClr val="bg1"/>
              </a:solidFill>
              <a:effectLst/>
              <a:latin typeface="+mn-lt"/>
              <a:ea typeface="+mn-ea"/>
              <a:cs typeface="+mn-cs"/>
            </a:rPr>
            <a:t>6. Final Sensitivity Score Display</a:t>
          </a:r>
          <a:r>
            <a:rPr lang="en-US" sz="1100">
              <a:solidFill>
                <a:schemeClr val="bg1"/>
              </a:solidFill>
              <a:effectLst/>
              <a:latin typeface="+mn-lt"/>
              <a:ea typeface="+mn-ea"/>
              <a:cs typeface="+mn-cs"/>
            </a:rPr>
            <a:t>: The final sensitivity scores of all active will appear in the</a:t>
          </a:r>
          <a:r>
            <a:rPr lang="en-US" sz="1100" baseline="0">
              <a:solidFill>
                <a:schemeClr val="bg1"/>
              </a:solidFill>
              <a:effectLst/>
              <a:latin typeface="+mn-lt"/>
              <a:ea typeface="+mn-ea"/>
              <a:cs typeface="+mn-cs"/>
            </a:rPr>
            <a:t> respective cells of </a:t>
          </a:r>
          <a:r>
            <a:rPr lang="en-US" sz="1100">
              <a:solidFill>
                <a:schemeClr val="bg1"/>
              </a:solidFill>
              <a:effectLst/>
              <a:latin typeface="+mn-lt"/>
              <a:ea typeface="+mn-ea"/>
              <a:cs typeface="+mn-cs"/>
            </a:rPr>
            <a:t>Column R (Rows 14 and below) and will be automatically transferred to the Wind-Step 3 tab.</a:t>
          </a:r>
          <a:endParaRPr lang="en-US">
            <a:solidFill>
              <a:schemeClr val="bg1"/>
            </a:solidFill>
            <a:effectLst/>
          </a:endParaRP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19" name="Group 8">
          <a:extLst>
            <a:ext uri="{FF2B5EF4-FFF2-40B4-BE49-F238E27FC236}">
              <a16:creationId xmlns:a16="http://schemas.microsoft.com/office/drawing/2014/main" id="{88EA362F-8A72-1BE6-D4D2-5BB4CEE7E226}"/>
            </a:ext>
          </a:extLst>
        </xdr:cNvPr>
        <xdr:cNvGrpSpPr/>
      </xdr:nvGrpSpPr>
      <xdr:grpSpPr>
        <a:xfrm>
          <a:off x="156293" y="193638"/>
          <a:ext cx="430458" cy="446447"/>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AC13ECEE-5DD5-0C32-2C3F-AD187796508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2569FEFE-66D1-3E37-D272-ECFDE4D87F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editAs="oneCell">
    <xdr:from>
      <xdr:col>0</xdr:col>
      <xdr:colOff>1244567</xdr:colOff>
      <xdr:row>1</xdr:row>
      <xdr:rowOff>3138</xdr:rowOff>
    </xdr:from>
    <xdr:to>
      <xdr:col>0</xdr:col>
      <xdr:colOff>2294695</xdr:colOff>
      <xdr:row>2</xdr:row>
      <xdr:rowOff>186514</xdr:rowOff>
    </xdr:to>
    <xdr:grpSp>
      <xdr:nvGrpSpPr>
        <xdr:cNvPr id="22" name="Group 9">
          <a:extLst>
            <a:ext uri="{FF2B5EF4-FFF2-40B4-BE49-F238E27FC236}">
              <a16:creationId xmlns:a16="http://schemas.microsoft.com/office/drawing/2014/main" id="{D9EA41B3-5392-0054-3DF7-336DA09F11CC}"/>
            </a:ext>
          </a:extLst>
        </xdr:cNvPr>
        <xdr:cNvGrpSpPr/>
      </xdr:nvGrpSpPr>
      <xdr:grpSpPr>
        <a:xfrm>
          <a:off x="1247742" y="193638"/>
          <a:ext cx="1050128" cy="446447"/>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66A74653-0CFE-CC62-4970-791FF7FB13AC}"/>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73507323-7767-80CA-DD54-7E6C97207C97}"/>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CECFD269-7936-1859-1223-5CF7CCAFC000}"/>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46818805-EC3F-8F71-D130-5EE8DCB704F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813307</xdr:colOff>
      <xdr:row>42</xdr:row>
      <xdr:rowOff>170612</xdr:rowOff>
    </xdr:from>
    <xdr:to>
      <xdr:col>0</xdr:col>
      <xdr:colOff>2086648</xdr:colOff>
      <xdr:row>45</xdr:row>
      <xdr:rowOff>79440</xdr:rowOff>
    </xdr:to>
    <xdr:sp macro="" textlink="">
      <xdr:nvSpPr>
        <xdr:cNvPr id="27" name="TextBox 10">
          <a:extLst>
            <a:ext uri="{FF2B5EF4-FFF2-40B4-BE49-F238E27FC236}">
              <a16:creationId xmlns:a16="http://schemas.microsoft.com/office/drawing/2014/main" id="{29B66D0C-1356-97BC-0DD3-7FCDB1C298A4}"/>
            </a:ext>
          </a:extLst>
        </xdr:cNvPr>
        <xdr:cNvSpPr txBox="1"/>
      </xdr:nvSpPr>
      <xdr:spPr>
        <a:xfrm>
          <a:off x="813307" y="21304906"/>
          <a:ext cx="1273341" cy="469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169397</xdr:colOff>
      <xdr:row>45</xdr:row>
      <xdr:rowOff>136668</xdr:rowOff>
    </xdr:from>
    <xdr:to>
      <xdr:col>0</xdr:col>
      <xdr:colOff>2668960</xdr:colOff>
      <xdr:row>59</xdr:row>
      <xdr:rowOff>177622</xdr:rowOff>
    </xdr:to>
    <xdr:pic>
      <xdr:nvPicPr>
        <xdr:cNvPr id="28" name="Picture 11">
          <a:extLst>
            <a:ext uri="{FF2B5EF4-FFF2-40B4-BE49-F238E27FC236}">
              <a16:creationId xmlns:a16="http://schemas.microsoft.com/office/drawing/2014/main" id="{25AA13EF-54B4-FB45-01EE-6E6245644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9397" y="21831256"/>
          <a:ext cx="2499563" cy="2655660"/>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8" name="Βέλος: Κάτω 7">
          <a:extLst>
            <a:ext uri="{FF2B5EF4-FFF2-40B4-BE49-F238E27FC236}">
              <a16:creationId xmlns:a16="http://schemas.microsoft.com/office/drawing/2014/main" id="{091D11DE-7017-443D-AAA5-7522B8419CF9}"/>
            </a:ext>
          </a:extLst>
        </xdr:cNvPr>
        <xdr:cNvSpPr/>
      </xdr:nvSpPr>
      <xdr:spPr>
        <a:xfrm>
          <a:off x="7123546" y="3059545"/>
          <a:ext cx="173182" cy="538451"/>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2738828</xdr:colOff>
      <xdr:row>26</xdr:row>
      <xdr:rowOff>111125</xdr:rowOff>
    </xdr:to>
    <xdr:grpSp>
      <xdr:nvGrpSpPr>
        <xdr:cNvPr id="29" name="Group 4">
          <a:extLst>
            <a:ext uri="{FF2B5EF4-FFF2-40B4-BE49-F238E27FC236}">
              <a16:creationId xmlns:a16="http://schemas.microsoft.com/office/drawing/2014/main" id="{D85292AC-40AD-4B14-BB26-C74DE633BD68}"/>
            </a:ext>
          </a:extLst>
        </xdr:cNvPr>
        <xdr:cNvGrpSpPr/>
      </xdr:nvGrpSpPr>
      <xdr:grpSpPr>
        <a:xfrm>
          <a:off x="0" y="0"/>
          <a:ext cx="2738828" cy="12684125"/>
          <a:chOff x="11907" y="199719"/>
          <a:chExt cx="2784141" cy="11803163"/>
        </a:xfrm>
      </xdr:grpSpPr>
      <xdr:sp macro="" textlink="">
        <xdr:nvSpPr>
          <xdr:cNvPr id="30" name="Rectangle 5">
            <a:extLst>
              <a:ext uri="{FF2B5EF4-FFF2-40B4-BE49-F238E27FC236}">
                <a16:creationId xmlns:a16="http://schemas.microsoft.com/office/drawing/2014/main" id="{2A79FB39-B3BE-5B5E-E417-317541D1BAC4}"/>
              </a:ext>
            </a:extLst>
          </xdr:cNvPr>
          <xdr:cNvSpPr/>
        </xdr:nvSpPr>
        <xdr:spPr>
          <a:xfrm>
            <a:off x="11907" y="199719"/>
            <a:ext cx="2784141" cy="118031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7">
            <a:extLst>
              <a:ext uri="{FF2B5EF4-FFF2-40B4-BE49-F238E27FC236}">
                <a16:creationId xmlns:a16="http://schemas.microsoft.com/office/drawing/2014/main" id="{5507B263-A974-332F-5675-BAD31019A12B}"/>
              </a:ext>
            </a:extLst>
          </xdr:cNvPr>
          <xdr:cNvSpPr txBox="1"/>
        </xdr:nvSpPr>
        <xdr:spPr>
          <a:xfrm>
            <a:off x="159408" y="1101624"/>
            <a:ext cx="2291476" cy="403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effectLst/>
                <a:latin typeface="+mn-lt"/>
                <a:ea typeface="+mn-ea"/>
                <a:cs typeface="+mn-cs"/>
              </a:rPr>
              <a:t>The scope of this step is to help users identify the building’s components that are  more</a:t>
            </a:r>
            <a:r>
              <a:rPr lang="en-US" sz="1100" b="0" baseline="0">
                <a:solidFill>
                  <a:schemeClr val="bg1"/>
                </a:solidFill>
                <a:effectLst/>
                <a:latin typeface="+mn-lt"/>
                <a:ea typeface="+mn-ea"/>
                <a:cs typeface="+mn-cs"/>
              </a:rPr>
              <a:t> probable to</a:t>
            </a:r>
            <a:r>
              <a:rPr lang="en-US" sz="1100" b="0">
                <a:solidFill>
                  <a:schemeClr val="bg1"/>
                </a:solidFill>
                <a:effectLst/>
                <a:latin typeface="+mn-lt"/>
                <a:ea typeface="+mn-ea"/>
                <a:cs typeface="+mn-cs"/>
              </a:rPr>
              <a:t> sustain damage </a:t>
            </a:r>
            <a:r>
              <a:rPr lang="en-US" sz="1100" b="0">
                <a:solidFill>
                  <a:schemeClr val="bg1"/>
                </a:solidFill>
                <a:latin typeface="+mn-lt"/>
              </a:rPr>
              <a:t>when the facility is exposed to extreme winds, windstorms, or tornados. </a:t>
            </a:r>
          </a:p>
          <a:p>
            <a:pPr marL="144000" indent="-144000" algn="l">
              <a:spcAft>
                <a:spcPts val="600"/>
              </a:spcAft>
              <a:buSzPct val="100000"/>
              <a:buFont typeface="+mj-lt"/>
              <a:buAutoNum type="arabicPeriod"/>
            </a:pPr>
            <a:r>
              <a:rPr lang="en-US" sz="1100" b="0">
                <a:solidFill>
                  <a:schemeClr val="bg1"/>
                </a:solidFill>
                <a:latin typeface="+mn-lt"/>
              </a:rPr>
              <a:t>The component's risk  is derived automatically by combining the sensitivity and the exposure scores of the previous Steps. Risk</a:t>
            </a:r>
            <a:r>
              <a:rPr lang="en-US" sz="1100" b="0" baseline="0">
                <a:solidFill>
                  <a:schemeClr val="bg1"/>
                </a:solidFill>
                <a:latin typeface="+mn-lt"/>
              </a:rPr>
              <a:t>s</a:t>
            </a:r>
            <a:r>
              <a:rPr lang="en-US" sz="1100" b="0">
                <a:solidFill>
                  <a:schemeClr val="bg1"/>
                </a:solidFill>
                <a:latin typeface="+mn-lt"/>
              </a:rPr>
              <a:t> 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 scores are automatically transferred to Step 4, to inform the selection of most appropriate adaptation measures. </a:t>
            </a:r>
          </a:p>
          <a:p>
            <a:pPr marL="144000" indent="-144000" algn="l">
              <a:spcAft>
                <a:spcPts val="600"/>
              </a:spcAft>
              <a:buSzPct val="100000"/>
              <a:buFont typeface="+mj-lt"/>
              <a:buAutoNum type="arabicPeriod"/>
            </a:pPr>
            <a:endParaRPr lang="en-US" sz="1000" b="0">
              <a:solidFill>
                <a:schemeClr val="bg1"/>
              </a:solidFill>
              <a:latin typeface="+mn-lt"/>
            </a:endParaRPr>
          </a:p>
        </xdr:txBody>
      </xdr:sp>
      <xdr:grpSp>
        <xdr:nvGrpSpPr>
          <xdr:cNvPr id="32" name="Group 8">
            <a:extLst>
              <a:ext uri="{FF2B5EF4-FFF2-40B4-BE49-F238E27FC236}">
                <a16:creationId xmlns:a16="http://schemas.microsoft.com/office/drawing/2014/main" id="{7418DE05-4B25-3F63-BDEF-3A991865EC3F}"/>
              </a:ext>
            </a:extLst>
          </xdr:cNvPr>
          <xdr:cNvGrpSpPr/>
        </xdr:nvGrpSpPr>
        <xdr:grpSpPr>
          <a:xfrm>
            <a:off x="168460" y="379876"/>
            <a:ext cx="431173" cy="435489"/>
            <a:chOff x="1238250" y="942975"/>
            <a:chExt cx="533400" cy="533400"/>
          </a:xfrm>
        </xdr:grpSpPr>
        <xdr:sp macro="" textlink="">
          <xdr:nvSpPr>
            <xdr:cNvPr id="33" name="Rectangle: Rounded Corners 16">
              <a:hlinkClick xmlns:r="http://schemas.openxmlformats.org/officeDocument/2006/relationships" r:id="rId1"/>
              <a:extLst>
                <a:ext uri="{FF2B5EF4-FFF2-40B4-BE49-F238E27FC236}">
                  <a16:creationId xmlns:a16="http://schemas.microsoft.com/office/drawing/2014/main" id="{8AB2250E-F2B5-8134-B871-0BACDF0C7700}"/>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17" descr="Home with solid fill">
              <a:hlinkClick xmlns:r="http://schemas.openxmlformats.org/officeDocument/2006/relationships" r:id="rId1"/>
              <a:extLst>
                <a:ext uri="{FF2B5EF4-FFF2-40B4-BE49-F238E27FC236}">
                  <a16:creationId xmlns:a16="http://schemas.microsoft.com/office/drawing/2014/main" id="{FC513839-5A15-D9AF-C55C-CDBAC7B07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35" name="Group 9">
            <a:extLst>
              <a:ext uri="{FF2B5EF4-FFF2-40B4-BE49-F238E27FC236}">
                <a16:creationId xmlns:a16="http://schemas.microsoft.com/office/drawing/2014/main" id="{948D2416-74D8-2451-9449-2B7E1B53AE0E}"/>
              </a:ext>
            </a:extLst>
          </xdr:cNvPr>
          <xdr:cNvGrpSpPr/>
        </xdr:nvGrpSpPr>
        <xdr:grpSpPr>
          <a:xfrm>
            <a:off x="1258540" y="379876"/>
            <a:ext cx="1051872" cy="435489"/>
            <a:chOff x="1037919" y="109140"/>
            <a:chExt cx="1301261" cy="533400"/>
          </a:xfrm>
        </xdr:grpSpPr>
        <xdr:sp macro="" textlink="">
          <xdr:nvSpPr>
            <xdr:cNvPr id="36" name="Rectangle: Rounded Corners 12">
              <a:hlinkClick xmlns:r="http://schemas.openxmlformats.org/officeDocument/2006/relationships" r:id="rId4"/>
              <a:extLst>
                <a:ext uri="{FF2B5EF4-FFF2-40B4-BE49-F238E27FC236}">
                  <a16:creationId xmlns:a16="http://schemas.microsoft.com/office/drawing/2014/main" id="{34E71A5D-8DE9-09EE-7264-5D6E8EA67C75}"/>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Arrow: Right 13">
              <a:hlinkClick xmlns:r="http://schemas.openxmlformats.org/officeDocument/2006/relationships" r:id="rId4"/>
              <a:extLst>
                <a:ext uri="{FF2B5EF4-FFF2-40B4-BE49-F238E27FC236}">
                  <a16:creationId xmlns:a16="http://schemas.microsoft.com/office/drawing/2014/main" id="{627F34AE-04C9-FCF2-2DEE-A7FFA6268AD0}"/>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ctangle: Rounded Corners 14">
              <a:hlinkClick xmlns:r="http://schemas.openxmlformats.org/officeDocument/2006/relationships" r:id="rId5"/>
              <a:extLst>
                <a:ext uri="{FF2B5EF4-FFF2-40B4-BE49-F238E27FC236}">
                  <a16:creationId xmlns:a16="http://schemas.microsoft.com/office/drawing/2014/main" id="{047D96FD-28BB-1821-7C33-96CB419451D6}"/>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Arrow: Right 15">
              <a:hlinkClick xmlns:r="http://schemas.openxmlformats.org/officeDocument/2006/relationships" r:id="rId5"/>
              <a:extLst>
                <a:ext uri="{FF2B5EF4-FFF2-40B4-BE49-F238E27FC236}">
                  <a16:creationId xmlns:a16="http://schemas.microsoft.com/office/drawing/2014/main" id="{D1D99D92-0114-AA4F-1087-A4E6303A84B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10">
            <a:extLst>
              <a:ext uri="{FF2B5EF4-FFF2-40B4-BE49-F238E27FC236}">
                <a16:creationId xmlns:a16="http://schemas.microsoft.com/office/drawing/2014/main" id="{B6A74B35-A1FA-4803-A453-36589C1BA82B}"/>
              </a:ext>
            </a:extLst>
          </xdr:cNvPr>
          <xdr:cNvSpPr txBox="1"/>
        </xdr:nvSpPr>
        <xdr:spPr>
          <a:xfrm>
            <a:off x="658808" y="5221424"/>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41" name="Picture 11">
            <a:extLst>
              <a:ext uri="{FF2B5EF4-FFF2-40B4-BE49-F238E27FC236}">
                <a16:creationId xmlns:a16="http://schemas.microsoft.com/office/drawing/2014/main" id="{A5B2D0C4-9451-1B33-7994-66510DC1AF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17535" y="5705147"/>
            <a:ext cx="2511604" cy="3193465"/>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2757878</xdr:colOff>
      <xdr:row>57</xdr:row>
      <xdr:rowOff>101600</xdr:rowOff>
    </xdr:to>
    <xdr:grpSp>
      <xdr:nvGrpSpPr>
        <xdr:cNvPr id="57" name="Group 3">
          <a:extLst>
            <a:ext uri="{FF2B5EF4-FFF2-40B4-BE49-F238E27FC236}">
              <a16:creationId xmlns:a16="http://schemas.microsoft.com/office/drawing/2014/main" id="{943A6E3F-EB8F-4700-B50D-79F4220F82CD}"/>
            </a:ext>
          </a:extLst>
        </xdr:cNvPr>
        <xdr:cNvGrpSpPr/>
      </xdr:nvGrpSpPr>
      <xdr:grpSpPr>
        <a:xfrm>
          <a:off x="0" y="0"/>
          <a:ext cx="2757878" cy="20969061"/>
          <a:chOff x="11907" y="199719"/>
          <a:chExt cx="2784141" cy="20989088"/>
        </a:xfrm>
      </xdr:grpSpPr>
      <xdr:sp macro="" textlink="">
        <xdr:nvSpPr>
          <xdr:cNvPr id="58" name="Rectangle 4">
            <a:extLst>
              <a:ext uri="{FF2B5EF4-FFF2-40B4-BE49-F238E27FC236}">
                <a16:creationId xmlns:a16="http://schemas.microsoft.com/office/drawing/2014/main" id="{6261B37A-0F4B-5700-83AD-AA7BB8CF6EE2}"/>
              </a:ext>
            </a:extLst>
          </xdr:cNvPr>
          <xdr:cNvSpPr/>
        </xdr:nvSpPr>
        <xdr:spPr>
          <a:xfrm>
            <a:off x="11907" y="199719"/>
            <a:ext cx="2784141" cy="2098908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
            <a:extLst>
              <a:ext uri="{FF2B5EF4-FFF2-40B4-BE49-F238E27FC236}">
                <a16:creationId xmlns:a16="http://schemas.microsoft.com/office/drawing/2014/main" id="{4099D7E9-2999-6721-A7FB-733A619B1F29}"/>
              </a:ext>
            </a:extLst>
          </xdr:cNvPr>
          <xdr:cNvSpPr txBox="1"/>
        </xdr:nvSpPr>
        <xdr:spPr>
          <a:xfrm>
            <a:off x="159408" y="1101623"/>
            <a:ext cx="2291476" cy="1375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inform users about the variety of adaptation measures that can be used to climate-proof buildings against extreme winds. The list of adaptation measures is displayed in Table 4.2. Every adaptation measure is associated 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riks. For ease of reference, the risk</a:t>
            </a:r>
            <a:r>
              <a:rPr lang="en-US" sz="1100" b="0" baseline="0">
                <a:solidFill>
                  <a:schemeClr val="bg1"/>
                </a:solidFill>
                <a:latin typeface="+mn-lt"/>
              </a:rPr>
              <a:t> for each component</a:t>
            </a:r>
            <a:r>
              <a:rPr lang="en-US" sz="1100" b="0">
                <a:solidFill>
                  <a:schemeClr val="bg1"/>
                </a:solidFill>
                <a:latin typeface="+mn-lt"/>
              </a:rPr>
              <a:t> ia automatically transferred herein from the previous step. Select measures that offer protection to moderately or high risk components. Prioritize measures that: (i) offer higher protection;  (ii) can benefit multiple components; and (iii) are cost-efficient. Enter the list of selected measures in the Field 4.2.</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marR="0" lvl="0" indent="-144000" algn="l" defTabSz="914400" eaLnBrk="1" fontAlgn="auto" latinLnBrk="0" hangingPunct="1">
              <a:lnSpc>
                <a:spcPct val="100000"/>
              </a:lnSpc>
              <a:spcBef>
                <a:spcPts val="0"/>
              </a:spcBef>
              <a:spcAft>
                <a:spcPts val="600"/>
              </a:spcAft>
              <a:buClrTx/>
              <a:buSzPct val="100000"/>
              <a:buFont typeface="+mj-lt"/>
              <a:buAutoNum type="arabicPeriod"/>
              <a:tabLst/>
              <a:defRPr/>
            </a:pPr>
            <a:r>
              <a:rPr lang="en-US" sz="1100" b="0">
                <a:solidFill>
                  <a:schemeClr val="bg1"/>
                </a:solidFill>
                <a:latin typeface="+mn-lt"/>
              </a:rPr>
              <a:t>For each building component, determine the level of protection that is offered by the selected adaptation strategy and enter your response in the Field 4.3. In case the selection includes more than one measures, determine an aggregated level of protection considering complementarities between adaptation measures</a:t>
            </a:r>
            <a:r>
              <a:rPr lang="en-US" sz="1100" b="0" baseline="0">
                <a:solidFill>
                  <a:schemeClr val="bg1"/>
                </a:solidFill>
                <a:latin typeface="+mn-lt"/>
              </a:rPr>
              <a:t> </a:t>
            </a:r>
            <a:r>
              <a:rPr lang="en-US" sz="1100" b="0">
                <a:solidFill>
                  <a:schemeClr val="bg1"/>
                </a:solidFill>
                <a:effectLst/>
                <a:latin typeface="+mn-lt"/>
                <a:ea typeface="+mn-ea"/>
                <a:cs typeface="+mn-cs"/>
              </a:rPr>
              <a:t>measures</a:t>
            </a:r>
            <a:r>
              <a:rPr lang="en-US" sz="1100" b="0" baseline="0">
                <a:solidFill>
                  <a:schemeClr val="bg1"/>
                </a:solidFill>
                <a:effectLst/>
                <a:latin typeface="+mn-lt"/>
                <a:ea typeface="+mn-ea"/>
                <a:cs typeface="+mn-cs"/>
              </a:rPr>
              <a:t> and project specific features or limitations.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a:t>
            </a:r>
            <a:r>
              <a:rPr lang="en-US" sz="1100" b="0" baseline="0">
                <a:solidFill>
                  <a:schemeClr val="bg1"/>
                </a:solidFill>
                <a:latin typeface="+mn-lt"/>
              </a:rPr>
              <a:t> </a:t>
            </a:r>
            <a:r>
              <a:rPr lang="en-US" sz="1100" b="0">
                <a:solidFill>
                  <a:schemeClr val="bg1"/>
                </a:solidFill>
                <a:latin typeface="+mn-lt"/>
              </a:rPr>
              <a:t>score of each component will be displayed in Field 4.4. The climate-proofing is considered successful when the residual risk of all buildings’ components (after the implementation of adaptation measures) is</a:t>
            </a:r>
            <a:r>
              <a:rPr lang="en-US" sz="1100" b="0" baseline="0">
                <a:solidFill>
                  <a:schemeClr val="bg1"/>
                </a:solidFill>
                <a:latin typeface="+mn-lt"/>
              </a:rPr>
              <a:t> </a:t>
            </a:r>
            <a:r>
              <a:rPr lang="en-US" sz="1100" b="0">
                <a:solidFill>
                  <a:schemeClr val="bg1"/>
                </a:solidFill>
                <a:effectLst/>
                <a:latin typeface="+mn-lt"/>
                <a:ea typeface="+mn-ea"/>
                <a:cs typeface="+mn-cs"/>
              </a:rPr>
              <a:t>lower</a:t>
            </a:r>
            <a:r>
              <a:rPr lang="en-US" sz="1100" b="0" baseline="0">
                <a:solidFill>
                  <a:schemeClr val="bg1"/>
                </a:solidFill>
                <a:effectLst/>
                <a:latin typeface="+mn-lt"/>
                <a:ea typeface="+mn-ea"/>
                <a:cs typeface="+mn-cs"/>
              </a:rPr>
              <a:t> than the minimum acceptable risk (for the specific component).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If not, modify the adaptation strategy accordingly and repeat the assessment. </a:t>
            </a:r>
          </a:p>
        </xdr:txBody>
      </xdr:sp>
      <xdr:grpSp>
        <xdr:nvGrpSpPr>
          <xdr:cNvPr id="60" name="Group 6">
            <a:extLst>
              <a:ext uri="{FF2B5EF4-FFF2-40B4-BE49-F238E27FC236}">
                <a16:creationId xmlns:a16="http://schemas.microsoft.com/office/drawing/2014/main" id="{142570C8-510D-306E-2A81-3659896E8F0C}"/>
              </a:ext>
            </a:extLst>
          </xdr:cNvPr>
          <xdr:cNvGrpSpPr/>
        </xdr:nvGrpSpPr>
        <xdr:grpSpPr>
          <a:xfrm>
            <a:off x="168460" y="379876"/>
            <a:ext cx="431173" cy="435489"/>
            <a:chOff x="1238250" y="942975"/>
            <a:chExt cx="533400" cy="533400"/>
          </a:xfrm>
        </xdr:grpSpPr>
        <xdr:sp macro="" textlink="">
          <xdr:nvSpPr>
            <xdr:cNvPr id="61" name="Rectangle: Rounded Corners 14">
              <a:hlinkClick xmlns:r="http://schemas.openxmlformats.org/officeDocument/2006/relationships" r:id="rId1"/>
              <a:extLst>
                <a:ext uri="{FF2B5EF4-FFF2-40B4-BE49-F238E27FC236}">
                  <a16:creationId xmlns:a16="http://schemas.microsoft.com/office/drawing/2014/main" id="{7455384C-FF67-9107-6791-F9DC3117E0A4}"/>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Graphic 15" descr="Home with solid fill">
              <a:hlinkClick xmlns:r="http://schemas.openxmlformats.org/officeDocument/2006/relationships" r:id="rId1"/>
              <a:extLst>
                <a:ext uri="{FF2B5EF4-FFF2-40B4-BE49-F238E27FC236}">
                  <a16:creationId xmlns:a16="http://schemas.microsoft.com/office/drawing/2014/main" id="{4A4E3BF0-9A8D-0759-D1EF-AE99DCC7C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63" name="Group 7">
            <a:extLst>
              <a:ext uri="{FF2B5EF4-FFF2-40B4-BE49-F238E27FC236}">
                <a16:creationId xmlns:a16="http://schemas.microsoft.com/office/drawing/2014/main" id="{5438644D-3DFA-4966-DE66-20ECA7E96122}"/>
              </a:ext>
            </a:extLst>
          </xdr:cNvPr>
          <xdr:cNvGrpSpPr/>
        </xdr:nvGrpSpPr>
        <xdr:grpSpPr>
          <a:xfrm>
            <a:off x="1258540" y="379876"/>
            <a:ext cx="1051872" cy="435489"/>
            <a:chOff x="1037919" y="109140"/>
            <a:chExt cx="1301261" cy="533400"/>
          </a:xfrm>
        </xdr:grpSpPr>
        <xdr:sp macro="" textlink="">
          <xdr:nvSpPr>
            <xdr:cNvPr id="64" name="Rectangle: Rounded Corners 10">
              <a:hlinkClick xmlns:r="http://schemas.openxmlformats.org/officeDocument/2006/relationships" r:id="rId4"/>
              <a:extLst>
                <a:ext uri="{FF2B5EF4-FFF2-40B4-BE49-F238E27FC236}">
                  <a16:creationId xmlns:a16="http://schemas.microsoft.com/office/drawing/2014/main" id="{08E3BA7D-5937-7E14-CAEE-2F237F606C7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Arrow: Right 11">
              <a:hlinkClick xmlns:r="http://schemas.openxmlformats.org/officeDocument/2006/relationships" r:id="rId4"/>
              <a:extLst>
                <a:ext uri="{FF2B5EF4-FFF2-40B4-BE49-F238E27FC236}">
                  <a16:creationId xmlns:a16="http://schemas.microsoft.com/office/drawing/2014/main" id="{38AABACE-64BC-0C11-0CBD-23D59876716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12">
              <a:hlinkClick xmlns:r="http://schemas.openxmlformats.org/officeDocument/2006/relationships" r:id="rId5"/>
              <a:extLst>
                <a:ext uri="{FF2B5EF4-FFF2-40B4-BE49-F238E27FC236}">
                  <a16:creationId xmlns:a16="http://schemas.microsoft.com/office/drawing/2014/main" id="{C1D9F8A0-0F65-F517-364A-B58182FFD499}"/>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Arrow: Right 13">
              <a:hlinkClick xmlns:r="http://schemas.openxmlformats.org/officeDocument/2006/relationships" r:id="rId5"/>
              <a:extLst>
                <a:ext uri="{FF2B5EF4-FFF2-40B4-BE49-F238E27FC236}">
                  <a16:creationId xmlns:a16="http://schemas.microsoft.com/office/drawing/2014/main" id="{7955F87E-8619-7284-69E2-5D62B457826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0</xdr:colOff>
      <xdr:row>2</xdr:row>
      <xdr:rowOff>365125</xdr:rowOff>
    </xdr:from>
    <xdr:to>
      <xdr:col>0</xdr:col>
      <xdr:colOff>461818</xdr:colOff>
      <xdr:row>2</xdr:row>
      <xdr:rowOff>365125</xdr:rowOff>
    </xdr:to>
    <xdr:cxnSp macro="">
      <xdr:nvCxnSpPr>
        <xdr:cNvPr id="76" name="Ευθύγραμμο βέλος σύνδεσης 75">
          <a:extLst>
            <a:ext uri="{FF2B5EF4-FFF2-40B4-BE49-F238E27FC236}">
              <a16:creationId xmlns:a16="http://schemas.microsoft.com/office/drawing/2014/main" id="{11A52823-46AE-458D-A9E0-6B177F3C88CB}"/>
            </a:ext>
          </a:extLst>
        </xdr:cNvPr>
        <xdr:cNvCxnSpPr/>
      </xdr:nvCxnSpPr>
      <xdr:spPr>
        <a:xfrm flipH="1">
          <a:off x="0" y="1016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22</xdr:row>
      <xdr:rowOff>406400</xdr:rowOff>
    </xdr:from>
    <xdr:to>
      <xdr:col>23</xdr:col>
      <xdr:colOff>512618</xdr:colOff>
      <xdr:row>22</xdr:row>
      <xdr:rowOff>406400</xdr:rowOff>
    </xdr:to>
    <xdr:cxnSp macro="">
      <xdr:nvCxnSpPr>
        <xdr:cNvPr id="2" name="Ευθύγραμμο βέλος σύνδεσης 1">
          <a:extLst>
            <a:ext uri="{FF2B5EF4-FFF2-40B4-BE49-F238E27FC236}">
              <a16:creationId xmlns:a16="http://schemas.microsoft.com/office/drawing/2014/main" id="{527ECB46-B37B-4F58-B05B-8C5082DFABBC}"/>
            </a:ext>
          </a:extLst>
        </xdr:cNvPr>
        <xdr:cNvCxnSpPr/>
      </xdr:nvCxnSpPr>
      <xdr:spPr>
        <a:xfrm flipH="1">
          <a:off x="30556200" y="6985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533400</xdr:colOff>
      <xdr:row>18</xdr:row>
      <xdr:rowOff>76200</xdr:rowOff>
    </xdr:from>
    <xdr:to>
      <xdr:col>30</xdr:col>
      <xdr:colOff>332820</xdr:colOff>
      <xdr:row>27</xdr:row>
      <xdr:rowOff>187325</xdr:rowOff>
    </xdr:to>
    <xdr:sp macro="" textlink="">
      <xdr:nvSpPr>
        <xdr:cNvPr id="3" name="TextBox 3">
          <a:extLst>
            <a:ext uri="{FF2B5EF4-FFF2-40B4-BE49-F238E27FC236}">
              <a16:creationId xmlns:a16="http://schemas.microsoft.com/office/drawing/2014/main" id="{D1590B80-2734-4FBA-A155-45070A56748A}"/>
            </a:ext>
          </a:extLst>
        </xdr:cNvPr>
        <xdr:cNvSpPr txBox="1"/>
      </xdr:nvSpPr>
      <xdr:spPr>
        <a:xfrm>
          <a:off x="31038800" y="5791200"/>
          <a:ext cx="6581220" cy="280352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587375</xdr:colOff>
      <xdr:row>19</xdr:row>
      <xdr:rowOff>193676</xdr:rowOff>
    </xdr:from>
    <xdr:to>
      <xdr:col>30</xdr:col>
      <xdr:colOff>386795</xdr:colOff>
      <xdr:row>28</xdr:row>
      <xdr:rowOff>6351</xdr:rowOff>
    </xdr:to>
    <xdr:sp macro="" textlink="">
      <xdr:nvSpPr>
        <xdr:cNvPr id="4" name="TextBox 3">
          <a:extLst>
            <a:ext uri="{FF2B5EF4-FFF2-40B4-BE49-F238E27FC236}">
              <a16:creationId xmlns:a16="http://schemas.microsoft.com/office/drawing/2014/main" id="{75C469FB-0E15-47CC-8E1D-359456516A30}"/>
            </a:ext>
          </a:extLst>
        </xdr:cNvPr>
        <xdr:cNvSpPr txBox="1"/>
      </xdr:nvSpPr>
      <xdr:spPr>
        <a:xfrm>
          <a:off x="31092775" y="6111876"/>
          <a:ext cx="6581220" cy="255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8874</xdr:rowOff>
    </xdr:from>
    <xdr:to>
      <xdr:col>0</xdr:col>
      <xdr:colOff>2776928</xdr:colOff>
      <xdr:row>37</xdr:row>
      <xdr:rowOff>598921</xdr:rowOff>
    </xdr:to>
    <xdr:grpSp>
      <xdr:nvGrpSpPr>
        <xdr:cNvPr id="173" name="Group 4">
          <a:extLst>
            <a:ext uri="{FF2B5EF4-FFF2-40B4-BE49-F238E27FC236}">
              <a16:creationId xmlns:a16="http://schemas.microsoft.com/office/drawing/2014/main" id="{6AA0FB4E-0A54-4DAA-A4B9-C8194FEE1B9D}"/>
            </a:ext>
          </a:extLst>
        </xdr:cNvPr>
        <xdr:cNvGrpSpPr/>
      </xdr:nvGrpSpPr>
      <xdr:grpSpPr>
        <a:xfrm>
          <a:off x="0" y="12049"/>
          <a:ext cx="2776928" cy="21460380"/>
          <a:chOff x="11907" y="199720"/>
          <a:chExt cx="2784141" cy="18766653"/>
        </a:xfrm>
      </xdr:grpSpPr>
      <xdr:sp macro="" textlink="">
        <xdr:nvSpPr>
          <xdr:cNvPr id="174" name="Rectangle 5">
            <a:extLst>
              <a:ext uri="{FF2B5EF4-FFF2-40B4-BE49-F238E27FC236}">
                <a16:creationId xmlns:a16="http://schemas.microsoft.com/office/drawing/2014/main" id="{92806FE3-6120-8BE8-4BB7-EA191B5EFE9B}"/>
              </a:ext>
            </a:extLst>
          </xdr:cNvPr>
          <xdr:cNvSpPr/>
        </xdr:nvSpPr>
        <xdr:spPr>
          <a:xfrm>
            <a:off x="11907" y="199720"/>
            <a:ext cx="2784141" cy="1876665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TextBox 6">
            <a:extLst>
              <a:ext uri="{FF2B5EF4-FFF2-40B4-BE49-F238E27FC236}">
                <a16:creationId xmlns:a16="http://schemas.microsoft.com/office/drawing/2014/main" id="{5F5B9301-C56B-8B1A-67E4-3C7AE845A009}"/>
              </a:ext>
            </a:extLst>
          </xdr:cNvPr>
          <xdr:cNvSpPr txBox="1"/>
        </xdr:nvSpPr>
        <xdr:spPr>
          <a:xfrm>
            <a:off x="159408" y="1101624"/>
            <a:ext cx="2291476" cy="1610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Climate Risk Summary</a:t>
            </a:r>
          </a:p>
          <a:p>
            <a:pPr marL="0" indent="0" algn="l">
              <a:spcAft>
                <a:spcPts val="1200"/>
              </a:spcAft>
              <a:buSzPct val="150000"/>
              <a:buFont typeface="Arial" panose="020B0604020202020204" pitchFamily="34" charset="0"/>
              <a:buNone/>
            </a:pPr>
            <a:r>
              <a:rPr lang="en-US" sz="1100" b="0">
                <a:solidFill>
                  <a:schemeClr val="bg1"/>
                </a:solidFill>
                <a:latin typeface="+mn-lt"/>
                <a:ea typeface="Roboto" panose="02000000000000000000" pitchFamily="2" charset="0"/>
                <a:cs typeface="Roboto" panose="02000000000000000000" pitchFamily="2" charset="0"/>
              </a:rPr>
              <a:t>This is a bird's eye view of the building's climate risk profile</a:t>
            </a:r>
            <a:r>
              <a:rPr lang="en-US" sz="1100" b="0" baseline="0">
                <a:solidFill>
                  <a:schemeClr val="bg1"/>
                </a:solidFill>
                <a:latin typeface="+mn-lt"/>
                <a:ea typeface="Roboto" panose="02000000000000000000" pitchFamily="2" charset="0"/>
                <a:cs typeface="Roboto" panose="02000000000000000000" pitchFamily="2" charset="0"/>
              </a:rPr>
              <a:t> before and after the implementation of adaptaiton measures.</a:t>
            </a:r>
          </a:p>
          <a:p>
            <a:pPr marL="0" indent="0" algn="l">
              <a:spcAft>
                <a:spcPts val="1200"/>
              </a:spcAft>
              <a:buSzPct val="150000"/>
              <a:buFont typeface="Arial" panose="020B0604020202020204" pitchFamily="34" charset="0"/>
              <a:buNone/>
            </a:pPr>
            <a:r>
              <a:rPr lang="en-US" sz="1100" b="1" baseline="0">
                <a:solidFill>
                  <a:schemeClr val="bg1"/>
                </a:solidFill>
                <a:latin typeface="+mn-lt"/>
                <a:ea typeface="Roboto" panose="02000000000000000000" pitchFamily="2" charset="0"/>
                <a:cs typeface="Roboto" panose="02000000000000000000" pitchFamily="2" charset="0"/>
              </a:rPr>
              <a:t>Tables are filled in automatically. </a:t>
            </a:r>
            <a:endParaRPr lang="en-US" sz="1100" b="1">
              <a:solidFill>
                <a:schemeClr val="bg1"/>
              </a:solidFill>
              <a:latin typeface="+mn-lt"/>
              <a:ea typeface="Roboto" panose="02000000000000000000" pitchFamily="2" charset="0"/>
              <a:cs typeface="Roboto" panose="02000000000000000000" pitchFamily="2" charset="0"/>
            </a:endParaRPr>
          </a:p>
        </xdr:txBody>
      </xdr:sp>
      <xdr:grpSp>
        <xdr:nvGrpSpPr>
          <xdr:cNvPr id="176" name="Group 7">
            <a:extLst>
              <a:ext uri="{FF2B5EF4-FFF2-40B4-BE49-F238E27FC236}">
                <a16:creationId xmlns:a16="http://schemas.microsoft.com/office/drawing/2014/main" id="{FB87487E-7DF7-7130-7595-182E5A8F091F}"/>
              </a:ext>
            </a:extLst>
          </xdr:cNvPr>
          <xdr:cNvGrpSpPr/>
        </xdr:nvGrpSpPr>
        <xdr:grpSpPr>
          <a:xfrm>
            <a:off x="168460" y="379876"/>
            <a:ext cx="431173" cy="435489"/>
            <a:chOff x="1238250" y="942975"/>
            <a:chExt cx="533400" cy="533400"/>
          </a:xfrm>
        </xdr:grpSpPr>
        <xdr:sp macro="" textlink="">
          <xdr:nvSpPr>
            <xdr:cNvPr id="177" name="Rectangle: Rounded Corners 13">
              <a:hlinkClick xmlns:r="http://schemas.openxmlformats.org/officeDocument/2006/relationships" r:id="rId1"/>
              <a:extLst>
                <a:ext uri="{FF2B5EF4-FFF2-40B4-BE49-F238E27FC236}">
                  <a16:creationId xmlns:a16="http://schemas.microsoft.com/office/drawing/2014/main" id="{6CF45FE2-62F0-287A-7A49-2C18233F37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8" name="Graphic 14" descr="Home with solid fill">
              <a:hlinkClick xmlns:r="http://schemas.openxmlformats.org/officeDocument/2006/relationships" r:id="rId1"/>
              <a:extLst>
                <a:ext uri="{FF2B5EF4-FFF2-40B4-BE49-F238E27FC236}">
                  <a16:creationId xmlns:a16="http://schemas.microsoft.com/office/drawing/2014/main" id="{5CB0C5B0-8B43-D568-8A38-2D187AE2C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179" name="Group 8">
            <a:extLst>
              <a:ext uri="{FF2B5EF4-FFF2-40B4-BE49-F238E27FC236}">
                <a16:creationId xmlns:a16="http://schemas.microsoft.com/office/drawing/2014/main" id="{C6470D1E-2A8D-2AE3-CFA1-959C8990C0AF}"/>
              </a:ext>
            </a:extLst>
          </xdr:cNvPr>
          <xdr:cNvGrpSpPr/>
        </xdr:nvGrpSpPr>
        <xdr:grpSpPr>
          <a:xfrm>
            <a:off x="1258540" y="379876"/>
            <a:ext cx="431173" cy="435489"/>
            <a:chOff x="1037919" y="109140"/>
            <a:chExt cx="533400" cy="533400"/>
          </a:xfrm>
        </xdr:grpSpPr>
        <xdr:sp macro="" textlink="">
          <xdr:nvSpPr>
            <xdr:cNvPr id="180" name="Rectangle: Rounded Corners 11">
              <a:hlinkClick xmlns:r="http://schemas.openxmlformats.org/officeDocument/2006/relationships" r:id="rId4"/>
              <a:extLst>
                <a:ext uri="{FF2B5EF4-FFF2-40B4-BE49-F238E27FC236}">
                  <a16:creationId xmlns:a16="http://schemas.microsoft.com/office/drawing/2014/main" id="{40996017-4664-F3A7-FB63-6CBCDF5B8F6D}"/>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Arrow: Right 12">
              <a:hlinkClick xmlns:r="http://schemas.openxmlformats.org/officeDocument/2006/relationships" r:id="rId4"/>
              <a:extLst>
                <a:ext uri="{FF2B5EF4-FFF2-40B4-BE49-F238E27FC236}">
                  <a16:creationId xmlns:a16="http://schemas.microsoft.com/office/drawing/2014/main" id="{56DA1638-BBD6-61BE-35C3-4A38E89AF32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90715</xdr:colOff>
      <xdr:row>5</xdr:row>
      <xdr:rowOff>334819</xdr:rowOff>
    </xdr:from>
    <xdr:to>
      <xdr:col>0</xdr:col>
      <xdr:colOff>2665110</xdr:colOff>
      <xdr:row>10</xdr:row>
      <xdr:rowOff>196272</xdr:rowOff>
    </xdr:to>
    <xdr:pic>
      <xdr:nvPicPr>
        <xdr:cNvPr id="201" name="Picture 11">
          <a:extLst>
            <a:ext uri="{FF2B5EF4-FFF2-40B4-BE49-F238E27FC236}">
              <a16:creationId xmlns:a16="http://schemas.microsoft.com/office/drawing/2014/main" id="{8418FE16-8066-9E29-365F-693386D72C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90715" y="2805546"/>
          <a:ext cx="2574395" cy="314036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Intro" id="{D7BD2A64-AB1F-44CC-8CE6-D336083C2A45}"/>
</namedSheetView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27B2-3ADB-4E8A-9B58-6478C52FBA84}">
  <sheetPr>
    <tabColor theme="9" tint="-0.249977111117893"/>
  </sheetPr>
  <dimension ref="A1"/>
  <sheetViews>
    <sheetView tabSelected="1" zoomScale="90" zoomScaleNormal="90" workbookViewId="0">
      <selection activeCell="S30" sqref="S30"/>
    </sheetView>
  </sheetViews>
  <sheetFormatPr defaultColWidth="9.140625" defaultRowHeight="15" x14ac:dyDescent="0.25"/>
  <cols>
    <col min="1" max="16384" width="9.140625" style="11"/>
  </cols>
  <sheetData/>
  <sheetProtection algorithmName="SHA-512" hashValue="/kBvTK6QP8w6jaHuJF8Km7KvTtyrwFLfkWzgTTuolVz3nxd/6lAAWCP6yjBq2E6QoBRJnsfov5NIj4RjvA38+g==" saltValue="cemHATQO19VoiB+AGcYq4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517-DA73-48D1-A08C-DAED42878005}">
  <sheetPr codeName="Sheet1">
    <tabColor rgb="FF002060"/>
  </sheetPr>
  <dimension ref="A1"/>
  <sheetViews>
    <sheetView zoomScale="75" zoomScaleNormal="75" zoomScalePageLayoutView="57" workbookViewId="0">
      <selection activeCell="L65" sqref="L65"/>
    </sheetView>
  </sheetViews>
  <sheetFormatPr defaultColWidth="9.140625" defaultRowHeight="15" x14ac:dyDescent="0.25"/>
  <cols>
    <col min="1" max="16384" width="9.140625" style="11"/>
  </cols>
  <sheetData/>
  <sheetProtection algorithmName="SHA-512" hashValue="PPOT69fQ83Lyn57Q8Uzxjy+BjnYnMXEHGY37+IrZh/Xn2HNwmbplYDQf8VWXuJjY4k2BBuxLq9QlZB8zJlHKVQ==" saltValue="6gqynMt64eC5QGSepZEIZQ==" spinCount="100000" sheet="1" objects="1" scenarios="1"/>
  <pageMargins left="0" right="0" top="0" bottom="0" header="0" footer="0"/>
  <pageSetup paperSize="194" orientation="portrait" horizontalDpi="300" verticalDpi="300" r:id="rId1"/>
  <headerFooter>
    <oddHeader>&amp;C&amp;"Calibri"&amp;10&amp;K808080 Corporate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5A48-3E08-4FAB-8B5B-E50094336DDD}">
  <sheetPr codeName="Sheet2">
    <tabColor rgb="FF00B0F0"/>
  </sheetPr>
  <dimension ref="A2:X54"/>
  <sheetViews>
    <sheetView zoomScale="80" zoomScaleNormal="80" workbookViewId="0">
      <selection activeCell="V25" sqref="V25"/>
    </sheetView>
  </sheetViews>
  <sheetFormatPr defaultColWidth="9.140625" defaultRowHeight="15" outlineLevelCol="1" x14ac:dyDescent="0.25"/>
  <cols>
    <col min="1" max="1" width="42.140625" style="29" customWidth="1" outlineLevel="1"/>
    <col min="2" max="2" width="3" style="29" customWidth="1"/>
    <col min="3" max="3" width="7.85546875" style="29" customWidth="1"/>
    <col min="4" max="4" width="9.140625" style="29"/>
    <col min="5" max="5" width="9.140625" style="29" customWidth="1"/>
    <col min="6" max="8" width="9.140625" style="29"/>
    <col min="9" max="9" width="19.7109375" style="29" customWidth="1"/>
    <col min="10" max="10" width="47.140625" style="29" customWidth="1"/>
    <col min="11" max="11" width="8.140625" style="29" customWidth="1"/>
    <col min="12" max="13" width="10.42578125" style="29" customWidth="1"/>
    <col min="14" max="14" width="10.28515625" style="29" customWidth="1"/>
    <col min="15" max="15" width="12.5703125" style="29" customWidth="1"/>
    <col min="16" max="16" width="10.42578125" style="29" customWidth="1"/>
    <col min="17" max="17" width="13" style="29" customWidth="1"/>
    <col min="18" max="18" width="9.140625" style="29"/>
    <col min="19" max="19" width="15.5703125" style="29" customWidth="1"/>
    <col min="20" max="16384" width="9.140625" style="29"/>
  </cols>
  <sheetData>
    <row r="2" spans="1:17" ht="33.75" customHeight="1" x14ac:dyDescent="0.3">
      <c r="C2" s="6"/>
      <c r="D2" s="427" t="s">
        <v>0</v>
      </c>
      <c r="E2" s="427"/>
      <c r="F2" s="428"/>
      <c r="G2" s="428"/>
      <c r="H2" s="428"/>
      <c r="I2" s="428"/>
      <c r="J2" s="429"/>
      <c r="K2" s="429"/>
      <c r="L2" s="429"/>
      <c r="M2" s="6"/>
      <c r="N2" s="6"/>
      <c r="O2" s="6"/>
    </row>
    <row r="3" spans="1:17" ht="41.45" customHeight="1" thickBot="1" x14ac:dyDescent="0.5">
      <c r="B3" s="30"/>
      <c r="C3" s="7"/>
      <c r="D3" s="430" t="s">
        <v>1</v>
      </c>
      <c r="E3" s="430"/>
      <c r="F3" s="430"/>
      <c r="G3" s="430"/>
      <c r="H3" s="431"/>
      <c r="I3" s="431"/>
      <c r="J3" s="431"/>
      <c r="K3" s="431"/>
      <c r="L3" s="431"/>
      <c r="M3" s="431"/>
      <c r="N3" s="431"/>
      <c r="O3" s="431"/>
      <c r="P3" s="33"/>
      <c r="Q3" s="33"/>
    </row>
    <row r="4" spans="1:17" ht="11.1" customHeight="1" x14ac:dyDescent="0.45">
      <c r="B4" s="30"/>
      <c r="C4" s="7"/>
      <c r="D4" s="292"/>
      <c r="E4" s="292"/>
      <c r="F4" s="292"/>
      <c r="G4" s="292"/>
      <c r="H4" s="6"/>
      <c r="I4" s="6"/>
      <c r="J4" s="6"/>
      <c r="K4" s="6"/>
      <c r="L4" s="6"/>
      <c r="M4" s="6"/>
      <c r="N4" s="6"/>
      <c r="O4" s="6"/>
    </row>
    <row r="5" spans="1:17" ht="21.95" customHeight="1" x14ac:dyDescent="0.3">
      <c r="A5" s="36"/>
      <c r="B5" s="36"/>
      <c r="C5" s="7"/>
      <c r="D5" s="12" t="s">
        <v>2</v>
      </c>
      <c r="E5" s="6"/>
      <c r="F5" s="6"/>
      <c r="G5" s="6"/>
      <c r="H5" s="6"/>
      <c r="I5" s="6"/>
      <c r="J5" s="6"/>
      <c r="K5" s="6"/>
      <c r="L5" s="6"/>
      <c r="M5" s="6"/>
      <c r="N5" s="6"/>
      <c r="O5" s="6"/>
    </row>
    <row r="6" spans="1:17" ht="57" customHeight="1" x14ac:dyDescent="0.3">
      <c r="A6" s="38"/>
      <c r="B6" s="38"/>
      <c r="C6" s="7"/>
      <c r="D6" s="834" t="s">
        <v>3</v>
      </c>
      <c r="E6" s="834"/>
      <c r="F6" s="834"/>
      <c r="G6" s="834"/>
      <c r="H6" s="834"/>
      <c r="I6" s="834"/>
      <c r="J6" s="834"/>
      <c r="K6" s="834"/>
      <c r="L6" s="834"/>
      <c r="M6" s="834"/>
      <c r="N6" s="834"/>
      <c r="O6" s="834"/>
      <c r="P6" s="834"/>
      <c r="Q6" s="834"/>
    </row>
    <row r="7" spans="1:17" ht="27.6" customHeight="1" x14ac:dyDescent="0.3">
      <c r="A7" s="38"/>
      <c r="B7" s="38"/>
      <c r="C7" s="7"/>
      <c r="D7" s="432"/>
      <c r="E7" s="432"/>
      <c r="F7" s="432"/>
      <c r="G7" s="432"/>
      <c r="H7" s="432"/>
      <c r="I7" s="432"/>
      <c r="J7" s="433" t="s">
        <v>4</v>
      </c>
      <c r="K7" s="432"/>
      <c r="L7" s="432"/>
      <c r="M7" s="432"/>
      <c r="N7" s="432"/>
      <c r="O7" s="432"/>
    </row>
    <row r="8" spans="1:17" ht="35.1" customHeight="1" x14ac:dyDescent="0.3">
      <c r="A8" s="38"/>
      <c r="B8" s="38"/>
      <c r="C8" s="31"/>
      <c r="D8" s="823" t="s">
        <v>5</v>
      </c>
      <c r="E8" s="823"/>
      <c r="F8" s="823"/>
      <c r="G8" s="823"/>
      <c r="H8" s="823"/>
      <c r="I8" s="823"/>
      <c r="J8" s="41" t="s">
        <v>6</v>
      </c>
      <c r="K8" s="39"/>
      <c r="L8" s="39"/>
      <c r="M8" s="39"/>
      <c r="N8" s="39"/>
      <c r="Q8" s="42" t="s">
        <v>7</v>
      </c>
    </row>
    <row r="9" spans="1:17" ht="14.1" customHeight="1" x14ac:dyDescent="0.3">
      <c r="A9" s="38"/>
      <c r="B9" s="38"/>
      <c r="C9" s="31"/>
      <c r="D9" s="43"/>
      <c r="E9" s="43"/>
      <c r="F9" s="43"/>
      <c r="G9" s="43"/>
      <c r="H9" s="43"/>
      <c r="I9" s="43"/>
      <c r="J9" s="44"/>
      <c r="K9" s="39"/>
      <c r="L9" s="39"/>
      <c r="M9" s="39"/>
      <c r="N9" s="39"/>
      <c r="O9" s="39"/>
    </row>
    <row r="10" spans="1:17" ht="33.950000000000003" customHeight="1" x14ac:dyDescent="0.3">
      <c r="A10" s="38"/>
      <c r="B10" s="38"/>
      <c r="C10" s="7"/>
      <c r="D10" s="842" t="s">
        <v>8</v>
      </c>
      <c r="E10" s="842"/>
      <c r="F10" s="842"/>
      <c r="G10" s="842"/>
      <c r="H10" s="842"/>
      <c r="I10" s="843"/>
      <c r="J10" s="836" t="s">
        <v>9</v>
      </c>
      <c r="K10" s="837"/>
      <c r="L10" s="846" t="s">
        <v>10</v>
      </c>
      <c r="M10" s="846"/>
      <c r="N10" s="516" t="s">
        <v>11</v>
      </c>
      <c r="O10" s="516" t="s">
        <v>12</v>
      </c>
      <c r="P10" s="517" t="s">
        <v>13</v>
      </c>
      <c r="Q10" s="518" t="s">
        <v>14</v>
      </c>
    </row>
    <row r="11" spans="1:17" ht="22.5" customHeight="1" x14ac:dyDescent="0.3">
      <c r="A11" s="38"/>
      <c r="B11" s="38"/>
      <c r="C11" s="7"/>
      <c r="D11" s="844"/>
      <c r="E11" s="844"/>
      <c r="F11" s="844"/>
      <c r="G11" s="844"/>
      <c r="H11" s="844"/>
      <c r="I11" s="845"/>
      <c r="J11" s="838"/>
      <c r="K11" s="839"/>
      <c r="L11" s="847" t="s">
        <v>15</v>
      </c>
      <c r="M11" s="847"/>
      <c r="N11" s="519" t="s">
        <v>16</v>
      </c>
      <c r="O11" s="520" t="s">
        <v>17</v>
      </c>
      <c r="P11" s="521" t="s">
        <v>18</v>
      </c>
      <c r="Q11" s="522" t="s">
        <v>19</v>
      </c>
    </row>
    <row r="12" spans="1:17" ht="57" customHeight="1" x14ac:dyDescent="0.25">
      <c r="A12" s="46"/>
      <c r="B12" s="46"/>
      <c r="C12" s="13"/>
      <c r="D12" s="795">
        <f>IF($J$8=Φύλλο1!$A$2,Φύλλο1!A3,IF('Water_Soil-Step 1'!$J$8=Φύλλο1!$A$10,Φύλλο1!A11,Φύλλο1!A18))</f>
        <v>0</v>
      </c>
      <c r="E12" s="795"/>
      <c r="F12" s="795"/>
      <c r="G12" s="795"/>
      <c r="H12" s="795"/>
      <c r="I12" s="795"/>
      <c r="J12" s="840">
        <f>IF($J$8=Φύλλο1!$A$2,Φύλλο1!B3,IF($J$8=Φύλλο1!$A$10,Φύλλο1!B11,Φύλλο1!B18))</f>
        <v>0</v>
      </c>
      <c r="K12" s="840"/>
      <c r="L12" s="523"/>
      <c r="M12" s="523"/>
      <c r="N12" s="524"/>
      <c r="O12" s="524"/>
      <c r="P12" s="504"/>
      <c r="Q12" s="525"/>
    </row>
    <row r="13" spans="1:17" ht="48.6" customHeight="1" x14ac:dyDescent="0.25">
      <c r="A13" s="49"/>
      <c r="B13" s="49"/>
      <c r="C13" s="10" t="s">
        <v>20</v>
      </c>
      <c r="D13" s="795" t="str">
        <f>IF($J$8=Φύλλο1!$A$2,Φύλλο1!A4,IF('Water_Soil-Step 1'!$J$8=Φύλλο1!$A$10,Φύλλο1!A12,Φύλλο1!A19))</f>
        <v xml:space="preserve">Is the building constructed on a floodplain, wetland or a low-lying barrier? </v>
      </c>
      <c r="E13" s="795"/>
      <c r="F13" s="795"/>
      <c r="G13" s="795"/>
      <c r="H13" s="795"/>
      <c r="I13" s="795"/>
      <c r="J13" s="840" t="str">
        <f>IF($J$8=Φύλλο1!$A$2,Φύλλο1!B4,IF($J$8=Φύλλο1!$A$10,Φύλλο1!B12,Φύλλο1!B19))</f>
        <v xml:space="preserve">These are flat areas that are close to a river, lake or, sea. Because of their modest elevation (no more than 10 m) such areas are prone to river, pluvial and coastal flooding, and storm surges. </v>
      </c>
      <c r="K13" s="840"/>
      <c r="L13" s="807">
        <v>0</v>
      </c>
      <c r="M13" s="807"/>
      <c r="N13" s="527"/>
      <c r="O13" s="527"/>
      <c r="P13" s="526">
        <v>3</v>
      </c>
      <c r="Q13" s="528"/>
    </row>
    <row r="14" spans="1:17" ht="62.1" customHeight="1" x14ac:dyDescent="0.25">
      <c r="A14" s="50"/>
      <c r="B14" s="50"/>
      <c r="C14" s="10" t="s">
        <v>21</v>
      </c>
      <c r="D14" s="795" t="str">
        <f>IF($J$8=Φύλλο1!$A$2,Φύλλο1!A5,IF('Water_Soil-Step 1'!$J$8=Φύλλο1!$A$10,Φύλλο1!A13,Φύλλο1!A20))</f>
        <v xml:space="preserve">Is the building constructed on a river bank?                          </v>
      </c>
      <c r="E14" s="795"/>
      <c r="F14" s="795"/>
      <c r="G14" s="795"/>
      <c r="H14" s="795"/>
      <c r="I14" s="795"/>
      <c r="J14" s="840" t="str">
        <f>IF($J$8=Φύλλο1!$A$2,Φύλλο1!B5,IF($J$8=Φύλλο1!$A$10,Φύλλο1!B13,Φύλλο1!B20))</f>
        <v>High water velocities may cause river banks to collapse or produce foundation scouring causing differential settlements or even collapse of the building.</v>
      </c>
      <c r="K14" s="840"/>
      <c r="L14" s="820">
        <v>0</v>
      </c>
      <c r="M14" s="820"/>
      <c r="N14" s="527"/>
      <c r="O14" s="527"/>
      <c r="P14" s="529">
        <v>3</v>
      </c>
      <c r="Q14" s="528"/>
    </row>
    <row r="15" spans="1:17" s="51" customFormat="1" ht="52.5" customHeight="1" x14ac:dyDescent="0.25">
      <c r="A15" s="50"/>
      <c r="B15" s="50"/>
      <c r="C15" s="10" t="s">
        <v>22</v>
      </c>
      <c r="D15" s="795" t="str">
        <f>IF($J$8=Φύλλο1!$A$2,Φύλλο1!A6,IF('Water_Soil-Step 1'!$J$8=Φύλλο1!$A$10,Φύλλο1!A14,Φύλλο1!A21))</f>
        <v xml:space="preserve">Has the area experienced significant flooding in recent history?  </v>
      </c>
      <c r="E15" s="795"/>
      <c r="F15" s="795"/>
      <c r="G15" s="795"/>
      <c r="H15" s="795"/>
      <c r="I15" s="795"/>
      <c r="J15" s="840" t="str">
        <f>IF($J$8=Φύλλο1!$A$2,Φύλλο1!B6,IF($J$8=Φύλλο1!$A$10,Φύλλο1!B14,Φύλλο1!B21))</f>
        <v>Give your answer based on the year of occurrence of the most recent flood event. [0]: &gt;100 years;  [1]: 50-100 years; [2]: 20-50 years; [3] &lt;20 years</v>
      </c>
      <c r="K15" s="840"/>
      <c r="L15" s="820">
        <v>0</v>
      </c>
      <c r="M15" s="820"/>
      <c r="N15" s="529">
        <v>1</v>
      </c>
      <c r="O15" s="529">
        <v>2</v>
      </c>
      <c r="P15" s="529">
        <v>3</v>
      </c>
      <c r="Q15" s="528"/>
    </row>
    <row r="16" spans="1:17" s="51" customFormat="1" ht="41.45" customHeight="1" thickBot="1" x14ac:dyDescent="0.3">
      <c r="A16" s="50"/>
      <c r="B16" s="50"/>
      <c r="C16" s="10" t="s">
        <v>23</v>
      </c>
      <c r="D16" s="793" t="str">
        <f>IF($J$8=Φύλλο1!$A$2,Φύλλο1!A7,IF('Water_Soil-Step 1'!$J$8=Φύλλο1!$A$10,Φύλλο1!A15,Φύλλο1!A22))</f>
        <v>Are the access routes or the supply chain of the facility crossing flood plains?</v>
      </c>
      <c r="E16" s="793"/>
      <c r="F16" s="793"/>
      <c r="G16" s="793"/>
      <c r="H16" s="793"/>
      <c r="I16" s="793"/>
      <c r="J16" s="841" t="str">
        <f>IF($J$8=Φύλλο1!$A$2,Φύλλο1!B7,IF($J$8=Φύλλο1!$A$10,Φύλλο1!B15,Φύλλο1!B22))</f>
        <v xml:space="preserve">Even if the facility remains intact, flooding may hamper accessibility impacting the supply chain or the transportation of people to/from the facility. </v>
      </c>
      <c r="K16" s="841"/>
      <c r="L16" s="835">
        <v>0</v>
      </c>
      <c r="M16" s="835"/>
      <c r="N16" s="530">
        <v>1</v>
      </c>
      <c r="O16" s="530">
        <v>2</v>
      </c>
      <c r="P16" s="530">
        <v>3</v>
      </c>
      <c r="Q16" s="531"/>
    </row>
    <row r="17" spans="1:17" ht="13.5" customHeight="1" x14ac:dyDescent="0.25">
      <c r="A17" s="50"/>
      <c r="B17" s="50"/>
      <c r="C17" s="13"/>
      <c r="D17" s="796" t="str">
        <f>IF(J8="Empirical Indicators"," ", "* if your response is positive, answer also 'YES' to Questions Q1.2 and Q1.3")</f>
        <v xml:space="preserve"> </v>
      </c>
      <c r="E17" s="796"/>
      <c r="F17" s="796"/>
      <c r="G17" s="796"/>
      <c r="H17" s="796"/>
      <c r="I17" s="796"/>
      <c r="J17" s="28"/>
      <c r="K17" s="16"/>
      <c r="L17" s="6"/>
      <c r="M17" s="6"/>
      <c r="N17" s="16"/>
      <c r="O17" s="52"/>
    </row>
    <row r="18" spans="1:17" ht="12.95" customHeight="1" x14ac:dyDescent="0.25">
      <c r="A18" s="50"/>
      <c r="B18" s="50"/>
      <c r="C18" s="13"/>
      <c r="D18" s="796" t="str">
        <f>IF(J8="Empirical Indicators"," ","** if your response is positive, answer also 'YES' to Question Q1.3")</f>
        <v xml:space="preserve"> </v>
      </c>
      <c r="E18" s="796"/>
      <c r="F18" s="796"/>
      <c r="G18" s="796"/>
      <c r="H18" s="796"/>
      <c r="I18" s="796"/>
      <c r="J18" s="28"/>
      <c r="K18" s="16"/>
      <c r="L18" s="6"/>
      <c r="M18" s="6"/>
      <c r="N18" s="16"/>
    </row>
    <row r="19" spans="1:17" ht="29.1" customHeight="1" x14ac:dyDescent="0.25">
      <c r="A19" s="50"/>
      <c r="B19" s="50"/>
      <c r="C19" s="53"/>
      <c r="K19" s="797"/>
      <c r="L19" s="797"/>
      <c r="M19" s="797"/>
      <c r="N19" s="797"/>
      <c r="O19" s="818" t="s">
        <v>24</v>
      </c>
      <c r="P19" s="818"/>
      <c r="Q19" s="17" t="e">
        <f>AVERAGE(Q13:Q16)</f>
        <v>#DIV/0!</v>
      </c>
    </row>
    <row r="20" spans="1:17" ht="15" customHeight="1" x14ac:dyDescent="0.25">
      <c r="A20" s="54"/>
      <c r="B20" s="54"/>
      <c r="K20" s="55"/>
      <c r="L20" s="55"/>
      <c r="M20" s="55"/>
      <c r="N20" s="55"/>
      <c r="O20" s="513"/>
      <c r="P20" s="514"/>
    </row>
    <row r="21" spans="1:17" ht="29.1" customHeight="1" x14ac:dyDescent="0.25">
      <c r="D21" s="794"/>
      <c r="E21" s="794"/>
      <c r="F21" s="794"/>
      <c r="G21" s="794"/>
      <c r="H21" s="794"/>
      <c r="K21" s="828"/>
      <c r="L21" s="828"/>
      <c r="M21" s="828"/>
      <c r="N21" s="828"/>
      <c r="O21" s="821" t="s">
        <v>25</v>
      </c>
      <c r="P21" s="821"/>
      <c r="Q21" s="87" t="e">
        <f>IF(Q19&lt;=1,"Low",IF(Q19&lt;=2,"Medium","High"))</f>
        <v>#DIV/0!</v>
      </c>
    </row>
    <row r="22" spans="1:17" ht="47.1" customHeight="1" x14ac:dyDescent="0.25">
      <c r="B22" s="59"/>
      <c r="D22" s="37" t="s">
        <v>26</v>
      </c>
      <c r="E22" s="39"/>
      <c r="F22" s="60"/>
      <c r="G22" s="61"/>
      <c r="H22" s="61"/>
      <c r="I22" s="61"/>
      <c r="J22" s="61"/>
      <c r="L22" s="57"/>
      <c r="M22" s="57"/>
      <c r="N22" s="57"/>
      <c r="O22" s="62"/>
      <c r="P22" s="58"/>
    </row>
    <row r="23" spans="1:17" ht="18.95" customHeight="1" x14ac:dyDescent="0.25">
      <c r="B23" s="59"/>
      <c r="D23" s="39"/>
      <c r="F23" s="39"/>
      <c r="G23" s="39"/>
      <c r="H23" s="39"/>
      <c r="I23" s="39"/>
      <c r="J23" s="40" t="s">
        <v>4</v>
      </c>
      <c r="L23" s="57"/>
      <c r="M23" s="57"/>
      <c r="N23" s="57"/>
      <c r="O23" s="62"/>
      <c r="P23" s="58"/>
    </row>
    <row r="24" spans="1:17" ht="35.1" customHeight="1" x14ac:dyDescent="0.3">
      <c r="A24" s="63"/>
      <c r="D24" s="823" t="s">
        <v>27</v>
      </c>
      <c r="E24" s="823"/>
      <c r="F24" s="823"/>
      <c r="G24" s="823"/>
      <c r="H24" s="823"/>
      <c r="I24" s="823"/>
      <c r="J24" s="41" t="s">
        <v>6</v>
      </c>
      <c r="L24" s="57"/>
      <c r="M24" s="57"/>
      <c r="N24" s="57"/>
      <c r="P24" s="58"/>
      <c r="Q24" s="458" t="s">
        <v>7</v>
      </c>
    </row>
    <row r="25" spans="1:17" ht="15" customHeight="1" x14ac:dyDescent="0.25">
      <c r="A25" s="63"/>
      <c r="B25" s="64"/>
      <c r="L25" s="57"/>
      <c r="M25" s="57"/>
      <c r="N25" s="57"/>
      <c r="O25" s="62"/>
      <c r="P25" s="58"/>
    </row>
    <row r="26" spans="1:17" ht="21.95" customHeight="1" x14ac:dyDescent="0.25">
      <c r="A26" s="63"/>
      <c r="B26" s="64"/>
      <c r="C26" s="6"/>
      <c r="D26" s="824" t="s">
        <v>8</v>
      </c>
      <c r="E26" s="825"/>
      <c r="F26" s="825"/>
      <c r="G26" s="825"/>
      <c r="H26" s="825"/>
      <c r="I26" s="825"/>
      <c r="J26" s="831" t="s">
        <v>9</v>
      </c>
      <c r="K26" s="831"/>
      <c r="L26" s="802" t="s">
        <v>10</v>
      </c>
      <c r="M26" s="802"/>
      <c r="N26" s="491" t="s">
        <v>11</v>
      </c>
      <c r="O26" s="491" t="s">
        <v>12</v>
      </c>
      <c r="P26" s="491" t="s">
        <v>13</v>
      </c>
      <c r="Q26" s="492" t="s">
        <v>14</v>
      </c>
    </row>
    <row r="27" spans="1:17" ht="23.45" customHeight="1" x14ac:dyDescent="0.25">
      <c r="A27" s="63"/>
      <c r="B27" s="64"/>
      <c r="C27" s="6"/>
      <c r="D27" s="826"/>
      <c r="E27" s="827"/>
      <c r="F27" s="827"/>
      <c r="G27" s="827"/>
      <c r="H27" s="827"/>
      <c r="I27" s="827"/>
      <c r="J27" s="832"/>
      <c r="K27" s="832"/>
      <c r="L27" s="803" t="s">
        <v>15</v>
      </c>
      <c r="M27" s="803"/>
      <c r="N27" s="493" t="s">
        <v>16</v>
      </c>
      <c r="O27" s="494" t="s">
        <v>17</v>
      </c>
      <c r="P27" s="493" t="s">
        <v>18</v>
      </c>
      <c r="Q27" s="495" t="s">
        <v>19</v>
      </c>
    </row>
    <row r="28" spans="1:17" ht="69.599999999999994" customHeight="1" x14ac:dyDescent="0.25">
      <c r="A28" s="63"/>
      <c r="B28" s="64"/>
      <c r="C28" s="13" t="s">
        <v>28</v>
      </c>
      <c r="D28" s="809" t="str">
        <f>IF($J$24=Φύλλο1!$C$10,Φύλλο1!C11,Φύλλο1!C18)</f>
        <v>Is the building located on a hillside? Is the area characterized by very steep slopes, a lot of loose debris and water, and little vegetation?</v>
      </c>
      <c r="E28" s="809"/>
      <c r="F28" s="809"/>
      <c r="G28" s="809"/>
      <c r="H28" s="809"/>
      <c r="I28" s="809"/>
      <c r="J28" s="806" t="str">
        <f>IF($J$24=Φύλλο1!$C$10,Φύλλο1!D11,Φύλλο1!D18)</f>
        <v>Extreme rainfall is the triggering factor for the majority of landslides. Steep hills with low vegetation (or areas that have been recently affected by wildfires) are particularly susceptible to soil erosion and creep, soil movements , rockfalls,  and mudslides posing a great threat to the stability of buildings located within the landslide zone.</v>
      </c>
      <c r="K28" s="806"/>
      <c r="L28" s="804">
        <v>0</v>
      </c>
      <c r="M28" s="804"/>
      <c r="N28" s="489">
        <v>1</v>
      </c>
      <c r="O28" s="489">
        <v>2</v>
      </c>
      <c r="P28" s="489">
        <v>3</v>
      </c>
      <c r="Q28" s="532"/>
    </row>
    <row r="29" spans="1:17" ht="40.5" customHeight="1" thickBot="1" x14ac:dyDescent="0.3">
      <c r="A29" s="65"/>
      <c r="B29" s="66"/>
      <c r="C29" s="13" t="s">
        <v>29</v>
      </c>
      <c r="D29" s="810" t="str">
        <f>IF($J$24=Φύλλο1!$C$10,"",Φύλλο1!C19)</f>
        <v>Does the region experience soil movements (i.e., rockfalls, mudslides, soil creep, etc) when it rains?</v>
      </c>
      <c r="E29" s="810"/>
      <c r="F29" s="810"/>
      <c r="G29" s="810"/>
      <c r="H29" s="810"/>
      <c r="I29" s="810"/>
      <c r="J29" s="833" t="str">
        <f>IF($J$25=Φύλλο1!I11,"",Φύλλο1!D19)</f>
        <v/>
      </c>
      <c r="K29" s="833"/>
      <c r="L29" s="805">
        <f>IF($J$24=Φύλλο1!$C$17,0,"")</f>
        <v>0</v>
      </c>
      <c r="M29" s="805"/>
      <c r="N29" s="490">
        <f>IF($J$24=Φύλλο1!$C$17,1,"")</f>
        <v>1</v>
      </c>
      <c r="O29" s="490">
        <f>IF($J$24=Φύλλο1!$C$17,2,"")</f>
        <v>2</v>
      </c>
      <c r="P29" s="490">
        <f>IF($J$24=Φύλλο1!$C$17,3,"")</f>
        <v>3</v>
      </c>
      <c r="Q29" s="533"/>
    </row>
    <row r="30" spans="1:17" ht="23.1" customHeight="1" thickTop="1" x14ac:dyDescent="0.25">
      <c r="A30" s="65"/>
      <c r="B30" s="66"/>
      <c r="D30" s="67"/>
      <c r="E30" s="67"/>
      <c r="F30" s="67"/>
      <c r="G30" s="67"/>
      <c r="H30" s="67"/>
      <c r="I30" s="67"/>
      <c r="J30" s="68"/>
      <c r="K30" s="68"/>
      <c r="L30" s="68"/>
      <c r="M30" s="68"/>
      <c r="N30" s="68"/>
      <c r="O30" s="69"/>
    </row>
    <row r="31" spans="1:17" ht="29.1" customHeight="1" x14ac:dyDescent="0.25">
      <c r="A31" s="65"/>
      <c r="B31" s="66"/>
      <c r="D31" s="67"/>
      <c r="E31" s="67"/>
      <c r="F31" s="67"/>
      <c r="G31" s="67"/>
      <c r="H31" s="67"/>
      <c r="I31" s="67"/>
      <c r="J31" s="68"/>
      <c r="K31" s="467"/>
      <c r="L31" s="467"/>
      <c r="M31" s="467"/>
      <c r="N31" s="467"/>
      <c r="O31" s="801" t="s">
        <v>30</v>
      </c>
      <c r="P31" s="801"/>
      <c r="Q31" s="86" t="e">
        <f>AVERAGE(Q28:Q29)</f>
        <v>#DIV/0!</v>
      </c>
    </row>
    <row r="32" spans="1:17" ht="15" customHeight="1" x14ac:dyDescent="0.25">
      <c r="A32" s="65"/>
      <c r="B32" s="66"/>
      <c r="L32" s="57"/>
      <c r="M32" s="57"/>
      <c r="N32" s="57"/>
      <c r="O32" s="487"/>
      <c r="P32" s="488"/>
    </row>
    <row r="33" spans="1:24" ht="29.1" customHeight="1" x14ac:dyDescent="0.25">
      <c r="A33" s="71"/>
      <c r="B33" s="71"/>
      <c r="J33" s="72"/>
      <c r="K33" s="409"/>
      <c r="L33" s="409"/>
      <c r="M33" s="409"/>
      <c r="N33" s="409"/>
      <c r="O33" s="801" t="s">
        <v>31</v>
      </c>
      <c r="P33" s="801"/>
      <c r="Q33" s="15" t="e">
        <f>IF(Q31&lt;=1,"Low",IF(Q31&lt;=2,"Medium","High"))</f>
        <v>#DIV/0!</v>
      </c>
    </row>
    <row r="34" spans="1:24" ht="47.1" customHeight="1" x14ac:dyDescent="0.25">
      <c r="A34" s="71"/>
      <c r="B34" s="71"/>
      <c r="D34" s="56"/>
      <c r="E34" s="56"/>
      <c r="F34" s="56"/>
      <c r="G34" s="56"/>
      <c r="H34" s="56"/>
      <c r="K34" s="72"/>
      <c r="L34" s="72"/>
      <c r="M34" s="72"/>
      <c r="N34" s="72"/>
      <c r="O34" s="70"/>
      <c r="P34" s="58"/>
    </row>
    <row r="35" spans="1:24" ht="24.95" customHeight="1" x14ac:dyDescent="0.25">
      <c r="A35" s="71"/>
      <c r="B35" s="71"/>
      <c r="C35" s="73"/>
      <c r="D35" s="830" t="s">
        <v>32</v>
      </c>
      <c r="E35" s="830"/>
      <c r="F35" s="830"/>
      <c r="G35" s="830"/>
      <c r="H35" s="830"/>
      <c r="I35" s="830"/>
      <c r="J35" s="830"/>
      <c r="K35" s="830"/>
      <c r="L35" s="830"/>
      <c r="M35" s="830"/>
      <c r="N35" s="830"/>
      <c r="O35" s="830"/>
      <c r="P35" s="830"/>
      <c r="Q35" s="830"/>
      <c r="X35" s="29" t="s">
        <v>33</v>
      </c>
    </row>
    <row r="36" spans="1:24" ht="20.45" customHeight="1" x14ac:dyDescent="0.25">
      <c r="C36" s="74"/>
      <c r="D36" s="829" t="s">
        <v>34</v>
      </c>
      <c r="E36" s="829"/>
      <c r="F36" s="829"/>
      <c r="G36" s="829"/>
      <c r="H36" s="829"/>
      <c r="I36" s="829"/>
      <c r="J36" s="829"/>
      <c r="K36" s="829"/>
      <c r="L36" s="829"/>
      <c r="M36" s="829"/>
      <c r="N36" s="829"/>
      <c r="O36" s="829"/>
      <c r="P36" s="829"/>
      <c r="Q36" s="829"/>
      <c r="R36" s="106"/>
      <c r="S36" s="106"/>
    </row>
    <row r="37" spans="1:24" ht="30" customHeight="1" x14ac:dyDescent="0.25">
      <c r="C37" s="74"/>
      <c r="D37" s="829"/>
      <c r="E37" s="829"/>
      <c r="F37" s="829"/>
      <c r="G37" s="829"/>
      <c r="H37" s="829"/>
      <c r="I37" s="829"/>
      <c r="J37" s="829"/>
      <c r="K37" s="829"/>
      <c r="L37" s="829"/>
      <c r="M37" s="829"/>
      <c r="N37" s="829"/>
      <c r="O37" s="829"/>
      <c r="P37" s="829"/>
      <c r="Q37" s="829"/>
      <c r="R37" s="56"/>
      <c r="S37" s="56"/>
    </row>
    <row r="38" spans="1:24" ht="40.5" customHeight="1" x14ac:dyDescent="0.3">
      <c r="C38" s="74"/>
      <c r="D38" s="822" t="s">
        <v>35</v>
      </c>
      <c r="E38" s="822"/>
      <c r="F38" s="822"/>
      <c r="G38" s="822"/>
      <c r="H38" s="822"/>
      <c r="I38" s="822"/>
      <c r="J38" s="822"/>
      <c r="K38" s="822"/>
      <c r="L38" s="822"/>
      <c r="M38" s="822"/>
      <c r="N38" s="822"/>
      <c r="O38" s="822"/>
      <c r="P38" s="56"/>
      <c r="Q38" s="458" t="s">
        <v>7</v>
      </c>
      <c r="R38" s="56"/>
      <c r="S38" s="56"/>
    </row>
    <row r="39" spans="1:24" ht="20.45" customHeight="1" thickBot="1" x14ac:dyDescent="0.3">
      <c r="C39" s="6"/>
      <c r="D39" s="814" t="s">
        <v>8</v>
      </c>
      <c r="E39" s="814"/>
      <c r="F39" s="814"/>
      <c r="G39" s="814"/>
      <c r="H39" s="814"/>
      <c r="I39" s="815"/>
      <c r="J39" s="88" t="s">
        <v>9</v>
      </c>
      <c r="K39" s="798" t="s">
        <v>36</v>
      </c>
      <c r="L39" s="799"/>
      <c r="M39" s="800"/>
      <c r="N39" s="798" t="s">
        <v>37</v>
      </c>
      <c r="O39" s="799"/>
      <c r="P39" s="800"/>
      <c r="Q39" s="792" t="s">
        <v>38</v>
      </c>
    </row>
    <row r="40" spans="1:24" ht="20.100000000000001" customHeight="1" x14ac:dyDescent="0.25">
      <c r="C40" s="6"/>
      <c r="D40" s="814"/>
      <c r="E40" s="814"/>
      <c r="F40" s="814"/>
      <c r="G40" s="814"/>
      <c r="H40" s="814"/>
      <c r="I40" s="815"/>
      <c r="J40" s="88"/>
      <c r="K40" s="496" t="s">
        <v>39</v>
      </c>
      <c r="L40" s="496" t="s">
        <v>40</v>
      </c>
      <c r="M40" s="496" t="s">
        <v>41</v>
      </c>
      <c r="N40" s="496" t="s">
        <v>39</v>
      </c>
      <c r="O40" s="496" t="s">
        <v>40</v>
      </c>
      <c r="P40" s="497" t="s">
        <v>41</v>
      </c>
      <c r="Q40" s="792"/>
    </row>
    <row r="41" spans="1:24" ht="49.5" customHeight="1" x14ac:dyDescent="0.25">
      <c r="C41" s="13" t="s">
        <v>42</v>
      </c>
      <c r="D41" s="812" t="s">
        <v>43</v>
      </c>
      <c r="E41" s="812"/>
      <c r="F41" s="812"/>
      <c r="G41" s="812"/>
      <c r="H41" s="812"/>
      <c r="I41" s="812"/>
      <c r="J41" s="498" t="s">
        <v>44</v>
      </c>
      <c r="K41" s="499">
        <v>1</v>
      </c>
      <c r="L41" s="500">
        <v>0.9</v>
      </c>
      <c r="M41" s="501">
        <v>0.8</v>
      </c>
      <c r="N41" s="499">
        <v>1.2</v>
      </c>
      <c r="O41" s="499">
        <v>1.3</v>
      </c>
      <c r="P41" s="499">
        <v>1.5</v>
      </c>
      <c r="Q41" s="787">
        <v>1.3</v>
      </c>
    </row>
    <row r="42" spans="1:24" ht="54" customHeight="1" x14ac:dyDescent="0.25">
      <c r="C42" s="13" t="s">
        <v>45</v>
      </c>
      <c r="D42" s="813" t="s">
        <v>46</v>
      </c>
      <c r="E42" s="813"/>
      <c r="F42" s="813"/>
      <c r="G42" s="813"/>
      <c r="H42" s="813"/>
      <c r="I42" s="813"/>
      <c r="J42" s="502" t="s">
        <v>47</v>
      </c>
      <c r="K42" s="503">
        <v>1</v>
      </c>
      <c r="L42" s="504">
        <v>0.9</v>
      </c>
      <c r="M42" s="505">
        <v>0.8</v>
      </c>
      <c r="N42" s="503">
        <v>1.2</v>
      </c>
      <c r="O42" s="503">
        <v>1.3</v>
      </c>
      <c r="P42" s="503">
        <v>1.5</v>
      </c>
      <c r="Q42" s="506">
        <v>0.9</v>
      </c>
    </row>
    <row r="43" spans="1:24" ht="54" customHeight="1" thickBot="1" x14ac:dyDescent="0.3">
      <c r="C43" s="13" t="s">
        <v>48</v>
      </c>
      <c r="D43" s="811" t="s">
        <v>49</v>
      </c>
      <c r="E43" s="811"/>
      <c r="F43" s="811"/>
      <c r="G43" s="811"/>
      <c r="H43" s="811"/>
      <c r="I43" s="811"/>
      <c r="J43" s="507" t="s">
        <v>50</v>
      </c>
      <c r="K43" s="509">
        <v>1</v>
      </c>
      <c r="L43" s="510">
        <v>0.9</v>
      </c>
      <c r="M43" s="511">
        <v>0.8</v>
      </c>
      <c r="N43" s="509">
        <v>1.2</v>
      </c>
      <c r="O43" s="509">
        <v>1.3</v>
      </c>
      <c r="P43" s="509">
        <v>1.5</v>
      </c>
      <c r="Q43" s="508">
        <v>1.5</v>
      </c>
      <c r="R43" s="191"/>
      <c r="S43" s="191"/>
      <c r="T43" s="191"/>
    </row>
    <row r="44" spans="1:24" ht="36" customHeight="1" x14ac:dyDescent="0.25">
      <c r="C44" s="47"/>
      <c r="D44" s="817"/>
      <c r="E44" s="817"/>
      <c r="F44" s="817"/>
      <c r="G44" s="817"/>
      <c r="H44" s="817"/>
      <c r="I44" s="817"/>
      <c r="J44" s="817"/>
      <c r="K44" s="78"/>
      <c r="L44" s="79"/>
      <c r="M44" s="78"/>
      <c r="N44" s="78"/>
      <c r="O44" s="80"/>
      <c r="R44" s="19"/>
      <c r="S44" s="19"/>
      <c r="T44" s="19"/>
    </row>
    <row r="45" spans="1:24" ht="31.5" customHeight="1" x14ac:dyDescent="0.25">
      <c r="K45" s="808"/>
      <c r="L45" s="808"/>
      <c r="M45" s="808"/>
      <c r="N45" s="808"/>
      <c r="O45" s="819" t="s">
        <v>51</v>
      </c>
      <c r="P45" s="819"/>
      <c r="Q45" s="17" t="e">
        <f>IF(MAX(Q41:Q43) *$Q$19&gt;3,3,MAX(Q41:Q43) *$Q$19)</f>
        <v>#DIV/0!</v>
      </c>
      <c r="R45" s="618"/>
      <c r="S45" s="619" t="e">
        <f>MAX(Q45,Q19)</f>
        <v>#DIV/0!</v>
      </c>
      <c r="T45" s="19"/>
    </row>
    <row r="46" spans="1:24" ht="14.45" customHeight="1" x14ac:dyDescent="0.25">
      <c r="C46" s="47"/>
      <c r="D46" s="816"/>
      <c r="E46" s="816"/>
      <c r="F46" s="816"/>
      <c r="G46" s="816"/>
      <c r="H46" s="816"/>
      <c r="I46" s="816"/>
      <c r="J46" s="83"/>
      <c r="K46" s="84"/>
      <c r="L46" s="84"/>
      <c r="M46" s="84"/>
      <c r="N46" s="84"/>
      <c r="O46" s="513"/>
      <c r="P46" s="514"/>
      <c r="Q46" s="82"/>
      <c r="R46" s="618"/>
      <c r="S46" s="618"/>
      <c r="T46" s="19"/>
    </row>
    <row r="47" spans="1:24" ht="32.450000000000003" customHeight="1" x14ac:dyDescent="0.25">
      <c r="D47" s="85"/>
      <c r="E47" s="85"/>
      <c r="F47" s="85"/>
      <c r="G47" s="85"/>
      <c r="H47" s="85"/>
      <c r="I47" s="85"/>
      <c r="J47" s="85"/>
      <c r="K47" s="808"/>
      <c r="L47" s="808"/>
      <c r="M47" s="808"/>
      <c r="N47" s="808"/>
      <c r="O47" s="819" t="s">
        <v>52</v>
      </c>
      <c r="P47" s="819"/>
      <c r="Q47" s="15" t="e">
        <f>IF(Q45&lt;=1,"Low",IF(Q45&lt;=2,"Medium","High"))</f>
        <v>#DIV/0!</v>
      </c>
      <c r="R47" s="618"/>
      <c r="S47" s="618"/>
      <c r="T47" s="19"/>
    </row>
    <row r="48" spans="1:24" ht="24.6" customHeight="1" x14ac:dyDescent="0.25">
      <c r="D48" s="85"/>
      <c r="E48" s="85"/>
      <c r="F48" s="85"/>
      <c r="G48" s="85"/>
      <c r="H48" s="85"/>
      <c r="I48" s="85"/>
      <c r="J48" s="85"/>
      <c r="K48" s="81"/>
      <c r="L48" s="81"/>
      <c r="M48" s="81"/>
      <c r="N48" s="81"/>
      <c r="O48" s="515"/>
      <c r="P48" s="514"/>
      <c r="Q48" s="512"/>
      <c r="R48" s="618"/>
      <c r="S48" s="618"/>
      <c r="T48" s="19"/>
    </row>
    <row r="49" spans="11:20" ht="36.6" customHeight="1" x14ac:dyDescent="0.25">
      <c r="K49" s="808"/>
      <c r="L49" s="808"/>
      <c r="M49" s="808"/>
      <c r="N49" s="808"/>
      <c r="O49" s="821" t="s">
        <v>53</v>
      </c>
      <c r="P49" s="821"/>
      <c r="Q49" s="89" t="e">
        <f>IF($Q$41*$Q$31&gt;3,3,$Q$41*$Q$31)</f>
        <v>#DIV/0!</v>
      </c>
      <c r="R49" s="19"/>
      <c r="S49" s="602" t="e">
        <f>MAX(Q49,Q31)</f>
        <v>#DIV/0!</v>
      </c>
      <c r="T49" s="19"/>
    </row>
    <row r="50" spans="11:20" ht="14.1" customHeight="1" x14ac:dyDescent="0.25">
      <c r="K50" s="83"/>
      <c r="L50" s="83"/>
      <c r="M50" s="83"/>
      <c r="N50" s="83"/>
      <c r="O50" s="513"/>
      <c r="P50" s="514"/>
      <c r="R50" s="19"/>
      <c r="S50" s="19"/>
      <c r="T50" s="19"/>
    </row>
    <row r="51" spans="11:20" ht="35.1" customHeight="1" x14ac:dyDescent="0.25">
      <c r="K51" s="808"/>
      <c r="L51" s="808"/>
      <c r="M51" s="808"/>
      <c r="N51" s="808"/>
      <c r="O51" s="818" t="s">
        <v>54</v>
      </c>
      <c r="P51" s="818"/>
      <c r="Q51" s="15" t="e">
        <f>IF(Q49&lt;=1,"Low",IF(Q49&lt;=2,"Medium","High"))</f>
        <v>#DIV/0!</v>
      </c>
      <c r="R51" s="19"/>
      <c r="S51" s="19"/>
      <c r="T51" s="19"/>
    </row>
    <row r="52" spans="11:20" x14ac:dyDescent="0.25">
      <c r="R52" s="191"/>
      <c r="S52" s="191"/>
      <c r="T52" s="191"/>
    </row>
    <row r="53" spans="11:20" x14ac:dyDescent="0.25">
      <c r="R53" s="191"/>
      <c r="S53" s="191"/>
      <c r="T53" s="191"/>
    </row>
    <row r="54" spans="11:20" x14ac:dyDescent="0.25">
      <c r="R54" s="191"/>
      <c r="S54" s="191"/>
      <c r="T54" s="191"/>
    </row>
  </sheetData>
  <sheetProtection algorithmName="SHA-512" hashValue="mHupG9w6O/M3lvMhH7rhF8u3SwoEXFpqGz0zlgAXtJbJl/RA8IbjhEpIu/ipebOe8h+J7ZocmVZ+J+g+CwTjfw==" saltValue="8BSCCOqxUAfSmR1pHgB2Qw==" spinCount="100000" sheet="1" selectLockedCells="1"/>
  <mergeCells count="60">
    <mergeCell ref="D6:Q6"/>
    <mergeCell ref="L15:M15"/>
    <mergeCell ref="L16:M16"/>
    <mergeCell ref="J10:K11"/>
    <mergeCell ref="J12:K12"/>
    <mergeCell ref="J13:K13"/>
    <mergeCell ref="J14:K14"/>
    <mergeCell ref="J15:K15"/>
    <mergeCell ref="J16:K16"/>
    <mergeCell ref="D8:I8"/>
    <mergeCell ref="D12:I12"/>
    <mergeCell ref="D15:I15"/>
    <mergeCell ref="D14:I14"/>
    <mergeCell ref="D10:I11"/>
    <mergeCell ref="L10:M10"/>
    <mergeCell ref="L11:M11"/>
    <mergeCell ref="O51:P51"/>
    <mergeCell ref="O47:P47"/>
    <mergeCell ref="L14:M14"/>
    <mergeCell ref="O19:P19"/>
    <mergeCell ref="O21:P21"/>
    <mergeCell ref="D38:O38"/>
    <mergeCell ref="D24:I24"/>
    <mergeCell ref="D26:I27"/>
    <mergeCell ref="K21:N21"/>
    <mergeCell ref="D36:Q37"/>
    <mergeCell ref="D35:Q35"/>
    <mergeCell ref="J26:K27"/>
    <mergeCell ref="J29:K29"/>
    <mergeCell ref="D18:I18"/>
    <mergeCell ref="O45:P45"/>
    <mergeCell ref="O49:P49"/>
    <mergeCell ref="K49:N49"/>
    <mergeCell ref="K51:N51"/>
    <mergeCell ref="D28:I28"/>
    <mergeCell ref="D29:I29"/>
    <mergeCell ref="D43:I43"/>
    <mergeCell ref="K45:N45"/>
    <mergeCell ref="K47:N47"/>
    <mergeCell ref="D41:I41"/>
    <mergeCell ref="D42:I42"/>
    <mergeCell ref="D39:I40"/>
    <mergeCell ref="D46:I46"/>
    <mergeCell ref="D44:J44"/>
    <mergeCell ref="Q39:Q40"/>
    <mergeCell ref="D16:I16"/>
    <mergeCell ref="D21:H21"/>
    <mergeCell ref="D13:I13"/>
    <mergeCell ref="D17:I17"/>
    <mergeCell ref="K19:N19"/>
    <mergeCell ref="K39:M39"/>
    <mergeCell ref="N39:P39"/>
    <mergeCell ref="O31:P31"/>
    <mergeCell ref="O33:P33"/>
    <mergeCell ref="L26:M26"/>
    <mergeCell ref="L27:M27"/>
    <mergeCell ref="L28:M28"/>
    <mergeCell ref="L29:M29"/>
    <mergeCell ref="J28:K28"/>
    <mergeCell ref="L13:M13"/>
  </mergeCells>
  <conditionalFormatting sqref="D12:I16">
    <cfRule type="cellIs" dxfId="255" priority="14" operator="equal">
      <formula>0</formula>
    </cfRule>
  </conditionalFormatting>
  <conditionalFormatting sqref="J12:J16">
    <cfRule type="cellIs" dxfId="254" priority="13" operator="equal">
      <formula>0</formula>
    </cfRule>
  </conditionalFormatting>
  <conditionalFormatting sqref="Q21">
    <cfRule type="cellIs" dxfId="253" priority="1" operator="equal">
      <formula>"High"</formula>
    </cfRule>
    <cfRule type="cellIs" dxfId="252" priority="26" operator="equal">
      <formula>"Low"</formula>
    </cfRule>
    <cfRule type="cellIs" dxfId="251" priority="27" operator="equal">
      <formula>"Medium"</formula>
    </cfRule>
  </conditionalFormatting>
  <conditionalFormatting sqref="Q33">
    <cfRule type="cellIs" dxfId="250" priority="5" operator="equal">
      <formula>"Low"</formula>
    </cfRule>
    <cfRule type="cellIs" dxfId="249" priority="6" operator="equal">
      <formula>"Medium"</formula>
    </cfRule>
    <cfRule type="cellIs" dxfId="248" priority="28" operator="equal">
      <formula>"High"</formula>
    </cfRule>
  </conditionalFormatting>
  <conditionalFormatting sqref="Q47 O48">
    <cfRule type="cellIs" dxfId="247" priority="10" operator="equal">
      <formula>"Low"</formula>
    </cfRule>
    <cfRule type="cellIs" dxfId="246" priority="11" operator="equal">
      <formula>"Medium"</formula>
    </cfRule>
    <cfRule type="cellIs" dxfId="245" priority="12" operator="equal">
      <formula>"High"</formula>
    </cfRule>
  </conditionalFormatting>
  <conditionalFormatting sqref="Q51">
    <cfRule type="cellIs" dxfId="244" priority="2" operator="equal">
      <formula>"Low"</formula>
    </cfRule>
    <cfRule type="cellIs" dxfId="243" priority="3" operator="equal">
      <formula>"Medium"</formula>
    </cfRule>
    <cfRule type="cellIs" dxfId="242" priority="4" operator="equal">
      <formula>"High"</formula>
    </cfRule>
  </conditionalFormatting>
  <dataValidations count="6">
    <dataValidation type="list" allowBlank="1" showInputMessage="1" showErrorMessage="1" sqref="J9" xr:uid="{D22B4A0C-3B88-417F-8758-826E9218D731}">
      <formula1>"Flood Hazard Maps, Flood Risk Maps, Empirical Indicators"</formula1>
    </dataValidation>
    <dataValidation type="list" allowBlank="1" showInputMessage="1" showErrorMessage="1" sqref="J8" xr:uid="{013BF0E2-87F5-4F05-872A-CEA8BD2825FD}">
      <formula1>"Empirical Indicators,Flood Hazard Maps, Flood Risk Maps"</formula1>
    </dataValidation>
    <dataValidation type="list" allowBlank="1" showInputMessage="1" showErrorMessage="1" sqref="J24" xr:uid="{F8C87F49-91CB-47B3-A9D3-B22053DDEC8C}">
      <formula1>"Empirical Indicators, Landslide Risk Maps"</formula1>
    </dataValidation>
    <dataValidation type="list" allowBlank="1" showInputMessage="1" showErrorMessage="1" sqref="Q28:Q29 Q15:Q16" xr:uid="{B02B9186-1EDE-4278-9ED5-D377D98B6FA5}">
      <formula1>"0,1,2,3"</formula1>
    </dataValidation>
    <dataValidation type="list" allowBlank="1" showInputMessage="1" showErrorMessage="1" sqref="Q13:Q14" xr:uid="{8CED9E0F-C301-48C6-9351-DB685C2E9698}">
      <formula1>"0,3"</formula1>
    </dataValidation>
    <dataValidation type="list" allowBlank="1" showInputMessage="1" showErrorMessage="1" sqref="Q41:Q43" xr:uid="{E0F140AA-2EAA-4F8E-A82A-599F1AA7C032}">
      <formula1>"0.8,0.9,1,1.2,1.3,1.5,0"</formula1>
    </dataValidation>
  </dataValidations>
  <pageMargins left="0.7" right="0.7" top="0.75" bottom="0.75" header="0.3" footer="0.3"/>
  <headerFooter>
    <oddHeader>&amp;C&amp;"Calibri"&amp;10&amp;K808080 Corporate Use&amp;1#_x000D_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FE0-A1B0-452C-8E30-4FE1F547D2D5}">
  <sheetPr codeName="Sheet15"/>
  <dimension ref="A2:Q22"/>
  <sheetViews>
    <sheetView topLeftCell="A5" zoomScale="85" zoomScaleNormal="85" workbookViewId="0">
      <selection activeCell="C15" sqref="C15"/>
    </sheetView>
  </sheetViews>
  <sheetFormatPr defaultColWidth="8.7109375" defaultRowHeight="12" x14ac:dyDescent="0.25"/>
  <cols>
    <col min="1" max="1" width="56.28515625" style="25" customWidth="1"/>
    <col min="2" max="2" width="43.5703125" style="25" customWidth="1"/>
    <col min="3" max="3" width="51.5703125" style="25" customWidth="1"/>
    <col min="4" max="4" width="48.85546875" style="25" customWidth="1"/>
    <col min="5" max="16384" width="8.7109375" style="25"/>
  </cols>
  <sheetData>
    <row r="2" spans="1:17" x14ac:dyDescent="0.25">
      <c r="A2" s="24" t="s">
        <v>55</v>
      </c>
    </row>
    <row r="3" spans="1:17" ht="72" x14ac:dyDescent="0.25">
      <c r="A3" s="21" t="s">
        <v>56</v>
      </c>
      <c r="B3" s="21" t="s">
        <v>57</v>
      </c>
    </row>
    <row r="4" spans="1:17" ht="24" x14ac:dyDescent="0.25">
      <c r="A4" s="21" t="s">
        <v>58</v>
      </c>
    </row>
    <row r="5" spans="1:17" ht="24" x14ac:dyDescent="0.25">
      <c r="A5" s="21" t="s">
        <v>59</v>
      </c>
    </row>
    <row r="6" spans="1:17" ht="24" x14ac:dyDescent="0.25">
      <c r="A6" s="21" t="s">
        <v>60</v>
      </c>
    </row>
    <row r="7" spans="1:17" ht="36" x14ac:dyDescent="0.25">
      <c r="A7" s="21" t="s">
        <v>61</v>
      </c>
      <c r="B7" s="21" t="s">
        <v>62</v>
      </c>
    </row>
    <row r="8" spans="1:17" x14ac:dyDescent="0.25">
      <c r="B8" s="21"/>
      <c r="C8" s="21"/>
      <c r="D8" s="21"/>
      <c r="E8" s="21"/>
      <c r="F8" s="21"/>
      <c r="G8" s="848"/>
      <c r="H8" s="848"/>
      <c r="I8" s="848"/>
      <c r="J8" s="848"/>
      <c r="K8" s="848"/>
      <c r="L8" s="848"/>
      <c r="M8" s="27"/>
      <c r="N8" s="27"/>
      <c r="O8" s="27"/>
      <c r="P8" s="27"/>
      <c r="Q8" s="27"/>
    </row>
    <row r="9" spans="1:17" x14ac:dyDescent="0.25">
      <c r="A9" s="21"/>
      <c r="B9" s="21"/>
      <c r="C9" s="21"/>
      <c r="D9" s="21"/>
      <c r="E9" s="21"/>
      <c r="F9" s="21"/>
      <c r="G9" s="26"/>
      <c r="H9" s="26"/>
      <c r="I9" s="26"/>
      <c r="J9" s="26"/>
      <c r="K9" s="26"/>
      <c r="L9" s="26"/>
      <c r="M9" s="27"/>
      <c r="N9" s="27"/>
      <c r="O9" s="27"/>
      <c r="P9" s="27"/>
      <c r="Q9" s="27"/>
    </row>
    <row r="10" spans="1:17" ht="22.5" customHeight="1" x14ac:dyDescent="0.25">
      <c r="A10" s="24" t="s">
        <v>63</v>
      </c>
      <c r="C10" s="24" t="s">
        <v>64</v>
      </c>
    </row>
    <row r="11" spans="1:17" ht="47.1" customHeight="1" x14ac:dyDescent="0.25">
      <c r="A11" s="21" t="s">
        <v>65</v>
      </c>
      <c r="B11" s="21" t="s">
        <v>66</v>
      </c>
      <c r="C11" s="21" t="s">
        <v>67</v>
      </c>
      <c r="D11" s="21" t="s">
        <v>68</v>
      </c>
    </row>
    <row r="12" spans="1:17" x14ac:dyDescent="0.25">
      <c r="A12" s="25" t="s">
        <v>69</v>
      </c>
      <c r="C12" s="21"/>
    </row>
    <row r="13" spans="1:17" x14ac:dyDescent="0.25">
      <c r="A13" s="25" t="s">
        <v>70</v>
      </c>
    </row>
    <row r="14" spans="1:17" x14ac:dyDescent="0.25">
      <c r="A14" s="25" t="s">
        <v>71</v>
      </c>
    </row>
    <row r="15" spans="1:17" ht="36" x14ac:dyDescent="0.25">
      <c r="A15" s="21" t="s">
        <v>72</v>
      </c>
      <c r="B15" s="21" t="s">
        <v>62</v>
      </c>
    </row>
    <row r="16" spans="1:17" x14ac:dyDescent="0.25">
      <c r="A16" s="21"/>
    </row>
    <row r="17" spans="1:12" x14ac:dyDescent="0.25">
      <c r="A17" s="24" t="s">
        <v>6</v>
      </c>
      <c r="C17" s="24" t="s">
        <v>6</v>
      </c>
    </row>
    <row r="18" spans="1:12" ht="72.599999999999994" customHeight="1" x14ac:dyDescent="0.25">
      <c r="C18" s="21" t="s">
        <v>73</v>
      </c>
      <c r="D18" s="21" t="s">
        <v>74</v>
      </c>
      <c r="E18" s="21"/>
      <c r="F18" s="21"/>
      <c r="G18" s="21"/>
    </row>
    <row r="19" spans="1:12" ht="54.6" customHeight="1" x14ac:dyDescent="0.25">
      <c r="A19" s="21" t="s">
        <v>75</v>
      </c>
      <c r="B19" s="21" t="s">
        <v>76</v>
      </c>
      <c r="C19" s="21" t="s">
        <v>77</v>
      </c>
      <c r="D19" s="25" t="s">
        <v>78</v>
      </c>
      <c r="E19" s="21"/>
      <c r="F19" s="21"/>
    </row>
    <row r="20" spans="1:12" ht="40.5" customHeight="1" x14ac:dyDescent="0.25">
      <c r="A20" s="21" t="s">
        <v>79</v>
      </c>
      <c r="B20" s="21" t="s">
        <v>80</v>
      </c>
      <c r="C20" s="21"/>
      <c r="D20" s="21"/>
      <c r="E20" s="21"/>
      <c r="F20" s="21"/>
      <c r="H20" s="21"/>
      <c r="I20" s="21"/>
      <c r="J20" s="21"/>
      <c r="K20" s="21"/>
      <c r="L20" s="21"/>
    </row>
    <row r="21" spans="1:12" ht="36" x14ac:dyDescent="0.25">
      <c r="A21" s="21" t="s">
        <v>81</v>
      </c>
      <c r="B21" s="26" t="s">
        <v>82</v>
      </c>
    </row>
    <row r="22" spans="1:12" ht="36" x14ac:dyDescent="0.25">
      <c r="A22" s="21" t="s">
        <v>83</v>
      </c>
      <c r="B22" s="21" t="s">
        <v>62</v>
      </c>
    </row>
  </sheetData>
  <mergeCells count="1">
    <mergeCell ref="G8:L8"/>
  </mergeCells>
  <pageMargins left="0.7" right="0.7" top="0.75" bottom="0.75" header="0.3" footer="0.3"/>
  <headerFooter>
    <oddHeader>&amp;C&amp;"Calibri"&amp;10&amp;K808080 Corporate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D71-E65D-4DAC-8F29-82DA6ADA2B8B}">
  <sheetPr codeName="Φύλλο1">
    <tabColor rgb="FF00B0F0"/>
  </sheetPr>
  <dimension ref="A2:AG31"/>
  <sheetViews>
    <sheetView zoomScale="70" zoomScaleNormal="70" workbookViewId="0">
      <selection activeCell="G5" sqref="G5"/>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2" width="15.42578125" style="29" customWidth="1"/>
    <col min="13" max="13" width="1" style="29" customWidth="1"/>
    <col min="14" max="15" width="35.5703125" style="29" customWidth="1"/>
    <col min="16" max="16" width="30" style="29" customWidth="1"/>
    <col min="17" max="17" width="1.140625" style="29" customWidth="1"/>
    <col min="18" max="18" width="16.2851562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49" t="s">
        <v>84</v>
      </c>
      <c r="C2" s="849"/>
      <c r="D2" s="849"/>
      <c r="E2" s="849"/>
      <c r="S2" s="73"/>
    </row>
    <row r="3" spans="1:33" ht="41.45" customHeight="1" thickBot="1" x14ac:dyDescent="0.5">
      <c r="A3" s="548"/>
      <c r="B3" s="435" t="s">
        <v>85</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64.5" customHeight="1" x14ac:dyDescent="0.3">
      <c r="A5" s="140"/>
      <c r="C5" s="37"/>
      <c r="D5" s="37"/>
      <c r="E5" s="549" t="s">
        <v>86</v>
      </c>
      <c r="F5" s="141"/>
      <c r="G5" s="142" t="s">
        <v>87</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3" ht="18.600000000000001" customHeight="1" x14ac:dyDescent="0.25">
      <c r="A6" s="851"/>
      <c r="B6" s="38"/>
      <c r="C6" s="139"/>
      <c r="D6" s="139"/>
      <c r="H6" s="411"/>
    </row>
    <row r="7" spans="1:33" ht="48.6" customHeight="1" x14ac:dyDescent="0.25">
      <c r="A7" s="851"/>
      <c r="B7" s="37" t="s">
        <v>88</v>
      </c>
      <c r="D7" s="37"/>
      <c r="T7" s="143"/>
      <c r="U7" s="143"/>
      <c r="AG7" s="143"/>
    </row>
    <row r="8" spans="1:33" ht="19.5" customHeight="1" x14ac:dyDescent="0.25">
      <c r="A8" s="851"/>
      <c r="B8" s="543" t="s">
        <v>89</v>
      </c>
      <c r="C8" s="543"/>
      <c r="D8" s="543"/>
      <c r="E8" s="543"/>
      <c r="F8" s="52"/>
      <c r="G8" s="852" t="s">
        <v>90</v>
      </c>
      <c r="H8" s="852"/>
      <c r="I8" s="852"/>
      <c r="J8" s="852"/>
      <c r="K8" s="852"/>
      <c r="L8" s="144"/>
      <c r="M8" s="85"/>
      <c r="N8" s="145" t="s">
        <v>91</v>
      </c>
      <c r="O8" s="145"/>
      <c r="P8" s="146"/>
      <c r="Q8" s="106"/>
      <c r="R8" s="853" t="s">
        <v>92</v>
      </c>
      <c r="S8" s="853"/>
      <c r="U8" s="872"/>
      <c r="V8" s="872"/>
      <c r="W8" s="872"/>
      <c r="X8" s="872"/>
      <c r="Y8" s="872"/>
      <c r="Z8" s="872"/>
      <c r="AA8" s="147"/>
      <c r="AB8" s="85"/>
      <c r="AC8" s="106"/>
      <c r="AD8" s="106"/>
      <c r="AE8" s="794"/>
      <c r="AF8" s="794"/>
    </row>
    <row r="9" spans="1:33" ht="44.45" customHeight="1" x14ac:dyDescent="0.25">
      <c r="A9" s="851"/>
      <c r="B9" s="863" t="s">
        <v>93</v>
      </c>
      <c r="C9" s="863"/>
      <c r="D9" s="740"/>
      <c r="E9" s="177"/>
      <c r="F9" s="52"/>
      <c r="G9" s="864" t="s">
        <v>94</v>
      </c>
      <c r="H9" s="864"/>
      <c r="I9" s="864"/>
      <c r="J9" s="864"/>
      <c r="K9" s="193"/>
      <c r="L9" s="193"/>
      <c r="M9" s="85"/>
      <c r="N9" s="865" t="s">
        <v>95</v>
      </c>
      <c r="O9" s="865"/>
      <c r="P9" s="865"/>
      <c r="Q9" s="201"/>
      <c r="R9" s="113"/>
      <c r="S9" s="113"/>
      <c r="U9" s="147"/>
      <c r="V9" s="147"/>
      <c r="W9" s="147"/>
      <c r="X9" s="147"/>
      <c r="Y9" s="147"/>
      <c r="Z9" s="147"/>
      <c r="AA9" s="147"/>
      <c r="AB9" s="85"/>
      <c r="AC9" s="106"/>
      <c r="AD9" s="106"/>
      <c r="AE9" s="56"/>
      <c r="AF9" s="56"/>
    </row>
    <row r="10" spans="1:33" ht="27" customHeight="1" x14ac:dyDescent="0.25">
      <c r="A10" s="851"/>
      <c r="B10" s="863"/>
      <c r="C10" s="863"/>
      <c r="D10" s="740"/>
      <c r="E10" s="189"/>
      <c r="G10" s="95" t="s">
        <v>96</v>
      </c>
      <c r="H10" s="95" t="s">
        <v>97</v>
      </c>
      <c r="I10" s="95" t="s">
        <v>98</v>
      </c>
      <c r="J10" s="95" t="s">
        <v>99</v>
      </c>
      <c r="K10" s="148"/>
      <c r="L10" s="148"/>
      <c r="M10" s="148"/>
      <c r="N10" s="95" t="s">
        <v>100</v>
      </c>
      <c r="O10" s="95" t="s">
        <v>101</v>
      </c>
      <c r="P10" s="95" t="s">
        <v>102</v>
      </c>
      <c r="Q10" s="95"/>
      <c r="R10" s="6"/>
      <c r="S10" s="6"/>
      <c r="U10" s="95"/>
      <c r="V10" s="95"/>
      <c r="W10" s="95"/>
      <c r="X10" s="95"/>
      <c r="Y10" s="95"/>
      <c r="Z10" s="148"/>
      <c r="AA10" s="148"/>
      <c r="AB10" s="148"/>
      <c r="AC10" s="95"/>
      <c r="AD10" s="95"/>
    </row>
    <row r="11" spans="1:33" ht="60" customHeight="1" x14ac:dyDescent="0.3">
      <c r="A11" s="866"/>
      <c r="B11" s="868"/>
      <c r="C11" s="869"/>
      <c r="D11" s="552"/>
      <c r="E11" s="553"/>
      <c r="F11" s="156"/>
      <c r="G11" s="194" t="str">
        <f>IF(G5="Small Residential/Office/Shop", "Based on past experience, is the building expected to remain functional or (sustain minor damage) in the event of a flood?", "Based on past experience, is the building component expected to remain functional or (sustain minor damage) in the event of a flood?")</f>
        <v>Based on past experience, is the building expected to remain functional or (sustain minor damage) in the event of a flood?</v>
      </c>
      <c r="H11" s="186" t="str">
        <f>IF(G5="Small Residential/Office/Shop", "Can the building withstand high water levels and hail?", "Is the component water-resistant (i.e., maintains its functionality even when inundated) or does the component quickly recover (i.e.,  fast drainage of flooded areas)?")</f>
        <v>Can the building withstand high water levels and hail?</v>
      </c>
      <c r="I11" s="186" t="str">
        <f>IF(G5="Small Residential/Office/Shop"," Does the building design prevent water from entering its interior (e.g., proper foundation drainage, site grading, gutters conveying water away from the foundation)?", "Has the component been designed to withstand increased flood actions and hail?")</f>
        <v xml:space="preserve"> Does the building design prevent water from entering its interior (e.g., proper foundation drainage, site grading, gutters conveying water away from the foundation)?</v>
      </c>
      <c r="J11" s="186" t="str">
        <f>IF(G5="Small Residential/Office/Shop", "Is the building elevated, or is the flat located at a higher floor?", "Is the component suspended or located on a higher floor? In case the component is on several floors (e.g., classes, laboratorie) consider the lowest floor.")</f>
        <v>Is the building elevated, or is the flat located at a higher floor?</v>
      </c>
      <c r="K11" s="178" t="s">
        <v>103</v>
      </c>
      <c r="L11" s="179" t="s">
        <v>104</v>
      </c>
      <c r="M11" s="148"/>
      <c r="N11" s="187" t="s">
        <v>105</v>
      </c>
      <c r="O11" s="187" t="str">
        <f>IF(G5="Small Residential/Office/Shop", "Is the building/flat equipped with battery-powered pumps? ", "Is the component equipped with pumps? Can they operate during power outages?")</f>
        <v xml:space="preserve">Is the building/flat equipped with battery-powered pumps? </v>
      </c>
      <c r="P11" s="187" t="str">
        <f>IF(G5="Small Residential/Office/Shop", " ", "Are there redundancies that could reduce impacts in case the component fails? (e.g., transfer of occupants to safe rooms, spare parts for damaged equipment etc)")</f>
        <v xml:space="preserve"> </v>
      </c>
      <c r="Q11" s="149"/>
      <c r="R11" s="180" t="s">
        <v>106</v>
      </c>
      <c r="S11" s="181" t="s">
        <v>107</v>
      </c>
      <c r="U11" s="150"/>
      <c r="V11" s="150"/>
      <c r="W11" s="150"/>
      <c r="X11" s="150"/>
      <c r="Y11" s="150"/>
      <c r="Z11" s="150"/>
      <c r="AA11" s="49"/>
      <c r="AB11" s="148"/>
      <c r="AC11" s="149"/>
      <c r="AD11" s="149"/>
      <c r="AE11" s="151"/>
      <c r="AF11" s="151"/>
    </row>
    <row r="12" spans="1:33" ht="59.1" customHeight="1" x14ac:dyDescent="0.25">
      <c r="A12" s="867"/>
      <c r="B12" s="870" t="s">
        <v>108</v>
      </c>
      <c r="C12" s="871"/>
      <c r="D12" s="554" t="s">
        <v>109</v>
      </c>
      <c r="E12" s="555" t="s">
        <v>110</v>
      </c>
      <c r="F12" s="156"/>
      <c r="G12" s="182" t="s">
        <v>111</v>
      </c>
      <c r="H12" s="182" t="s">
        <v>111</v>
      </c>
      <c r="I12" s="182" t="s">
        <v>111</v>
      </c>
      <c r="J12" s="182" t="str">
        <f>IF(G5="Small Residential/Office/Shop", "[0: 2nd-floor flat or higher | 1 = 1st-foor or rainsed ground-floor flat| 2: Ground-floor flat| 3: Basement or Semi-basement flat ]","[0: 2nd floor or higher | 1 = 1st floor | 2: Ground floor | 3: Basement or below ]")</f>
        <v>[0: 2nd-floor flat or higher | 1 = 1st-foor or rainsed ground-floor flat| 2: Ground-floor flat| 3: Basement or Semi-basement flat ]</v>
      </c>
      <c r="K12" s="182" t="s">
        <v>112</v>
      </c>
      <c r="L12" s="183" t="s">
        <v>113</v>
      </c>
      <c r="M12" s="107"/>
      <c r="N12" s="195" t="s">
        <v>114</v>
      </c>
      <c r="O12" s="195" t="str">
        <f>IF(G5="Small Residential/Office/Shop", "[3: Yes | 0: No ]","[3: &gt;75% availability of  battery backup pumps|0: &lt;25%availability of battery-powered pumps ]")</f>
        <v>[3: Yes | 0: No ]</v>
      </c>
      <c r="P12" s="195" t="str">
        <f>IF(G5="Small Residential/Office/Shop", " ","[3: Yes | 2: Most Likely | 1: Likely | 0: No ]")</f>
        <v xml:space="preserve"> </v>
      </c>
      <c r="Q12" s="153"/>
      <c r="R12" s="184" t="s">
        <v>14</v>
      </c>
      <c r="S12" s="185" t="s">
        <v>113</v>
      </c>
      <c r="U12" s="154"/>
      <c r="V12" s="154"/>
      <c r="W12" s="155"/>
      <c r="X12" s="154"/>
      <c r="Y12" s="154"/>
      <c r="Z12" s="154"/>
      <c r="AA12" s="154"/>
      <c r="AB12" s="107"/>
      <c r="AC12" s="153"/>
      <c r="AD12" s="153"/>
      <c r="AE12" s="154"/>
      <c r="AF12" s="154"/>
    </row>
    <row r="13" spans="1:33" ht="81.95" customHeight="1" x14ac:dyDescent="0.25">
      <c r="A13" s="854"/>
      <c r="B13" s="547"/>
      <c r="C13" s="550" t="str">
        <f>IF($G$5=Φύλλο2!$A$2,Φύλλο2!A3,IF($G$5=Φύλλο2!$A$22,Φύλλο2!A23,IF($G$5=Φύλλο2!$A$42,Φύλλο2!A43, IF($G$5=Φύλλο2!$A$62,Φύλλο2!A63,Φύλλο2!A83))))</f>
        <v>ALL COMPONENTS - Simplified assessment</v>
      </c>
      <c r="D13" s="633" t="str">
        <f>IF(G5="Small Residential/Office/Shop", "Active","N/A")</f>
        <v>Active</v>
      </c>
      <c r="E13" s="551" t="str">
        <f>IF($G$5=Φύλλο2!$A$2,Φύλλο2!D3,IF($G$5=Φύλλο2!$A$22,Φύλλο2!D23,IF($G$5=Φύλλο2!$A$42,Φύλλο2!D43, IF($G$5=Φύλλο2!$A$62,Φύλλο2!D63,Φύλλο2!D83))))</f>
        <v>Power outages; flooded basements, entrances, and interiors; mold growing (in the basement); sewer backup;  loss of internet/telephone service; short-circuit damages of electrical equipment (TV, computers)</v>
      </c>
      <c r="F13" s="156"/>
      <c r="G13" s="635"/>
      <c r="H13" s="635"/>
      <c r="I13" s="635"/>
      <c r="J13" s="635"/>
      <c r="K13" s="200" t="e">
        <f>IF(C13="N/A","N/A",IF(D13="N/A","N/A",IF(E13="N/A","N/A",AVERAGE(G13:J13))))</f>
        <v>#DIV/0!</v>
      </c>
      <c r="L13" s="176" t="e">
        <f>IF(K13="N/A","N/A",IF(K13&lt;=1,"Low",IF(K13&lt;=2,"Medium","High")))</f>
        <v>#DIV/0!</v>
      </c>
      <c r="M13" s="107"/>
      <c r="N13" s="758"/>
      <c r="O13" s="758"/>
      <c r="P13" s="758"/>
      <c r="Q13" s="153"/>
      <c r="R13" s="202" t="e">
        <f>IF(K13="N/A","N/A",K13-K13*(AVERAGE(N13:O13)/3))</f>
        <v>#DIV/0!</v>
      </c>
      <c r="S13" s="176" t="e">
        <f>IF(R13="N/A","N/A",IF(R13&lt;=1,"Low",IF(R13&lt;=2,"Medium","High")))</f>
        <v>#DIV/0!</v>
      </c>
      <c r="U13" s="196"/>
      <c r="V13" s="108"/>
      <c r="W13" s="108"/>
      <c r="X13" s="108"/>
      <c r="Y13" s="108"/>
      <c r="Z13" s="108"/>
      <c r="AA13" s="108"/>
      <c r="AB13" s="107"/>
      <c r="AC13" s="108"/>
      <c r="AD13" s="153"/>
      <c r="AE13" s="108"/>
      <c r="AF13" s="108"/>
    </row>
    <row r="14" spans="1:33"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IF($G$5=Φύλλο2!$A$2,Φύλλο2!D4,IF($G$5=Φύλλο2!$A$22,Φύλλο2!D24,IF($G$5=Φύλλο2!$A$42,Φύλλο2!D44, IF($G$5=Φύλλο2!$A$62,Φύλλο2!D64,Φύλλο2!D84))))</f>
        <v>0</v>
      </c>
      <c r="F14" s="162"/>
      <c r="G14" s="157"/>
      <c r="H14" s="158"/>
      <c r="I14" s="159"/>
      <c r="J14" s="160"/>
      <c r="K14" s="200" t="str">
        <f>IF(D14="N/A","N/A",IF(C14=0,"N/A",IF(E14="N/A","N/A",AVERAGE(G14:I14))))</f>
        <v>N/A</v>
      </c>
      <c r="L14" s="176" t="str">
        <f t="shared" ref="L14:L30" si="0">IF(K14="N/A","N/A",IF(K14&lt;=1,"Low",IF(K14&lt;=2,"Medium","High")))</f>
        <v>N/A</v>
      </c>
      <c r="M14" s="111"/>
      <c r="N14" s="161"/>
      <c r="O14" s="161"/>
      <c r="P14" s="163"/>
      <c r="Q14" s="164"/>
      <c r="R14" s="202" t="str">
        <f>IF(K14="N/A","N/A",K14-K14*(AVERAGE(N14:P14)/3))</f>
        <v>N/A</v>
      </c>
      <c r="S14" s="176" t="str">
        <f>IF(R14="N/A","N/A",IF(R14&lt;=1,"Low",IF(R14&lt;=2,"Medium","High")))</f>
        <v>N/A</v>
      </c>
      <c r="U14" s="108"/>
      <c r="V14" s="108"/>
      <c r="W14" s="108"/>
      <c r="X14" s="108"/>
      <c r="Y14" s="108"/>
      <c r="Z14" s="108"/>
      <c r="AA14" s="108"/>
      <c r="AC14" s="108"/>
      <c r="AD14" s="111"/>
      <c r="AE14" s="108"/>
      <c r="AF14" s="108"/>
    </row>
    <row r="15" spans="1:33" ht="104.1"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IF($G$5=Φύλλο2!$A$2,Φύλλο2!D5,IF($G$5=Φύλλο2!$A$22,Φύλλο2!D25,IF($G$5=Φύλλο2!$A$42,Φύλλο2!D45, IF($G$5=Φύλλο2!$A$62,Φύλλο2!D65,Φύλλο2!D85))))</f>
        <v>0</v>
      </c>
      <c r="F15" s="165"/>
      <c r="G15" s="157"/>
      <c r="H15" s="158"/>
      <c r="I15" s="159"/>
      <c r="J15" s="160"/>
      <c r="K15" s="200" t="str">
        <f>IF(D15="N/A","N/A",IF(C15=0,"N/A",IF(E15="N/A","N/A",AVERAGE(G15:I15))))</f>
        <v>N/A</v>
      </c>
      <c r="L15" s="176" t="str">
        <f t="shared" si="0"/>
        <v>N/A</v>
      </c>
      <c r="M15" s="111"/>
      <c r="N15" s="159"/>
      <c r="O15" s="163"/>
      <c r="P15" s="163"/>
      <c r="Q15" s="164"/>
      <c r="R15" s="202" t="str">
        <f>IF(K15="N/A","N/A",K15-K15*(AVERAGE(N15,P15)/3))</f>
        <v>N/A</v>
      </c>
      <c r="S15" s="176" t="str">
        <f t="shared" ref="S15:S30" si="1">IF(R15="N/A","N/A",IF(R15&lt;=1,"Low",IF(R15&lt;=2,"Medium","High")))</f>
        <v>N/A</v>
      </c>
      <c r="U15" s="108"/>
      <c r="V15" s="108"/>
      <c r="W15" s="108"/>
      <c r="X15" s="108"/>
      <c r="Y15" s="108"/>
      <c r="Z15" s="108"/>
      <c r="AA15" s="108"/>
      <c r="AC15" s="108"/>
      <c r="AD15" s="111"/>
      <c r="AE15" s="108"/>
      <c r="AF15" s="108"/>
    </row>
    <row r="16" spans="1:33" ht="54.6" customHeight="1" x14ac:dyDescent="0.25">
      <c r="A16" s="197"/>
      <c r="B16" s="856"/>
      <c r="C16" s="544">
        <f>IF($G$5=Φύλλο2!$A$2,Φύλλο2!A6,IF($G$5=Φύλλο2!$A$22,Φύλλο2!A26,IF($G$5=Φύλλο2!$A$42,Φύλλο2!A46, IF($G$5=Φύλλο2!$A$62,Φύλλο2!A66,Φύλλο2!A86))))</f>
        <v>0</v>
      </c>
      <c r="D16" s="634" t="s">
        <v>117</v>
      </c>
      <c r="E16" s="551">
        <f>IF($G$5=Φύλλο2!$A$2,Φύλλο2!D6,IF($G$5=Φύλλο2!$A$22,Φύλλο2!D26,IF($G$5=Φύλλο2!$A$42,Φύλλο2!D46, IF($G$5=Φύλλο2!$A$62,Φύλλο2!D66,Φύλλο2!D86))))</f>
        <v>0</v>
      </c>
      <c r="F16" s="162"/>
      <c r="G16" s="157"/>
      <c r="H16" s="158"/>
      <c r="I16" s="160"/>
      <c r="J16" s="159"/>
      <c r="K16" s="200" t="str">
        <f>IF(D16="N/A","N/A",IF(C16=0,"N/A",IF(E16="N/A","N/A",AVERAGE(G16:H16,J16))))</f>
        <v>N/A</v>
      </c>
      <c r="L16" s="176" t="str">
        <f t="shared" si="0"/>
        <v>N/A</v>
      </c>
      <c r="M16" s="111"/>
      <c r="N16" s="159"/>
      <c r="O16" s="163"/>
      <c r="P16" s="758"/>
      <c r="Q16" s="164"/>
      <c r="R16" s="202" t="str">
        <f>IF(K16="N/A","N/A",K16-K16*(AVERAGE(N16,P16)/3))</f>
        <v>N/A</v>
      </c>
      <c r="S16" s="176" t="str">
        <f t="shared" si="1"/>
        <v>N/A</v>
      </c>
      <c r="U16" s="108"/>
      <c r="V16" s="108"/>
      <c r="W16" s="108"/>
      <c r="X16" s="108"/>
      <c r="Y16" s="108"/>
      <c r="Z16" s="108"/>
      <c r="AA16" s="108"/>
      <c r="AC16" s="108"/>
      <c r="AD16" s="111"/>
      <c r="AE16" s="108"/>
      <c r="AF16" s="108"/>
    </row>
    <row r="17" spans="1:32" ht="62.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IF($G$5=Φύλλο2!$A$2,Φύλλο2!D7,IF($G$5=Φύλλο2!$A$22,Φύλλο2!D27,IF($G$5=Φύλλο2!$A$42,Φύλλο2!D47, IF($G$5=Φύλλο2!$A$62,Φύλλο2!D67,Φύλλο2!D87))))</f>
        <v>0</v>
      </c>
      <c r="F17" s="162"/>
      <c r="G17" s="157"/>
      <c r="H17" s="158"/>
      <c r="I17" s="160"/>
      <c r="J17" s="159"/>
      <c r="K17" s="200" t="str">
        <f t="shared" ref="K17:K19" si="2">IF(D17="N/A","N/A",IF(C17=0,"N/A",IF(E17="N/A","N/A",AVERAGE(G17:H17,J17))))</f>
        <v>N/A</v>
      </c>
      <c r="L17" s="176" t="str">
        <f t="shared" si="0"/>
        <v>N/A</v>
      </c>
      <c r="M17" s="111"/>
      <c r="N17" s="159"/>
      <c r="O17" s="161"/>
      <c r="P17" s="758"/>
      <c r="Q17" s="164"/>
      <c r="R17" s="202" t="str">
        <f>IF(K17="N/A","N/A",K17-K17*(AVERAGE(N17:P17)/3))</f>
        <v>N/A</v>
      </c>
      <c r="S17" s="176" t="str">
        <f t="shared" si="1"/>
        <v>N/A</v>
      </c>
      <c r="U17" s="108"/>
      <c r="V17" s="108"/>
      <c r="W17" s="108"/>
      <c r="X17" s="108"/>
      <c r="Y17" s="108"/>
      <c r="Z17" s="108"/>
      <c r="AA17" s="108"/>
      <c r="AC17" s="108"/>
      <c r="AD17" s="111"/>
      <c r="AE17" s="108"/>
      <c r="AF17" s="108"/>
    </row>
    <row r="18" spans="1:32" ht="99.6"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IF($G$5=Φύλλο2!$A$2,Φύλλο2!D8,IF($G$5=Φύλλο2!$A$22,Φύλλο2!D28,IF($G$5=Φύλλο2!$A$42,Φύλλο2!D48, IF($G$5=Φύλλο2!$A$62,Φύλλο2!D68,Φύλλο2!D88))))</f>
        <v>0</v>
      </c>
      <c r="F18" s="162"/>
      <c r="G18" s="157"/>
      <c r="H18" s="158"/>
      <c r="I18" s="160"/>
      <c r="J18" s="159"/>
      <c r="K18" s="200" t="str">
        <f t="shared" si="2"/>
        <v>N/A</v>
      </c>
      <c r="L18" s="176" t="str">
        <f t="shared" si="0"/>
        <v>N/A</v>
      </c>
      <c r="M18" s="111"/>
      <c r="N18" s="159"/>
      <c r="O18" s="161"/>
      <c r="P18" s="758"/>
      <c r="Q18" s="164"/>
      <c r="R18" s="202" t="str">
        <f>IF(K18="N/A","N/A",K18-K18*(AVERAGE(N18:P18)/3))</f>
        <v>N/A</v>
      </c>
      <c r="S18" s="176" t="str">
        <f t="shared" si="1"/>
        <v>N/A</v>
      </c>
      <c r="U18" s="111"/>
      <c r="V18" s="111"/>
      <c r="W18" s="108"/>
      <c r="X18" s="108"/>
      <c r="Y18" s="111"/>
      <c r="Z18" s="111"/>
      <c r="AA18" s="103"/>
      <c r="AC18" s="111"/>
      <c r="AD18" s="111"/>
      <c r="AE18" s="62"/>
      <c r="AF18" s="103"/>
    </row>
    <row r="19" spans="1:32"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IF($G$5=Φύλλο2!$A$2,Φύλλο2!D9,IF($G$5=Φύλλο2!$A$22,Φύλλο2!D29,IF($G$5=Φύλλο2!$A$42,Φύλλο2!D49, IF($G$5=Φύλλο2!$A$62,Φύλλο2!D69,Φύλλο2!D89))))</f>
        <v>0</v>
      </c>
      <c r="F19" s="165"/>
      <c r="G19" s="157"/>
      <c r="H19" s="158"/>
      <c r="I19" s="160"/>
      <c r="J19" s="159"/>
      <c r="K19" s="200" t="str">
        <f t="shared" si="2"/>
        <v>N/A</v>
      </c>
      <c r="L19" s="176" t="str">
        <f t="shared" si="0"/>
        <v>N/A</v>
      </c>
      <c r="M19" s="111"/>
      <c r="N19" s="159"/>
      <c r="O19" s="161"/>
      <c r="P19" s="758"/>
      <c r="Q19" s="164"/>
      <c r="R19" s="202" t="str">
        <f>IF(K19="N/A","N/A",K19-K19*(AVERAGE(N19:P19)/3))</f>
        <v>N/A</v>
      </c>
      <c r="S19" s="176" t="str">
        <f t="shared" si="1"/>
        <v>N/A</v>
      </c>
      <c r="U19" s="111"/>
      <c r="V19" s="111"/>
      <c r="W19" s="108"/>
      <c r="X19" s="108"/>
      <c r="Y19" s="111"/>
      <c r="Z19" s="111"/>
      <c r="AA19" s="103"/>
      <c r="AC19" s="111"/>
      <c r="AD19" s="111"/>
      <c r="AE19" s="62"/>
      <c r="AF19" s="103"/>
    </row>
    <row r="20" spans="1:32" ht="41.45"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IF($G$5=Φύλλο2!$A$2,Φύλλο2!D10,IF($G$5=Φύλλο2!$A$22,Φύλλο2!D30,IF($G$5=Φύλλο2!$A$42,Φύλλο2!D50, IF($G$5=Φύλλο2!$A$62,Φύλλο2!D70,Φύλλο2!D90))))</f>
        <v>0</v>
      </c>
      <c r="F20" s="162"/>
      <c r="G20" s="157"/>
      <c r="H20" s="158"/>
      <c r="I20" s="159"/>
      <c r="J20" s="159"/>
      <c r="K20" s="200" t="str">
        <f>IF(D20="N/A","N/A",IF(C20=0,"N/A",IF(E20="N/A","N/A",AVERAGE(G20:J20))))</f>
        <v>N/A</v>
      </c>
      <c r="L20" s="176" t="str">
        <f t="shared" si="0"/>
        <v>N/A</v>
      </c>
      <c r="M20" s="111"/>
      <c r="N20" s="159"/>
      <c r="O20" s="163"/>
      <c r="P20" s="163"/>
      <c r="Q20" s="164"/>
      <c r="R20" s="202" t="str">
        <f>IF(K20="N/A","N/A",K20-K20*(AVERAGE(N20,P20)/3))</f>
        <v>N/A</v>
      </c>
      <c r="S20" s="176" t="str">
        <f t="shared" si="1"/>
        <v>N/A</v>
      </c>
      <c r="U20" s="111"/>
      <c r="V20" s="111"/>
      <c r="W20" s="108"/>
      <c r="X20" s="108"/>
      <c r="Y20" s="111"/>
      <c r="Z20" s="111"/>
      <c r="AA20" s="103"/>
      <c r="AC20" s="111"/>
      <c r="AD20" s="111"/>
      <c r="AE20" s="62"/>
      <c r="AF20" s="103"/>
    </row>
    <row r="21" spans="1:32" ht="60.6"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IF($G$5=Φύλλο2!$A$2,Φύλλο2!D11,IF($G$5=Φύλλο2!$A$22,Φύλλο2!D31,IF($G$5=Φύλλο2!$A$42,Φύλλο2!D51, IF($G$5=Φύλλο2!$A$62,Φύλλο2!D71,Φύλλο2!D91))))</f>
        <v>0</v>
      </c>
      <c r="F21" s="162"/>
      <c r="G21" s="157"/>
      <c r="H21" s="158"/>
      <c r="I21" s="160"/>
      <c r="J21" s="159"/>
      <c r="K21" s="200" t="str">
        <f>IF(D21="N/A","N/A",IF(C21=0,"N/A",IF(E21="N/A","N/A",AVERAGE(G21:H21,J21))))</f>
        <v>N/A</v>
      </c>
      <c r="L21" s="176" t="str">
        <f t="shared" si="0"/>
        <v>N/A</v>
      </c>
      <c r="M21" s="111"/>
      <c r="N21" s="159"/>
      <c r="O21" s="163"/>
      <c r="P21" s="163"/>
      <c r="Q21" s="164"/>
      <c r="R21" s="202" t="str">
        <f>IF(K21="N/A","N/A",K21-K21*(AVERAGE(N21,P21)/3))</f>
        <v>N/A</v>
      </c>
      <c r="S21" s="176" t="str">
        <f t="shared" si="1"/>
        <v>N/A</v>
      </c>
      <c r="U21" s="108"/>
      <c r="V21" s="108"/>
      <c r="W21" s="108"/>
      <c r="X21" s="108"/>
      <c r="Y21" s="108"/>
      <c r="Z21" s="108"/>
      <c r="AA21" s="108"/>
      <c r="AC21" s="108"/>
      <c r="AD21" s="111"/>
      <c r="AE21" s="108"/>
      <c r="AF21" s="108"/>
    </row>
    <row r="22" spans="1:32" ht="54.95" customHeight="1" x14ac:dyDescent="0.25">
      <c r="A22" s="198"/>
      <c r="B22" s="857" t="s">
        <v>118</v>
      </c>
      <c r="C22" s="544">
        <f>IF($G$5=Φύλλο2!$A$2,Φύλλο2!A12,IF($G$5=Φύλλο2!$A$22,Φύλλο2!A32,IF($G$5=Φύλλο2!$A$42,Φύλλο2!A52, IF($G$5=Φύλλο2!$A$62,Φύλλο2!A72,Φύλλο2!A92))))</f>
        <v>0</v>
      </c>
      <c r="D22" s="634" t="s">
        <v>117</v>
      </c>
      <c r="E22" s="551">
        <f>IF($G$5=Φύλλο2!$A$2,Φύλλο2!D12,IF($G$5=Φύλλο2!$A$22,Φύλλο2!D32,IF($G$5=Φύλλο2!$A$42,Φύλλο2!D52, IF($G$5=Φύλλο2!$A$62,Φύλλο2!D72,Φύλλο2!D92))))</f>
        <v>0</v>
      </c>
      <c r="F22" s="162"/>
      <c r="G22" s="157"/>
      <c r="H22" s="160"/>
      <c r="I22" s="160"/>
      <c r="J22" s="168"/>
      <c r="K22" s="200" t="str">
        <f>IF(D22="N/A","N/A",IF(C22=0,"N/A",IF(E22="N/A","N/A",AVERAGE(G22))))</f>
        <v>N/A</v>
      </c>
      <c r="L22" s="176" t="str">
        <f t="shared" si="0"/>
        <v>N/A</v>
      </c>
      <c r="M22" s="111"/>
      <c r="N22" s="159"/>
      <c r="O22" s="163"/>
      <c r="P22" s="163"/>
      <c r="Q22" s="164"/>
      <c r="R22" s="202" t="str">
        <f>IF(K22="N/A","N/A",K22-K22*(AVERAGE(N22,P22)/3))</f>
        <v>N/A</v>
      </c>
      <c r="S22" s="176" t="str">
        <f t="shared" si="1"/>
        <v>N/A</v>
      </c>
      <c r="U22" s="108"/>
      <c r="V22" s="108"/>
      <c r="W22" s="108"/>
      <c r="X22" s="108"/>
      <c r="Y22" s="108"/>
      <c r="Z22" s="108"/>
      <c r="AA22" s="108"/>
      <c r="AC22" s="108"/>
      <c r="AD22" s="111"/>
      <c r="AE22" s="108"/>
      <c r="AF22" s="108"/>
    </row>
    <row r="23" spans="1:32" ht="75" customHeight="1" x14ac:dyDescent="0.25">
      <c r="A23" s="198"/>
      <c r="B23" s="858"/>
      <c r="C23" s="544">
        <f>IF($G$5=Φύλλο2!$A$2,Φύλλο2!A13,IF($G$5=Φύλλο2!$A$22,Φύλλο2!A33,IF($G$5=Φύλλο2!$A$42,Φύλλο2!A53, IF($G$5=Φύλλο2!$A$62,Φύλλο2!A73,Φύλλο2!A93))))</f>
        <v>0</v>
      </c>
      <c r="D23" s="634" t="s">
        <v>117</v>
      </c>
      <c r="E23" s="551">
        <f>IF($G$5=Φύλλο2!$A$2,Φύλλο2!D13,IF($G$5=Φύλλο2!$A$22,Φύλλο2!D33,IF($G$5=Φύλλο2!$A$42,Φύλλο2!D53, IF($G$5=Φύλλο2!$A$62,Φύλλο2!D73,Φύλλο2!D93))))</f>
        <v>0</v>
      </c>
      <c r="G23" s="157"/>
      <c r="H23" s="160"/>
      <c r="I23" s="168"/>
      <c r="J23" s="168"/>
      <c r="K23" s="200" t="str">
        <f t="shared" ref="K23:K24" si="3">IF(D23="N/A","N/A",IF(C23=0,"N/A",IF(E23="N/A","N/A",AVERAGE(G23))))</f>
        <v>N/A</v>
      </c>
      <c r="L23" s="176" t="str">
        <f t="shared" si="0"/>
        <v>N/A</v>
      </c>
      <c r="N23" s="159"/>
      <c r="O23" s="163"/>
      <c r="P23" s="163"/>
      <c r="R23" s="202" t="str">
        <f>IF(K23="N/A","N/A",K23-K23*(AVERAGE(N23,P23)/3))</f>
        <v>N/A</v>
      </c>
      <c r="S23" s="176" t="str">
        <f t="shared" si="1"/>
        <v>N/A</v>
      </c>
    </row>
    <row r="24" spans="1:32" ht="51.6" customHeight="1" x14ac:dyDescent="0.25">
      <c r="B24" s="859"/>
      <c r="C24" s="544">
        <f>IF($G$5=Φύλλο2!$A$2,Φύλλο2!A14,IF($G$5=Φύλλο2!$A$22,Φύλλο2!A34,IF($G$5=Φύλλο2!$A$42,Φύλλο2!A54, IF($G$5=Φύλλο2!$A$62,Φύλλο2!A74,Φύλλο2!A94))))</f>
        <v>0</v>
      </c>
      <c r="D24" s="634" t="s">
        <v>117</v>
      </c>
      <c r="E24" s="551">
        <f>IF($G$5=Φύλλο2!$A$2,Φύλλο2!D14,IF($G$5=Φύλλο2!$A$22,Φύλλο2!D34,IF($G$5=Φύλλο2!$A$42,Φύλλο2!D54, IF($G$5=Φύλλο2!$A$62,Φύλλο2!D74,Φύλλο2!D94))))</f>
        <v>0</v>
      </c>
      <c r="G24" s="157"/>
      <c r="H24" s="160"/>
      <c r="I24" s="168"/>
      <c r="J24" s="168"/>
      <c r="K24" s="200" t="str">
        <f t="shared" si="3"/>
        <v>N/A</v>
      </c>
      <c r="L24" s="176" t="str">
        <f t="shared" si="0"/>
        <v>N/A</v>
      </c>
      <c r="N24" s="159"/>
      <c r="O24" s="636"/>
      <c r="P24" s="163"/>
      <c r="R24" s="202" t="str">
        <f>IF(K24="N/A","N/A",K24-K24*(AVERAGE(N24,P24)/3))</f>
        <v>N/A</v>
      </c>
      <c r="S24" s="176" t="str">
        <f t="shared" si="1"/>
        <v>N/A</v>
      </c>
    </row>
    <row r="25" spans="1:32" ht="48.95" customHeight="1" x14ac:dyDescent="0.25">
      <c r="B25" s="860" t="s">
        <v>119</v>
      </c>
      <c r="C25" s="544">
        <f>IF($G$5=Φύλλο2!$A$2,Φύλλο2!A15,IF($G$5=Φύλλο2!$A$22,Φύλλο2!A35,IF($G$5=Φύλλο2!$A$42,Φύλλο2!A55, IF($G$5=Φύλλο2!$A$62,Φύλλο2!A75,Φύλλο2!A95))))</f>
        <v>0</v>
      </c>
      <c r="D25" s="634" t="s">
        <v>116</v>
      </c>
      <c r="E25" s="551">
        <f>IF($G$5=Φύλλο2!$A$2,Φύλλο2!D15,IF($G$5=Φύλλο2!$A$22,Φύλλο2!D35,IF($G$5=Φύλλο2!$A$42,Φύλλο2!D55, IF($G$5=Φύλλο2!$A$62,Φύλλο2!D75,Φύλλο2!D95))))</f>
        <v>0</v>
      </c>
      <c r="G25" s="157"/>
      <c r="H25" s="158"/>
      <c r="I25" s="168"/>
      <c r="J25" s="159"/>
      <c r="K25" s="200" t="str">
        <f>IF(D25="N/A","N/A",IF(C25=0,"N/A",IF(E25="N/A","N/A",AVERAGE(G25:H25,J25))))</f>
        <v>N/A</v>
      </c>
      <c r="L25" s="176" t="str">
        <f t="shared" si="0"/>
        <v>N/A</v>
      </c>
      <c r="N25" s="159"/>
      <c r="O25" s="159"/>
      <c r="P25" s="758"/>
      <c r="R25" s="202" t="str">
        <f>IF(K25="N/A","N/A",K25-K25*(AVERAGE(N25:P25)/3))</f>
        <v>N/A</v>
      </c>
      <c r="S25" s="176" t="str">
        <f t="shared" si="1"/>
        <v>N/A</v>
      </c>
    </row>
    <row r="26" spans="1:32" ht="58.5" customHeight="1" x14ac:dyDescent="0.25">
      <c r="B26" s="861"/>
      <c r="C26" s="544">
        <f>IF($G$5=Φύλλο2!$A$2,Φύλλο2!A16,IF($G$5=Φύλλο2!$A$22,Φύλλο2!A36,IF($G$5=Φύλλο2!$A$42,Φύλλο2!A56, IF($G$5=Φύλλο2!$A$62,Φύλλο2!A76,Φύλλο2!A96))))</f>
        <v>0</v>
      </c>
      <c r="D26" s="634" t="s">
        <v>116</v>
      </c>
      <c r="E26" s="551">
        <f>IF($G$5=Φύλλο2!$A$2,Φύλλο2!D16,IF($G$5=Φύλλο2!$A$22,Φύλλο2!D36,IF($G$5=Φύλλο2!$A$42,Φύλλο2!D56, IF($G$5=Φύλλο2!$A$62,Φύλλο2!D76,Φύλλο2!D96))))</f>
        <v>0</v>
      </c>
      <c r="G26" s="157"/>
      <c r="H26" s="158"/>
      <c r="I26" s="168"/>
      <c r="J26" s="159"/>
      <c r="K26" s="200" t="str">
        <f t="shared" ref="K26:K29" si="4">IF(D26="N/A","N/A",IF(C26=0,"N/A",IF(E26="N/A","N/A",AVERAGE(G26:H26,J26))))</f>
        <v>N/A</v>
      </c>
      <c r="L26" s="176" t="str">
        <f t="shared" si="0"/>
        <v>N/A</v>
      </c>
      <c r="N26" s="159"/>
      <c r="O26" s="169"/>
      <c r="P26" s="758"/>
      <c r="R26" s="202" t="str">
        <f t="shared" ref="R26:R27" si="5">IF(K26="N/A","N/A",K26-K26*(AVERAGE(N26:P26)/3))</f>
        <v>N/A</v>
      </c>
      <c r="S26" s="176" t="str">
        <f t="shared" si="1"/>
        <v>N/A</v>
      </c>
    </row>
    <row r="27" spans="1:32" ht="73.5" customHeight="1" x14ac:dyDescent="0.25">
      <c r="B27" s="861"/>
      <c r="C27" s="544">
        <f>IF($G$5=Φύλλο2!$A$2,Φύλλο2!A17,IF($G$5=Φύλλο2!$A$22,Φύλλο2!A37,IF($G$5=Φύλλο2!$A$42,Φύλλο2!A57, IF($G$5=Φύλλο2!$A$62,Φύλλο2!A77,Φύλλο2!A97))))</f>
        <v>0</v>
      </c>
      <c r="D27" s="634" t="s">
        <v>117</v>
      </c>
      <c r="E27" s="551">
        <f>IF($G$5=Φύλλο2!$A$2,Φύλλο2!D17,IF($G$5=Φύλλο2!$A$22,Φύλλο2!D37,IF($G$5=Φύλλο2!$A$42,Φύλλο2!D57, IF($G$5=Φύλλο2!$A$62,Φύλλο2!D77,Φύλλο2!D97))))</f>
        <v>0</v>
      </c>
      <c r="G27" s="157"/>
      <c r="H27" s="158"/>
      <c r="I27" s="168"/>
      <c r="J27" s="159"/>
      <c r="K27" s="200" t="str">
        <f t="shared" si="4"/>
        <v>N/A</v>
      </c>
      <c r="L27" s="176" t="str">
        <f t="shared" si="0"/>
        <v>N/A</v>
      </c>
      <c r="N27" s="159"/>
      <c r="O27" s="159"/>
      <c r="P27" s="758"/>
      <c r="R27" s="202" t="str">
        <f t="shared" si="5"/>
        <v>N/A</v>
      </c>
      <c r="S27" s="176" t="str">
        <f t="shared" si="1"/>
        <v>N/A</v>
      </c>
    </row>
    <row r="28" spans="1:32" ht="53.45" customHeight="1" x14ac:dyDescent="0.45">
      <c r="B28" s="861"/>
      <c r="C28" s="544">
        <f>IF($G$5=Φύλλο2!$A$2,Φύλλο2!A18,IF($G$5=Φύλλο2!$A$22,Φύλλο2!A38,IF($G$5=Φύλλο2!$A$42,Φύλλο2!A58, IF($G$5=Φύλλο2!$A$62,Φύλλο2!A78,Φύλλο2!A98))))</f>
        <v>0</v>
      </c>
      <c r="D28" s="634" t="s">
        <v>117</v>
      </c>
      <c r="E28" s="551">
        <f>IF($G$5=Φύλλο2!$A$2,Φύλλο2!D18,IF($G$5=Φύλλο2!$A$22,Φύλλο2!D38,IF($G$5=Φύλλο2!$A$42,Φύλλο2!D58, IF($G$5=Φύλλο2!$A$62,Φύλλο2!D78,Φύλλο2!D98))))</f>
        <v>0</v>
      </c>
      <c r="F28" s="188"/>
      <c r="G28" s="157"/>
      <c r="H28" s="158"/>
      <c r="I28" s="168"/>
      <c r="J28" s="159"/>
      <c r="K28" s="200" t="str">
        <f t="shared" si="4"/>
        <v>N/A</v>
      </c>
      <c r="L28" s="176" t="str">
        <f t="shared" si="0"/>
        <v>N/A</v>
      </c>
      <c r="N28" s="159"/>
      <c r="O28" s="170"/>
      <c r="P28" s="163"/>
      <c r="R28" s="202" t="str">
        <f>IF(K28="N/A","N/A",K28-K28*(AVERAGE(N28:P28)/3))</f>
        <v>N/A</v>
      </c>
      <c r="S28" s="176" t="str">
        <f t="shared" si="1"/>
        <v>N/A</v>
      </c>
      <c r="T28" s="192" t="e">
        <f>IF(G5="Schools",AVERAGE(R13:R25,R28),IF(G5="Residential Building",AVERAGE(R13:R22),AVERAGE(R12:R27)))</f>
        <v>#DIV/0!</v>
      </c>
    </row>
    <row r="29" spans="1:32" ht="56.1" customHeight="1" x14ac:dyDescent="0.25">
      <c r="B29" s="861"/>
      <c r="C29" s="544">
        <f>IF($G$5=Φύλλο2!$A$2,Φύλλο2!A19,IF($G$5=Φύλλο2!$A$22,Φύλλο2!A39,IF($G$5=Φύλλο2!$A$42,Φύλλο2!A59, IF($G$5=Φύλλο2!$A$62,Φύλλο2!A79,Φύλλο2!A99))))</f>
        <v>0</v>
      </c>
      <c r="D29" s="634" t="s">
        <v>117</v>
      </c>
      <c r="E29" s="551">
        <f>IF($G$5=Φύλλο2!$A$2,Φύλλο2!D19,IF($G$5=Φύλλο2!$A$22,Φύλλο2!D39,IF($G$5=Φύλλο2!$A$42,Φύλλο2!D59, IF($G$5=Φύλλο2!$A$62,Φύλλο2!D79,Φύλλο2!D99))))</f>
        <v>0</v>
      </c>
      <c r="F29" s="174"/>
      <c r="G29" s="157"/>
      <c r="H29" s="158"/>
      <c r="I29" s="168"/>
      <c r="J29" s="159"/>
      <c r="K29" s="200" t="str">
        <f t="shared" si="4"/>
        <v>N/A</v>
      </c>
      <c r="L29" s="176" t="str">
        <f t="shared" si="0"/>
        <v>N/A</v>
      </c>
      <c r="N29" s="159"/>
      <c r="O29" s="161"/>
      <c r="P29" s="163"/>
      <c r="R29" s="202" t="str">
        <f t="shared" ref="R29:R30" si="6">IF(K29="N/A","N/A",K29-K29*(AVERAGE(N29:P29)/3))</f>
        <v>N/A</v>
      </c>
      <c r="S29" s="176" t="str">
        <f t="shared" si="1"/>
        <v>N/A</v>
      </c>
    </row>
    <row r="30" spans="1:32" ht="50.45" customHeight="1" x14ac:dyDescent="0.25">
      <c r="B30" s="862"/>
      <c r="C30" s="544">
        <f>IF($G$5=Φύλλο2!$A$2,Φύλλο2!A20,IF($G$5=Φύλλο2!$A$22,Φύλλο2!A40,IF($G$5=Φύλλο2!$A$42,Φύλλο2!A60, IF($G$5=Φύλλο2!$A$62,Φύλλο2!A80,Φύλλο2!A100))))</f>
        <v>0</v>
      </c>
      <c r="D30" s="634" t="s">
        <v>117</v>
      </c>
      <c r="E30" s="551">
        <f>IF($G$5=Φύλλο2!$A$2,Φύλλο2!D20,IF($G$5=Φύλλο2!$A$22,Φύλλο2!D40,IF($G$5=Φύλλο2!$A$42,Φύλλο2!D60, IF($G$5=Φύλλο2!$A$62,Φύλλο2!D80,Φύλλο2!D100))))</f>
        <v>0</v>
      </c>
      <c r="F30" s="174"/>
      <c r="G30" s="434"/>
      <c r="H30" s="168"/>
      <c r="I30" s="159"/>
      <c r="J30" s="171"/>
      <c r="K30" s="200" t="str">
        <f>IF(D30="N/A","N/A",IF(C30=0,"N/A",IF(E30="N/A","N/A",AVERAGE(G30,I30:J30))))</f>
        <v>N/A</v>
      </c>
      <c r="L30" s="176" t="str">
        <f t="shared" si="0"/>
        <v>N/A</v>
      </c>
      <c r="N30" s="159"/>
      <c r="O30" s="161"/>
      <c r="P30" s="758" t="str">
        <f t="shared" ref="P30" si="7">IF($P$11=" ","N/A"," ")</f>
        <v>N/A</v>
      </c>
      <c r="R30" s="202" t="str">
        <f t="shared" si="6"/>
        <v>N/A</v>
      </c>
      <c r="S30" s="176" t="str">
        <f t="shared" si="1"/>
        <v>N/A</v>
      </c>
    </row>
    <row r="31" spans="1:32" x14ac:dyDescent="0.25">
      <c r="C31" s="190"/>
      <c r="D31" s="173"/>
      <c r="E31" s="174"/>
      <c r="F31" s="174"/>
      <c r="G31" s="174"/>
    </row>
  </sheetData>
  <sheetProtection algorithmName="SHA-512" hashValue="06QfErWSSFDbEU4+E9Qjal/9mG7yFP/jkNzGEOHKn/nJBrXyfrJABkExya4MEyz+LhUbB8wsIvRm/gatupLjiA==" saltValue="9nk1gnT9tyyuMnrUvl78bw==" spinCount="100000" sheet="1" selectLockedCells="1"/>
  <mergeCells count="17">
    <mergeCell ref="A13:A15"/>
    <mergeCell ref="B14:B21"/>
    <mergeCell ref="B22:B24"/>
    <mergeCell ref="B25:B30"/>
    <mergeCell ref="AE8:AF8"/>
    <mergeCell ref="B9:C10"/>
    <mergeCell ref="G9:J9"/>
    <mergeCell ref="N9:P9"/>
    <mergeCell ref="A11:A12"/>
    <mergeCell ref="B11:C11"/>
    <mergeCell ref="B12:C12"/>
    <mergeCell ref="U8:Z8"/>
    <mergeCell ref="B2:E2"/>
    <mergeCell ref="H5:I5"/>
    <mergeCell ref="A6:A10"/>
    <mergeCell ref="G8:K8"/>
    <mergeCell ref="R8:S8"/>
  </mergeCells>
  <conditionalFormatting sqref="C13:C30">
    <cfRule type="cellIs" dxfId="241" priority="13" operator="equal">
      <formula>0</formula>
    </cfRule>
  </conditionalFormatting>
  <conditionalFormatting sqref="E13:E30">
    <cfRule type="cellIs" dxfId="240" priority="12" operator="equal">
      <formula>0</formula>
    </cfRule>
  </conditionalFormatting>
  <conditionalFormatting sqref="G13:J13">
    <cfRule type="cellIs" dxfId="239" priority="11" operator="equal">
      <formula>"N/A"</formula>
    </cfRule>
  </conditionalFormatting>
  <conditionalFormatting sqref="K13:K30">
    <cfRule type="cellIs" dxfId="238" priority="14" operator="equal">
      <formula>"N/A"</formula>
    </cfRule>
  </conditionalFormatting>
  <conditionalFormatting sqref="L13:L30">
    <cfRule type="cellIs" dxfId="237" priority="16" operator="equal">
      <formula>"N/A"</formula>
    </cfRule>
    <cfRule type="cellIs" dxfId="236" priority="18" operator="equal">
      <formula>"Low"</formula>
    </cfRule>
    <cfRule type="cellIs" dxfId="235" priority="19" operator="equal">
      <formula>"Medium"</formula>
    </cfRule>
    <cfRule type="cellIs" dxfId="234" priority="20" operator="equal">
      <formula>"High"</formula>
    </cfRule>
  </conditionalFormatting>
  <conditionalFormatting sqref="N13:P13 P16:P19 P25:P27 P30">
    <cfRule type="cellIs" dxfId="233" priority="9" operator="equal">
      <formula>"N/A"</formula>
    </cfRule>
  </conditionalFormatting>
  <conditionalFormatting sqref="R13:S30">
    <cfRule type="cellIs" dxfId="232" priority="1" operator="equal">
      <formula>"N/A"</formula>
    </cfRule>
    <cfRule type="cellIs" dxfId="231" priority="4" operator="equal">
      <formula>"High"</formula>
    </cfRule>
  </conditionalFormatting>
  <conditionalFormatting sqref="S13:S30">
    <cfRule type="cellIs" dxfId="230" priority="2" operator="equal">
      <formula>"Low"</formula>
    </cfRule>
    <cfRule type="cellIs" dxfId="229" priority="3" operator="equal">
      <formula>"Medium"</formula>
    </cfRule>
  </conditionalFormatting>
  <conditionalFormatting sqref="AA18:AA20">
    <cfRule type="cellIs" dxfId="228" priority="26" operator="equal">
      <formula>"Low"</formula>
    </cfRule>
    <cfRule type="cellIs" dxfId="227" priority="27" operator="equal">
      <formula>"Medium"</formula>
    </cfRule>
    <cfRule type="cellIs" dxfId="226" priority="28" operator="equal">
      <formula>"High"</formula>
    </cfRule>
  </conditionalFormatting>
  <conditionalFormatting sqref="AE18:AE20">
    <cfRule type="cellIs" dxfId="225" priority="24" operator="equal">
      <formula>"""Medium"""</formula>
    </cfRule>
    <cfRule type="cellIs" dxfId="224" priority="25" operator="equal">
      <formula>"Low"</formula>
    </cfRule>
  </conditionalFormatting>
  <conditionalFormatting sqref="AE18:AF20">
    <cfRule type="cellIs" dxfId="223" priority="23" operator="equal">
      <formula>"High"</formula>
    </cfRule>
  </conditionalFormatting>
  <conditionalFormatting sqref="AF18:AF20">
    <cfRule type="cellIs" dxfId="222" priority="21" operator="equal">
      <formula>"Low"</formula>
    </cfRule>
    <cfRule type="cellIs" dxfId="221" priority="22" operator="equal">
      <formula>"Medium"</formula>
    </cfRule>
  </conditionalFormatting>
  <dataValidations count="5">
    <dataValidation type="list" allowBlank="1" showInputMessage="1" showErrorMessage="1" sqref="D14:D30" xr:uid="{45DB2009-D0CC-4721-BD9D-5D45BCCDC8D5}">
      <formula1>"Active, N/A"</formula1>
    </dataValidation>
    <dataValidation type="list" allowBlank="1" showInputMessage="1" showErrorMessage="1" sqref="G5" xr:uid="{6C18A17F-D84D-4379-BB20-78CFB9D5E9F5}">
      <formula1>"Healthcare Facility, School, Public and Office Building, Residential Building, Small Residential/Office/Shop"</formula1>
    </dataValidation>
    <dataValidation type="list" allowBlank="1" showInputMessage="1" showErrorMessage="1" sqref="J25:J30" xr:uid="{FFFCEDC9-685F-4CB2-A286-F1E6BA962104}">
      <formula1>"0,1,2,3,--"</formula1>
    </dataValidation>
    <dataValidation type="list" allowBlank="1" showInputMessage="1" showErrorMessage="1" sqref="J16:J21 J13 N13:N30 P30 P25:P27 P13 P16:P19" xr:uid="{38947229-36F8-406E-B11C-8778BEB0FE0F}">
      <formula1>"0,1,2,3"</formula1>
    </dataValidation>
    <dataValidation type="list" allowBlank="1" showInputMessage="1" showErrorMessage="1" sqref="G13:G30 H13:H21 H25:H29 I13:I15 I20 I30 O13:O14 O17:O19 O25:O30" xr:uid="{213EC15A-959B-4C5F-90B1-E39D663D793B}">
      <formula1>"0,3"</formula1>
    </dataValidation>
  </dataValidations>
  <pageMargins left="0.7" right="0.7" top="0.75" bottom="0.75" header="0.3" footer="0.3"/>
  <headerFooter>
    <oddHeader>&amp;C&amp;"Calibri"&amp;10&amp;K808080 Corporate Use&amp;1#_x000D_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CAB8-3797-4EEA-8C8A-FD74C4534DC1}">
  <sheetPr codeName="Sheet4">
    <tabColor rgb="FF00B0F0"/>
  </sheetPr>
  <dimension ref="A1:Y88"/>
  <sheetViews>
    <sheetView zoomScale="70" zoomScaleNormal="70" workbookViewId="0">
      <selection activeCell="I28" sqref="I28"/>
    </sheetView>
  </sheetViews>
  <sheetFormatPr defaultColWidth="9.140625" defaultRowHeight="15" x14ac:dyDescent="0.25"/>
  <cols>
    <col min="1" max="1" width="43" style="29" customWidth="1"/>
    <col min="2" max="2" width="6.5703125" style="29" customWidth="1"/>
    <col min="3" max="3" width="6.28515625" style="29" customWidth="1"/>
    <col min="4" max="4" width="39.5703125" style="141" customWidth="1"/>
    <col min="5" max="7" width="36.140625" style="29" customWidth="1"/>
    <col min="8" max="8" width="34.5703125" style="29" customWidth="1"/>
    <col min="9" max="9" width="34.140625" style="426" customWidth="1"/>
    <col min="10" max="10" width="64.5703125" style="29" customWidth="1"/>
    <col min="11" max="11" width="17.140625" style="29" customWidth="1"/>
    <col min="12" max="14" width="38.140625" style="29" customWidth="1"/>
    <col min="15" max="15" width="23.140625" style="29" customWidth="1"/>
    <col min="16" max="16" width="3.140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1" spans="1:12" ht="20.25" customHeight="1" x14ac:dyDescent="0.25"/>
    <row r="2" spans="1:12" ht="27" customHeight="1" x14ac:dyDescent="0.3">
      <c r="A2" s="30"/>
      <c r="B2" s="30"/>
      <c r="C2" s="849" t="s">
        <v>120</v>
      </c>
      <c r="D2" s="849"/>
      <c r="E2" s="849"/>
      <c r="F2" s="849"/>
      <c r="G2" s="849"/>
    </row>
    <row r="3" spans="1:12" ht="41.45" customHeight="1" thickBot="1" x14ac:dyDescent="0.5">
      <c r="A3" s="30"/>
      <c r="B3" s="30"/>
      <c r="C3" s="203" t="s">
        <v>121</v>
      </c>
      <c r="D3" s="204"/>
      <c r="E3" s="205"/>
      <c r="F3" s="205"/>
      <c r="G3" s="205"/>
      <c r="H3" s="205"/>
    </row>
    <row r="4" spans="1:12" ht="22.5" customHeight="1" thickTop="1" x14ac:dyDescent="0.3">
      <c r="A4" s="30"/>
      <c r="B4" s="30"/>
      <c r="C4" s="895"/>
      <c r="D4" s="895"/>
      <c r="E4" s="895"/>
      <c r="F4" s="237"/>
    </row>
    <row r="5" spans="1:12" ht="41.1" customHeight="1" x14ac:dyDescent="0.3">
      <c r="A5" s="140"/>
      <c r="C5" s="896" t="s">
        <v>122</v>
      </c>
      <c r="D5" s="897"/>
      <c r="E5" s="897"/>
      <c r="F5" s="897"/>
      <c r="G5" s="897"/>
      <c r="H5" s="897"/>
      <c r="J5" s="426"/>
    </row>
    <row r="6" spans="1:12" ht="18.95" customHeight="1" x14ac:dyDescent="0.3">
      <c r="A6" s="140"/>
      <c r="C6" s="563"/>
      <c r="D6" s="564"/>
      <c r="E6" s="766">
        <f>IFERROR(AVERAGE(E11:E27),0)</f>
        <v>0</v>
      </c>
      <c r="F6" s="767"/>
      <c r="G6" s="767"/>
      <c r="H6" s="767"/>
      <c r="I6" s="759" t="s">
        <v>123</v>
      </c>
      <c r="J6" s="438" t="s">
        <v>124</v>
      </c>
      <c r="K6" s="191"/>
      <c r="L6" s="191"/>
    </row>
    <row r="7" spans="1:12" ht="30.6" customHeight="1" x14ac:dyDescent="0.3">
      <c r="A7" s="851"/>
      <c r="B7" s="30"/>
      <c r="C7" s="888"/>
      <c r="D7" s="889" t="s">
        <v>125</v>
      </c>
      <c r="E7" s="558" t="s">
        <v>126</v>
      </c>
      <c r="F7" s="558" t="s">
        <v>127</v>
      </c>
      <c r="G7" s="890" t="s">
        <v>128</v>
      </c>
      <c r="H7" s="891"/>
      <c r="I7" s="437"/>
      <c r="J7" s="437"/>
      <c r="K7" s="191"/>
      <c r="L7" s="191"/>
    </row>
    <row r="8" spans="1:12" ht="23.1" customHeight="1" x14ac:dyDescent="0.3">
      <c r="A8" s="851"/>
      <c r="B8" s="30"/>
      <c r="C8" s="888"/>
      <c r="D8" s="889"/>
      <c r="E8" s="560" t="s">
        <v>14</v>
      </c>
      <c r="F8" s="559" t="s">
        <v>14</v>
      </c>
      <c r="G8" s="561" t="s">
        <v>129</v>
      </c>
      <c r="H8" s="562" t="s">
        <v>113</v>
      </c>
      <c r="I8" s="437"/>
      <c r="J8" s="437"/>
      <c r="K8" s="191"/>
      <c r="L8" s="191"/>
    </row>
    <row r="9" spans="1:12" ht="21.6" customHeight="1" x14ac:dyDescent="0.3">
      <c r="A9" s="150"/>
      <c r="B9" s="36"/>
      <c r="C9" s="234"/>
      <c r="D9" s="235"/>
      <c r="E9" s="236" t="s">
        <v>130</v>
      </c>
      <c r="F9" s="236" t="s">
        <v>131</v>
      </c>
      <c r="G9" s="236" t="s">
        <v>132</v>
      </c>
      <c r="H9" s="236" t="s">
        <v>132</v>
      </c>
      <c r="I9" s="437"/>
      <c r="J9" s="437"/>
      <c r="K9" s="191"/>
      <c r="L9" s="191"/>
    </row>
    <row r="10" spans="1:12" ht="36.6" customHeight="1" x14ac:dyDescent="0.3">
      <c r="A10" s="854"/>
      <c r="B10" s="36"/>
      <c r="C10" s="625"/>
      <c r="D10" s="626" t="str">
        <f>'Water_Soil-Step 2'!C13</f>
        <v>ALL COMPONENTS - Simplified assessment</v>
      </c>
      <c r="E10" s="627" t="e">
        <f>'Water_Soil-Step 2'!R13</f>
        <v>#DIV/0!</v>
      </c>
      <c r="F10" s="628" t="e">
        <f>IF(D10=0,"N/A",MAX('Water_Soil-Step 1'!$Q$19,'Water_Soil-Step 1'!$Q$31,'Water_Soil-Step 1'!$Q$45,'Water_Soil-Step 1'!$Q$49))</f>
        <v>#DIV/0!</v>
      </c>
      <c r="G10" s="202" t="e">
        <f>IF(D10=0,"N/A",IF(E10="N/A", "N/A", E10*F10))</f>
        <v>#DIV/0!</v>
      </c>
      <c r="H10" s="629" t="e">
        <f t="shared" ref="H10:H27" si="0">IF(G10="N/A","N/A",IF(G10&lt;3,"Low",IF(G10&gt;=6,"High","Medium")))</f>
        <v>#DIV/0!</v>
      </c>
      <c r="I10" s="761" t="e">
        <f>IF(D10="N/A",E6*'Water_Soil-Step 1'!$S$45,'Water_Soil-Step 3'!E10*'Water_Soil-Step 1'!$S$45)</f>
        <v>#DIV/0!</v>
      </c>
      <c r="J10" s="761" t="e">
        <f>IF(D10="N/A",E6*'Water_Soil-Step 1'!$S$49,'Water_Soil-Step 3'!E10*'Water_Soil-Step 1'!$S$49)</f>
        <v>#DIV/0!</v>
      </c>
      <c r="K10" s="191" t="s">
        <v>133</v>
      </c>
      <c r="L10" s="191"/>
    </row>
    <row r="11" spans="1:12" ht="46.5" customHeight="1" x14ac:dyDescent="0.25">
      <c r="A11" s="854"/>
      <c r="B11" s="50"/>
      <c r="C11" s="855" t="s">
        <v>115</v>
      </c>
      <c r="D11" s="626" cm="1">
        <f t="array" ref="D11:D12">_xlfn._xlws.FILTER('Water_Soil-Step 2'!C14:C21,'Water_Soil-Step 2'!D14:D21="Active")</f>
        <v>0</v>
      </c>
      <c r="E11" s="630" t="str" cm="1">
        <f t="array" ref="E11:E12">_xlfn._xlws.FILTER('Water_Soil-Step 2'!R14:R21,'Water_Soil-Step 2'!D14:D21="Active")</f>
        <v>N/A</v>
      </c>
      <c r="F11" s="628" t="str">
        <f>IF(D11=0,"N/A",MAX('Water_Soil-Step 1'!$Q$19,'Water_Soil-Step 1'!$Q$31,'Water_Soil-Step 1'!$Q$45,'Water_Soil-Step 1'!$Q$49))</f>
        <v>N/A</v>
      </c>
      <c r="G11" s="202" t="str">
        <f t="shared" ref="G11:G27" si="1">IF(D11=0,"N/A",IF(E11="N/A", "N/A", E11*F11))</f>
        <v>N/A</v>
      </c>
      <c r="H11" s="629" t="str">
        <f t="shared" si="0"/>
        <v>N/A</v>
      </c>
      <c r="I11" s="761" t="e">
        <f>IF(D10="N/A",E29*'Water_Soil-Step 1'!$S$45,E10*'Water_Soil-Step 1'!$S$45)</f>
        <v>#DIV/0!</v>
      </c>
      <c r="J11" s="761" t="e">
        <f>IF(D10="N/A",E29*'Water_Soil-Step 1'!$S$49,E10*'Water_Soil-Step 1'!$S$49)</f>
        <v>#DIV/0!</v>
      </c>
      <c r="K11" s="590" t="s">
        <v>134</v>
      </c>
      <c r="L11" s="191"/>
    </row>
    <row r="12" spans="1:12" ht="39.6" customHeight="1" x14ac:dyDescent="0.25">
      <c r="A12" s="50"/>
      <c r="B12" s="50"/>
      <c r="C12" s="855"/>
      <c r="D12" s="626">
        <v>0</v>
      </c>
      <c r="E12" s="630" t="str">
        <v>N/A</v>
      </c>
      <c r="F12" s="628" t="str">
        <f>IF(D12=0,"N/A",MAX('Water_Soil-Step 1'!$Q$19,'Water_Soil-Step 1'!$Q$31,'Water_Soil-Step 1'!$Q$45,'Water_Soil-Step 1'!$Q$49))</f>
        <v>N/A</v>
      </c>
      <c r="G12" s="202" t="str">
        <f t="shared" si="1"/>
        <v>N/A</v>
      </c>
      <c r="H12" s="629" t="str">
        <f t="shared" si="0"/>
        <v>N/A</v>
      </c>
      <c r="I12" s="437"/>
      <c r="J12" s="437"/>
      <c r="K12" s="191"/>
      <c r="L12" s="191"/>
    </row>
    <row r="13" spans="1:12" ht="47.45" customHeight="1" x14ac:dyDescent="0.25">
      <c r="A13" s="166"/>
      <c r="B13" s="50"/>
      <c r="C13" s="855"/>
      <c r="D13" s="626"/>
      <c r="E13" s="630"/>
      <c r="F13" s="628" t="str">
        <f>IF(D13=0,"N/A",MAX('Water_Soil-Step 1'!$Q$19,'Water_Soil-Step 1'!$Q$31,'Water_Soil-Step 1'!$Q$45,'Water_Soil-Step 1'!$Q$49))</f>
        <v>N/A</v>
      </c>
      <c r="G13" s="202" t="str">
        <f t="shared" si="1"/>
        <v>N/A</v>
      </c>
      <c r="H13" s="629" t="str">
        <f t="shared" si="0"/>
        <v>N/A</v>
      </c>
      <c r="I13" s="437"/>
      <c r="J13" s="437"/>
      <c r="K13" s="191"/>
      <c r="L13" s="191"/>
    </row>
    <row r="14" spans="1:12" ht="44.1" customHeight="1" x14ac:dyDescent="0.25">
      <c r="A14" s="206"/>
      <c r="B14" s="50"/>
      <c r="C14" s="855"/>
      <c r="D14" s="626"/>
      <c r="E14" s="630"/>
      <c r="F14" s="628" t="str">
        <f>IF(D14=0,"N/A",MAX('Water_Soil-Step 1'!$Q$19,'Water_Soil-Step 1'!$Q$31,'Water_Soil-Step 1'!$Q$45,'Water_Soil-Step 1'!$Q$49))</f>
        <v>N/A</v>
      </c>
      <c r="G14" s="631" t="str">
        <f t="shared" si="1"/>
        <v>N/A</v>
      </c>
      <c r="H14" s="629" t="str">
        <f t="shared" si="0"/>
        <v>N/A</v>
      </c>
      <c r="I14" s="752"/>
      <c r="J14" s="752"/>
    </row>
    <row r="15" spans="1:12" ht="62.1" customHeight="1" x14ac:dyDescent="0.25">
      <c r="A15" s="207"/>
      <c r="B15" s="53"/>
      <c r="C15" s="855"/>
      <c r="D15" s="626"/>
      <c r="E15" s="630"/>
      <c r="F15" s="628" t="str">
        <f>IF(D15=0,"N/A",MAX('Water_Soil-Step 1'!$Q$19,'Water_Soil-Step 1'!$Q$31,'Water_Soil-Step 1'!$Q$45,'Water_Soil-Step 1'!$Q$49))</f>
        <v>N/A</v>
      </c>
      <c r="G15" s="202" t="str">
        <f t="shared" si="1"/>
        <v>N/A</v>
      </c>
      <c r="H15" s="629" t="str">
        <f t="shared" si="0"/>
        <v>N/A</v>
      </c>
      <c r="I15" s="754"/>
      <c r="J15" s="754"/>
    </row>
    <row r="16" spans="1:12" ht="77.45" customHeight="1" x14ac:dyDescent="0.25">
      <c r="A16" s="208"/>
      <c r="B16" s="53"/>
      <c r="C16" s="855"/>
      <c r="D16" s="626"/>
      <c r="E16" s="630"/>
      <c r="F16" s="628" t="str">
        <f>IF(D16=0,"N/A",MAX('Water_Soil-Step 1'!$Q$19,'Water_Soil-Step 1'!$Q$31,'Water_Soil-Step 1'!$Q$45,'Water_Soil-Step 1'!$Q$49))</f>
        <v>N/A</v>
      </c>
      <c r="G16" s="202" t="str">
        <f>IF(D16=0,"N/A",IF(E16="N/A", "N/A", E16*F16))</f>
        <v>N/A</v>
      </c>
      <c r="H16" s="629" t="str">
        <f t="shared" si="0"/>
        <v>N/A</v>
      </c>
      <c r="I16" s="754"/>
      <c r="J16" s="754"/>
    </row>
    <row r="17" spans="1:15" ht="63.6" customHeight="1" x14ac:dyDescent="0.25">
      <c r="A17" s="207"/>
      <c r="B17" s="209"/>
      <c r="C17" s="855"/>
      <c r="D17" s="626"/>
      <c r="E17" s="630"/>
      <c r="F17" s="628" t="str">
        <f>IF(D17=0,"N/A",MAX('Water_Soil-Step 1'!$Q$19,'Water_Soil-Step 1'!$Q$31,'Water_Soil-Step 1'!$Q$45,'Water_Soil-Step 1'!$Q$49))</f>
        <v>N/A</v>
      </c>
      <c r="G17" s="202" t="str">
        <f t="shared" si="1"/>
        <v>N/A</v>
      </c>
      <c r="H17" s="629" t="str">
        <f t="shared" si="0"/>
        <v>N/A</v>
      </c>
      <c r="I17" s="754"/>
      <c r="J17" s="754"/>
    </row>
    <row r="18" spans="1:15" ht="42.95" customHeight="1" x14ac:dyDescent="0.25">
      <c r="A18" s="210"/>
      <c r="B18" s="66"/>
      <c r="C18" s="855"/>
      <c r="D18" s="626"/>
      <c r="E18" s="627"/>
      <c r="F18" s="628" t="str">
        <f>IF(D18=0,"N/A",MAX('Water_Soil-Step 1'!$Q$19,'Water_Soil-Step 1'!$Q$31,'Water_Soil-Step 1'!$Q$45,'Water_Soil-Step 1'!$Q$49))</f>
        <v>N/A</v>
      </c>
      <c r="G18" s="202" t="str">
        <f t="shared" si="1"/>
        <v>N/A</v>
      </c>
      <c r="H18" s="629" t="str">
        <f t="shared" si="0"/>
        <v>N/A</v>
      </c>
      <c r="I18" s="754"/>
      <c r="J18" s="754"/>
    </row>
    <row r="19" spans="1:15" ht="48.95" customHeight="1" x14ac:dyDescent="0.25">
      <c r="A19" s="198"/>
      <c r="B19" s="211"/>
      <c r="C19" s="898" t="s">
        <v>118</v>
      </c>
      <c r="D19" s="626" t="e" cm="1" vm="1">
        <f t="array" ref="D19">_xlfn._xlws.FILTER('Water_Soil-Step 2'!C22:C24,'Water_Soil-Step 2'!D22:D24="Active")</f>
        <v>#VALUE!</v>
      </c>
      <c r="E19" s="630" t="e" cm="1" vm="1">
        <f t="array" ref="E19">_xlfn._xlws.FILTER('Water_Soil-Step 2'!R22:R24,'Water_Soil-Step 2'!D22:D24="Active")</f>
        <v>#VALUE!</v>
      </c>
      <c r="F19" s="628" t="e" vm="2">
        <f>IF(D19=0,"N/A",MAX('Water_Soil-Step 1'!$Q$19,'Water_Soil-Step 1'!$Q$31,'Water_Soil-Step 1'!$Q$45,'Water_Soil-Step 1'!$Q$49))</f>
        <v>#VALUE!</v>
      </c>
      <c r="G19" s="202" t="e" vm="2">
        <f t="shared" si="1"/>
        <v>#VALUE!</v>
      </c>
      <c r="H19" s="629" t="e" vm="2">
        <f t="shared" si="0"/>
        <v>#VALUE!</v>
      </c>
      <c r="I19" s="754"/>
      <c r="J19" s="754"/>
    </row>
    <row r="20" spans="1:15" ht="39" customHeight="1" x14ac:dyDescent="0.25">
      <c r="A20" s="198"/>
      <c r="B20" s="212"/>
      <c r="C20" s="898"/>
      <c r="D20" s="626"/>
      <c r="E20" s="630"/>
      <c r="F20" s="628" t="str">
        <f>IF(D20=0,"N/A",MAX('Water_Soil-Step 1'!$Q$19,'Water_Soil-Step 1'!$Q$31,'Water_Soil-Step 1'!$Q$45,'Water_Soil-Step 1'!$Q$49))</f>
        <v>N/A</v>
      </c>
      <c r="G20" s="202" t="str">
        <f t="shared" si="1"/>
        <v>N/A</v>
      </c>
      <c r="H20" s="629" t="str">
        <f t="shared" si="0"/>
        <v>N/A</v>
      </c>
    </row>
    <row r="21" spans="1:15" ht="48.95" customHeight="1" x14ac:dyDescent="0.25">
      <c r="B21" s="213"/>
      <c r="C21" s="898"/>
      <c r="D21" s="626"/>
      <c r="E21" s="627"/>
      <c r="F21" s="628" t="str">
        <f>IF(D21=0,"N/A",MAX('Water_Soil-Step 1'!$Q$19,'Water_Soil-Step 1'!$Q$31,'Water_Soil-Step 1'!$Q$45,'Water_Soil-Step 1'!$Q$49))</f>
        <v>N/A</v>
      </c>
      <c r="G21" s="202" t="str">
        <f t="shared" si="1"/>
        <v>N/A</v>
      </c>
      <c r="H21" s="629" t="str">
        <f t="shared" si="0"/>
        <v>N/A</v>
      </c>
    </row>
    <row r="22" spans="1:15" ht="36.950000000000003" customHeight="1" x14ac:dyDescent="0.25">
      <c r="B22" s="213"/>
      <c r="C22" s="899" t="s">
        <v>119</v>
      </c>
      <c r="D22" s="626" cm="1">
        <f t="array" ref="D22:D23">_xlfn._xlws.FILTER('Water_Soil-Step 2'!C25:C30,'Water_Soil-Step 2'!D25:D30="Active")</f>
        <v>0</v>
      </c>
      <c r="E22" s="630" t="str" cm="1">
        <f t="array" ref="E22:E23">_xlfn._xlws.FILTER('Water_Soil-Step 2'!R25:R30,'Water_Soil-Step 2'!D25:D30="Active")</f>
        <v>N/A</v>
      </c>
      <c r="F22" s="628" t="str">
        <f>IF(D22=0,"N/A",MAX('Water_Soil-Step 1'!$Q$19,'Water_Soil-Step 1'!$Q$31,'Water_Soil-Step 1'!$Q$45,'Water_Soil-Step 1'!$Q$49))</f>
        <v>N/A</v>
      </c>
      <c r="G22" s="202" t="str">
        <f t="shared" si="1"/>
        <v>N/A</v>
      </c>
      <c r="H22" s="629" t="str">
        <f t="shared" si="0"/>
        <v>N/A</v>
      </c>
    </row>
    <row r="23" spans="1:15" ht="26.45" customHeight="1" x14ac:dyDescent="0.25">
      <c r="B23" s="213"/>
      <c r="C23" s="899"/>
      <c r="D23" s="626">
        <v>0</v>
      </c>
      <c r="E23" s="630" t="str">
        <v>N/A</v>
      </c>
      <c r="F23" s="628" t="str">
        <f>IF(D23=0,"N/A",MAX('Water_Soil-Step 1'!$Q$19,'Water_Soil-Step 1'!$Q$31,'Water_Soil-Step 1'!$Q$45,'Water_Soil-Step 1'!$Q$49))</f>
        <v>N/A</v>
      </c>
      <c r="G23" s="202" t="str">
        <f t="shared" si="1"/>
        <v>N/A</v>
      </c>
      <c r="H23" s="629" t="str">
        <f t="shared" si="0"/>
        <v>N/A</v>
      </c>
    </row>
    <row r="24" spans="1:15" ht="30.95" customHeight="1" x14ac:dyDescent="0.25">
      <c r="C24" s="899"/>
      <c r="D24" s="626"/>
      <c r="E24" s="630"/>
      <c r="F24" s="628" t="str">
        <f>IF(D24=0,"N/A",MAX('Water_Soil-Step 1'!$Q$19,'Water_Soil-Step 1'!$Q$31,'Water_Soil-Step 1'!$Q$45,'Water_Soil-Step 1'!$Q$49))</f>
        <v>N/A</v>
      </c>
      <c r="G24" s="202" t="str">
        <f t="shared" si="1"/>
        <v>N/A</v>
      </c>
      <c r="H24" s="629" t="str">
        <f t="shared" si="0"/>
        <v>N/A</v>
      </c>
    </row>
    <row r="25" spans="1:15" ht="38.1" customHeight="1" x14ac:dyDescent="0.25">
      <c r="C25" s="899"/>
      <c r="D25" s="626"/>
      <c r="E25" s="630"/>
      <c r="F25" s="628" t="str">
        <f>IF(D25=0,"N/A",MAX('Water_Soil-Step 1'!$Q$19,'Water_Soil-Step 1'!$Q$31,'Water_Soil-Step 1'!$Q$45,'Water_Soil-Step 1'!$Q$49))</f>
        <v>N/A</v>
      </c>
      <c r="G25" s="202" t="str">
        <f t="shared" si="1"/>
        <v>N/A</v>
      </c>
      <c r="H25" s="629" t="str">
        <f t="shared" si="0"/>
        <v>N/A</v>
      </c>
      <c r="J25" s="111"/>
      <c r="K25" s="103"/>
    </row>
    <row r="26" spans="1:15" ht="26.45" customHeight="1" x14ac:dyDescent="0.25">
      <c r="B26" s="209"/>
      <c r="C26" s="899"/>
      <c r="D26" s="632"/>
      <c r="E26" s="630"/>
      <c r="F26" s="628" t="str">
        <f>IF(D26=0,"N/A",MAX('Water_Soil-Step 1'!$Q$19,'Water_Soil-Step 1'!$Q$31,'Water_Soil-Step 1'!$Q$45,'Water_Soil-Step 1'!$Q$49))</f>
        <v>N/A</v>
      </c>
      <c r="G26" s="202" t="str">
        <f t="shared" si="1"/>
        <v>N/A</v>
      </c>
      <c r="H26" s="629" t="str">
        <f t="shared" si="0"/>
        <v>N/A</v>
      </c>
      <c r="J26" s="111"/>
      <c r="K26" s="103"/>
    </row>
    <row r="27" spans="1:15" ht="29.45" customHeight="1" x14ac:dyDescent="0.25">
      <c r="A27" s="52"/>
      <c r="B27" s="211"/>
      <c r="C27" s="860"/>
      <c r="D27" s="632"/>
      <c r="E27" s="630"/>
      <c r="F27" s="628" t="str">
        <f>IF(D27=0,"N/A",MAX('Water_Soil-Step 1'!$Q$19,'Water_Soil-Step 1'!$Q$31,'Water_Soil-Step 1'!$Q$45,'Water_Soil-Step 1'!$Q$49))</f>
        <v>N/A</v>
      </c>
      <c r="G27" s="202" t="str">
        <f t="shared" si="1"/>
        <v>N/A</v>
      </c>
      <c r="H27" s="629" t="str">
        <f t="shared" si="0"/>
        <v>N/A</v>
      </c>
      <c r="J27" s="111"/>
      <c r="K27" s="103"/>
    </row>
    <row r="28" spans="1:15" ht="24.6" customHeight="1" x14ac:dyDescent="0.25">
      <c r="A28" s="211"/>
      <c r="B28" s="212"/>
      <c r="C28" s="887"/>
      <c r="D28" s="620"/>
      <c r="E28" s="621"/>
      <c r="F28" s="622"/>
      <c r="G28" s="621"/>
      <c r="H28" s="621"/>
      <c r="I28" s="191"/>
      <c r="J28" s="786"/>
      <c r="K28" s="777"/>
      <c r="L28" s="754"/>
      <c r="M28" s="754"/>
      <c r="N28" s="754"/>
      <c r="O28" s="754"/>
    </row>
    <row r="29" spans="1:15" ht="18.600000000000001" customHeight="1" x14ac:dyDescent="0.25">
      <c r="A29" s="217"/>
      <c r="B29" s="213"/>
      <c r="C29" s="887"/>
      <c r="D29" s="620"/>
      <c r="E29" s="762">
        <f>IFERROR(MAX(E11:E27),0)</f>
        <v>0</v>
      </c>
      <c r="F29" s="764"/>
      <c r="G29" s="765" t="e">
        <f>IF(D10="N/A",MAX(G11:G18,G22:G27),G10)</f>
        <v>#DIV/0!</v>
      </c>
      <c r="H29" s="765"/>
      <c r="I29" s="191"/>
      <c r="J29" s="786"/>
      <c r="K29" s="777"/>
      <c r="L29" s="754"/>
      <c r="M29" s="754"/>
      <c r="N29" s="754"/>
      <c r="O29" s="754"/>
    </row>
    <row r="30" spans="1:15" ht="36.6" customHeight="1" x14ac:dyDescent="0.25">
      <c r="C30" s="887"/>
      <c r="D30" s="620"/>
      <c r="E30" s="765"/>
      <c r="F30" s="764"/>
      <c r="G30" s="765" t="str">
        <f>IF(D10="N/A",MAX(G19:G21),"N/A")</f>
        <v>N/A</v>
      </c>
      <c r="H30" s="765"/>
      <c r="I30" s="191"/>
      <c r="J30" s="786"/>
      <c r="K30" s="777"/>
      <c r="L30" s="754"/>
      <c r="M30" s="754"/>
      <c r="N30" s="754"/>
      <c r="O30" s="754"/>
    </row>
    <row r="31" spans="1:15" ht="38.1" customHeight="1" x14ac:dyDescent="0.25">
      <c r="C31" s="887"/>
      <c r="D31" s="623"/>
      <c r="E31" s="624"/>
      <c r="F31" s="622"/>
      <c r="G31" s="621"/>
      <c r="H31" s="624"/>
      <c r="I31" s="191"/>
      <c r="J31" s="786"/>
      <c r="K31" s="777"/>
      <c r="L31" s="754"/>
      <c r="M31" s="754"/>
      <c r="N31" s="754"/>
      <c r="O31" s="754"/>
    </row>
    <row r="32" spans="1:15" x14ac:dyDescent="0.25">
      <c r="B32" s="220"/>
      <c r="C32" s="751"/>
      <c r="D32" s="785"/>
      <c r="E32" s="751"/>
      <c r="F32" s="751"/>
      <c r="G32" s="751"/>
      <c r="H32" s="751"/>
      <c r="I32" s="754"/>
      <c r="J32" s="754"/>
      <c r="K32" s="754"/>
      <c r="L32" s="754"/>
      <c r="M32" s="754"/>
      <c r="N32" s="754"/>
      <c r="O32" s="754"/>
    </row>
    <row r="33" spans="1:25" ht="16.5" x14ac:dyDescent="0.25">
      <c r="B33" s="220"/>
      <c r="C33" s="781"/>
      <c r="D33" s="780"/>
      <c r="E33" s="754"/>
      <c r="F33" s="754"/>
      <c r="G33" s="754"/>
      <c r="H33" s="754"/>
      <c r="I33" s="754"/>
      <c r="J33" s="754"/>
      <c r="K33" s="754"/>
      <c r="L33" s="754"/>
      <c r="M33" s="754"/>
      <c r="N33" s="754"/>
      <c r="O33" s="754"/>
    </row>
    <row r="34" spans="1:25" ht="14.45" customHeight="1" x14ac:dyDescent="0.25">
      <c r="B34" s="64"/>
      <c r="C34" s="880"/>
      <c r="D34" s="880"/>
      <c r="E34" s="880"/>
      <c r="F34" s="880"/>
      <c r="G34" s="880"/>
      <c r="H34" s="880"/>
      <c r="I34" s="754"/>
      <c r="J34" s="880"/>
      <c r="K34" s="880"/>
      <c r="L34" s="880"/>
      <c r="M34" s="880"/>
      <c r="N34" s="880"/>
      <c r="O34" s="880"/>
      <c r="Q34" s="873"/>
      <c r="R34" s="873"/>
      <c r="S34" s="873"/>
      <c r="T34" s="873"/>
      <c r="U34" s="136"/>
      <c r="V34" s="873"/>
      <c r="W34" s="873"/>
      <c r="X34" s="873"/>
      <c r="Y34" s="873"/>
    </row>
    <row r="35" spans="1:25" ht="42" customHeight="1" x14ac:dyDescent="0.25">
      <c r="B35" s="64"/>
      <c r="C35" s="754"/>
      <c r="D35" s="780"/>
      <c r="E35" s="754"/>
      <c r="F35" s="754"/>
      <c r="G35" s="754"/>
      <c r="H35" s="754"/>
      <c r="I35" s="782"/>
      <c r="J35" s="782"/>
      <c r="K35" s="783"/>
      <c r="L35" s="783"/>
      <c r="M35" s="783"/>
      <c r="N35" s="783"/>
      <c r="O35" s="784"/>
      <c r="Q35" s="95"/>
      <c r="R35" s="95"/>
      <c r="S35" s="95"/>
      <c r="V35" s="58"/>
      <c r="W35" s="58"/>
      <c r="X35" s="58"/>
      <c r="Y35" s="58"/>
    </row>
    <row r="36" spans="1:25" ht="66.95" customHeight="1" x14ac:dyDescent="0.25">
      <c r="B36" s="64"/>
      <c r="C36" s="221"/>
      <c r="D36" s="29"/>
      <c r="J36" s="52"/>
      <c r="K36" s="150"/>
      <c r="L36" s="150"/>
      <c r="M36" s="150"/>
      <c r="N36" s="49"/>
      <c r="O36" s="223"/>
      <c r="Q36" s="49"/>
      <c r="R36" s="49"/>
      <c r="S36" s="150"/>
      <c r="T36" s="223"/>
      <c r="U36" s="150"/>
      <c r="V36" s="224"/>
      <c r="W36" s="224"/>
      <c r="X36" s="224"/>
      <c r="Y36" s="224"/>
    </row>
    <row r="37" spans="1:25" ht="21.95" customHeight="1" x14ac:dyDescent="0.25">
      <c r="B37" s="64"/>
      <c r="C37" s="874"/>
      <c r="D37" s="875"/>
      <c r="E37" s="119"/>
      <c r="F37" s="119"/>
      <c r="G37" s="119"/>
      <c r="H37" s="119"/>
      <c r="J37" s="876"/>
      <c r="K37" s="225"/>
      <c r="L37" s="225"/>
      <c r="M37" s="225"/>
      <c r="N37" s="225"/>
      <c r="O37" s="154"/>
      <c r="Q37" s="225"/>
      <c r="R37" s="225"/>
      <c r="S37" s="225"/>
      <c r="T37" s="154"/>
      <c r="U37" s="154"/>
      <c r="V37" s="154"/>
      <c r="W37" s="154"/>
      <c r="X37" s="154"/>
      <c r="Y37" s="154"/>
    </row>
    <row r="38" spans="1:25" ht="21.95" customHeight="1" x14ac:dyDescent="0.25">
      <c r="B38" s="64"/>
      <c r="C38" s="874"/>
      <c r="D38" s="875"/>
      <c r="E38" s="226"/>
      <c r="F38" s="226"/>
      <c r="G38" s="226"/>
      <c r="H38" s="226"/>
      <c r="J38" s="876"/>
      <c r="K38" s="227"/>
      <c r="L38" s="227"/>
      <c r="M38" s="227"/>
      <c r="N38" s="227"/>
      <c r="O38" s="227"/>
      <c r="Q38" s="103"/>
      <c r="R38" s="103"/>
      <c r="S38" s="103"/>
      <c r="T38" s="111"/>
      <c r="U38" s="154"/>
      <c r="V38" s="111"/>
      <c r="W38" s="103"/>
      <c r="X38" s="227"/>
      <c r="Y38" s="103"/>
    </row>
    <row r="39" spans="1:25" ht="26.1" customHeight="1" x14ac:dyDescent="0.25">
      <c r="B39" s="64"/>
      <c r="C39" s="191"/>
      <c r="D39" s="172"/>
      <c r="E39" s="228"/>
      <c r="F39" s="228"/>
      <c r="G39" s="228"/>
      <c r="H39" s="228"/>
      <c r="J39" s="876"/>
      <c r="K39" s="103"/>
      <c r="L39" s="103"/>
      <c r="M39" s="103"/>
      <c r="N39" s="103"/>
      <c r="O39" s="103"/>
      <c r="P39" s="136"/>
      <c r="U39" s="136"/>
      <c r="V39" s="111"/>
      <c r="W39" s="103"/>
      <c r="X39" s="111"/>
      <c r="Y39" s="103"/>
    </row>
    <row r="40" spans="1:25" ht="21.6" customHeight="1" x14ac:dyDescent="0.25">
      <c r="B40" s="64"/>
      <c r="C40" s="191"/>
      <c r="D40" s="229"/>
      <c r="E40" s="230"/>
      <c r="F40" s="230"/>
      <c r="G40" s="103"/>
      <c r="H40" s="230"/>
      <c r="J40" s="83"/>
      <c r="K40" s="103"/>
      <c r="L40" s="103"/>
      <c r="M40" s="103"/>
      <c r="N40" s="103"/>
      <c r="O40" s="103"/>
      <c r="P40" s="136"/>
      <c r="Q40" s="136"/>
      <c r="R40" s="136"/>
      <c r="S40" s="136"/>
      <c r="T40" s="136"/>
      <c r="U40" s="136"/>
      <c r="V40" s="111"/>
      <c r="W40" s="103"/>
      <c r="X40" s="111"/>
      <c r="Y40" s="103"/>
    </row>
    <row r="41" spans="1:25" ht="18" customHeight="1" x14ac:dyDescent="0.25">
      <c r="A41" s="877"/>
      <c r="C41" s="878"/>
      <c r="D41" s="216"/>
      <c r="E41" s="103"/>
      <c r="F41" s="103"/>
      <c r="G41" s="103"/>
      <c r="H41" s="103"/>
      <c r="J41" s="83"/>
      <c r="K41" s="103"/>
      <c r="L41" s="103"/>
      <c r="M41" s="103"/>
      <c r="N41" s="103"/>
      <c r="O41" s="103"/>
      <c r="P41" s="136"/>
      <c r="Q41" s="136"/>
      <c r="R41" s="136"/>
      <c r="S41" s="136"/>
      <c r="T41" s="136"/>
      <c r="U41" s="136"/>
      <c r="V41" s="103"/>
      <c r="W41" s="103"/>
      <c r="X41" s="103"/>
      <c r="Y41" s="103"/>
    </row>
    <row r="42" spans="1:25" x14ac:dyDescent="0.25">
      <c r="A42" s="877"/>
      <c r="C42" s="879"/>
      <c r="D42" s="216"/>
      <c r="E42" s="103"/>
      <c r="F42" s="103"/>
      <c r="G42" s="103"/>
      <c r="H42" s="103"/>
      <c r="K42" s="103"/>
      <c r="L42" s="103"/>
      <c r="M42" s="103"/>
      <c r="N42" s="103"/>
      <c r="O42" s="103"/>
      <c r="P42" s="136"/>
      <c r="Q42" s="103"/>
      <c r="R42" s="103"/>
      <c r="S42" s="103"/>
      <c r="T42" s="111"/>
      <c r="U42" s="219"/>
      <c r="V42" s="103"/>
      <c r="W42" s="103"/>
      <c r="X42" s="103"/>
      <c r="Y42" s="103"/>
    </row>
    <row r="43" spans="1:25" x14ac:dyDescent="0.25">
      <c r="C43" s="879"/>
      <c r="D43" s="232"/>
      <c r="E43" s="103"/>
      <c r="F43" s="103"/>
      <c r="G43" s="103"/>
      <c r="H43" s="103"/>
      <c r="K43" s="103"/>
      <c r="L43" s="103"/>
      <c r="M43" s="103"/>
      <c r="N43" s="103"/>
      <c r="O43" s="103"/>
      <c r="P43" s="136"/>
      <c r="Q43" s="103"/>
      <c r="R43" s="103"/>
      <c r="S43" s="103"/>
      <c r="T43" s="111"/>
      <c r="U43" s="219"/>
      <c r="V43" s="103"/>
      <c r="W43" s="103"/>
      <c r="X43" s="103"/>
      <c r="Y43" s="103"/>
    </row>
    <row r="44" spans="1:25" x14ac:dyDescent="0.25">
      <c r="C44" s="879"/>
      <c r="D44" s="216"/>
      <c r="E44" s="103"/>
      <c r="F44" s="103"/>
      <c r="G44" s="103"/>
      <c r="H44" s="103"/>
      <c r="K44" s="103"/>
      <c r="L44" s="103"/>
      <c r="M44" s="103"/>
      <c r="N44" s="103"/>
      <c r="O44" s="103"/>
      <c r="P44" s="136"/>
      <c r="Q44" s="103"/>
      <c r="R44" s="103"/>
      <c r="S44" s="103"/>
      <c r="T44" s="111"/>
      <c r="U44" s="103"/>
      <c r="V44" s="103"/>
      <c r="W44" s="103"/>
      <c r="X44" s="103"/>
      <c r="Y44" s="103"/>
    </row>
    <row r="45" spans="1:25" x14ac:dyDescent="0.25">
      <c r="C45" s="879"/>
      <c r="D45" s="216"/>
      <c r="E45" s="103"/>
      <c r="F45" s="103"/>
      <c r="G45" s="103"/>
      <c r="H45" s="103"/>
      <c r="K45" s="103"/>
      <c r="L45" s="103"/>
      <c r="M45" s="103"/>
      <c r="N45" s="103"/>
      <c r="O45" s="103"/>
      <c r="P45" s="136"/>
      <c r="Q45" s="103"/>
      <c r="R45" s="103"/>
      <c r="S45" s="103"/>
      <c r="T45" s="111"/>
      <c r="U45" s="219"/>
      <c r="V45" s="103"/>
      <c r="W45" s="103"/>
      <c r="X45" s="103"/>
      <c r="Y45" s="103"/>
    </row>
    <row r="46" spans="1:25" x14ac:dyDescent="0.25">
      <c r="C46" s="878"/>
      <c r="D46" s="216"/>
      <c r="E46" s="103"/>
      <c r="F46" s="103"/>
      <c r="G46" s="103"/>
      <c r="H46" s="103"/>
      <c r="K46" s="103"/>
      <c r="L46" s="103"/>
      <c r="M46" s="103"/>
      <c r="N46" s="103"/>
      <c r="O46" s="103"/>
      <c r="P46" s="136"/>
      <c r="Q46" s="103"/>
      <c r="R46" s="103"/>
      <c r="S46" s="103"/>
      <c r="T46" s="111"/>
      <c r="U46" s="219"/>
      <c r="V46" s="103"/>
      <c r="W46" s="103"/>
      <c r="X46" s="103"/>
      <c r="Y46" s="103"/>
    </row>
    <row r="47" spans="1:25" x14ac:dyDescent="0.25">
      <c r="C47" s="879"/>
      <c r="D47" s="216"/>
      <c r="E47" s="103"/>
      <c r="F47" s="103"/>
      <c r="G47" s="103"/>
      <c r="H47" s="103"/>
      <c r="K47" s="103"/>
      <c r="L47" s="103"/>
      <c r="M47" s="103"/>
      <c r="N47" s="103"/>
      <c r="O47" s="103"/>
      <c r="P47" s="136"/>
      <c r="Q47" s="103"/>
      <c r="R47" s="103"/>
      <c r="S47" s="103"/>
      <c r="T47" s="111"/>
      <c r="U47" s="219"/>
      <c r="V47" s="103"/>
      <c r="W47" s="103"/>
      <c r="X47" s="103"/>
      <c r="Y47" s="103"/>
    </row>
    <row r="48" spans="1:25" x14ac:dyDescent="0.25">
      <c r="C48" s="879"/>
      <c r="D48" s="216"/>
      <c r="E48" s="103"/>
      <c r="F48" s="103"/>
      <c r="G48" s="103"/>
      <c r="H48" s="103"/>
      <c r="K48" s="103"/>
      <c r="L48" s="103"/>
      <c r="M48" s="103"/>
      <c r="N48" s="103"/>
      <c r="O48" s="103"/>
      <c r="P48" s="136"/>
      <c r="Q48" s="103"/>
      <c r="R48" s="103"/>
      <c r="S48" s="103"/>
      <c r="T48" s="111"/>
      <c r="U48" s="219"/>
      <c r="V48" s="103"/>
      <c r="W48" s="103"/>
      <c r="X48" s="103"/>
      <c r="Y48" s="103"/>
    </row>
    <row r="49" spans="3:25" x14ac:dyDescent="0.25">
      <c r="C49" s="882"/>
      <c r="D49" s="216"/>
      <c r="E49" s="103"/>
      <c r="F49" s="103"/>
      <c r="G49" s="103"/>
      <c r="H49" s="103"/>
      <c r="K49" s="103"/>
      <c r="L49" s="103"/>
      <c r="M49" s="103"/>
      <c r="N49" s="103"/>
      <c r="O49" s="103"/>
      <c r="P49" s="136"/>
      <c r="Q49" s="103"/>
      <c r="R49" s="103"/>
      <c r="S49" s="103"/>
      <c r="T49" s="111"/>
      <c r="U49" s="219"/>
      <c r="V49" s="103"/>
      <c r="W49" s="103"/>
      <c r="X49" s="103"/>
      <c r="Y49" s="103"/>
    </row>
    <row r="50" spans="3:25" x14ac:dyDescent="0.25">
      <c r="C50" s="882"/>
      <c r="D50" s="216"/>
      <c r="E50" s="103"/>
      <c r="F50" s="103"/>
      <c r="G50" s="103"/>
      <c r="H50" s="103"/>
      <c r="K50" s="103"/>
      <c r="L50" s="103"/>
      <c r="M50" s="103"/>
      <c r="N50" s="103"/>
      <c r="O50" s="103"/>
      <c r="P50" s="136"/>
      <c r="Q50" s="103"/>
      <c r="R50" s="103"/>
      <c r="S50" s="103"/>
      <c r="T50" s="111"/>
      <c r="U50" s="219"/>
      <c r="V50" s="103"/>
      <c r="W50" s="103"/>
      <c r="X50" s="103"/>
      <c r="Y50" s="103"/>
    </row>
    <row r="51" spans="3:25" x14ac:dyDescent="0.25">
      <c r="C51" s="883"/>
      <c r="D51" s="215"/>
      <c r="E51" s="103"/>
      <c r="F51" s="103"/>
      <c r="G51" s="103"/>
      <c r="H51" s="103"/>
      <c r="K51" s="103"/>
      <c r="L51" s="103"/>
      <c r="M51" s="103"/>
      <c r="N51" s="103"/>
      <c r="O51" s="103"/>
      <c r="P51" s="136"/>
      <c r="Q51" s="103"/>
      <c r="R51" s="103"/>
      <c r="S51" s="103"/>
      <c r="T51" s="111"/>
      <c r="U51" s="219"/>
      <c r="V51" s="103"/>
      <c r="W51" s="103"/>
      <c r="X51" s="103"/>
      <c r="Y51" s="103"/>
    </row>
    <row r="52" spans="3:25" x14ac:dyDescent="0.25">
      <c r="C52" s="881"/>
      <c r="D52" s="215"/>
      <c r="E52" s="103"/>
      <c r="F52" s="103"/>
      <c r="G52" s="103"/>
      <c r="H52" s="103"/>
      <c r="K52" s="103"/>
      <c r="L52" s="103"/>
      <c r="M52" s="103"/>
      <c r="N52" s="103"/>
      <c r="O52" s="103"/>
      <c r="P52" s="136"/>
      <c r="Q52" s="103"/>
      <c r="R52" s="103"/>
      <c r="S52" s="103"/>
      <c r="T52" s="111"/>
      <c r="U52" s="219"/>
      <c r="V52" s="103"/>
      <c r="W52" s="103"/>
      <c r="X52" s="103"/>
      <c r="Y52" s="103"/>
    </row>
    <row r="53" spans="3:25" x14ac:dyDescent="0.25">
      <c r="C53" s="881"/>
      <c r="D53" s="232"/>
      <c r="E53" s="103"/>
      <c r="F53" s="103"/>
      <c r="G53" s="103"/>
      <c r="H53" s="103"/>
      <c r="K53" s="103"/>
      <c r="L53" s="103"/>
      <c r="M53" s="103"/>
      <c r="N53" s="103"/>
      <c r="O53" s="103"/>
      <c r="P53" s="136"/>
      <c r="Q53" s="103"/>
      <c r="R53" s="103"/>
      <c r="S53" s="103"/>
      <c r="T53" s="111"/>
      <c r="U53" s="219"/>
      <c r="V53" s="103"/>
      <c r="W53" s="103"/>
      <c r="X53" s="103"/>
      <c r="Y53" s="103"/>
    </row>
    <row r="54" spans="3:25" x14ac:dyDescent="0.25">
      <c r="C54" s="881"/>
      <c r="D54" s="216"/>
      <c r="E54" s="103"/>
      <c r="F54" s="103"/>
      <c r="G54" s="103"/>
      <c r="H54" s="103"/>
      <c r="K54" s="103"/>
      <c r="L54" s="103"/>
      <c r="M54" s="103"/>
      <c r="N54" s="103"/>
      <c r="O54" s="103"/>
      <c r="P54" s="136"/>
      <c r="Q54" s="103"/>
      <c r="R54" s="103"/>
      <c r="S54" s="103"/>
      <c r="T54" s="111"/>
      <c r="U54" s="219"/>
      <c r="V54" s="103"/>
      <c r="W54" s="103"/>
      <c r="X54" s="103"/>
      <c r="Y54" s="103"/>
    </row>
    <row r="55" spans="3:25" x14ac:dyDescent="0.25">
      <c r="C55" s="881"/>
      <c r="D55" s="215"/>
      <c r="E55" s="103"/>
      <c r="F55" s="103"/>
      <c r="G55" s="103"/>
      <c r="H55" s="103"/>
      <c r="K55" s="103"/>
      <c r="L55" s="103"/>
      <c r="M55" s="103"/>
      <c r="N55" s="103"/>
      <c r="O55" s="103"/>
      <c r="P55" s="136"/>
      <c r="Q55" s="103"/>
      <c r="R55" s="103"/>
      <c r="S55" s="103"/>
      <c r="T55" s="111"/>
      <c r="U55" s="219"/>
      <c r="V55" s="103"/>
      <c r="W55" s="103"/>
      <c r="X55" s="103"/>
      <c r="Y55" s="103"/>
    </row>
    <row r="56" spans="3:25" ht="30.6" customHeight="1" x14ac:dyDescent="0.25">
      <c r="C56" s="881"/>
      <c r="D56" s="216"/>
      <c r="E56" s="103"/>
      <c r="F56" s="103"/>
      <c r="G56" s="103"/>
      <c r="H56" s="103"/>
      <c r="K56" s="103"/>
      <c r="L56" s="103"/>
      <c r="M56" s="103"/>
      <c r="N56" s="103"/>
      <c r="O56" s="103"/>
      <c r="P56" s="136"/>
      <c r="Q56" s="103"/>
      <c r="R56" s="103"/>
      <c r="S56" s="103"/>
      <c r="T56" s="111"/>
      <c r="U56" s="219"/>
      <c r="V56" s="103"/>
      <c r="W56" s="103"/>
      <c r="X56" s="103"/>
      <c r="Y56" s="103"/>
    </row>
    <row r="57" spans="3:25" ht="23.45" customHeight="1" x14ac:dyDescent="0.25">
      <c r="C57" s="881"/>
      <c r="D57" s="215"/>
      <c r="E57" s="103"/>
      <c r="F57" s="103"/>
      <c r="G57" s="103"/>
      <c r="H57" s="103"/>
      <c r="K57" s="103"/>
      <c r="L57" s="103"/>
      <c r="M57" s="103"/>
      <c r="N57" s="103"/>
      <c r="O57" s="103"/>
      <c r="P57" s="136"/>
      <c r="Q57" s="103"/>
      <c r="R57" s="103"/>
      <c r="S57" s="103"/>
      <c r="T57" s="111"/>
      <c r="U57" s="219"/>
      <c r="V57" s="103"/>
      <c r="W57" s="103"/>
      <c r="X57" s="103"/>
      <c r="Y57" s="103"/>
    </row>
    <row r="58" spans="3:25" x14ac:dyDescent="0.25">
      <c r="C58" s="884"/>
      <c r="D58" s="216"/>
      <c r="E58" s="103"/>
      <c r="F58" s="103"/>
      <c r="G58" s="103"/>
      <c r="H58" s="103"/>
      <c r="K58" s="103"/>
      <c r="L58" s="103"/>
      <c r="M58" s="103"/>
      <c r="N58" s="103"/>
      <c r="O58" s="103"/>
      <c r="P58" s="136"/>
      <c r="Q58" s="103"/>
      <c r="R58" s="103"/>
      <c r="S58" s="103"/>
      <c r="T58" s="111"/>
      <c r="U58" s="219"/>
      <c r="V58" s="103"/>
      <c r="W58" s="103"/>
      <c r="X58" s="103"/>
      <c r="Y58" s="103"/>
    </row>
    <row r="59" spans="3:25" ht="36.6" customHeight="1" x14ac:dyDescent="0.25">
      <c r="C59" s="884"/>
      <c r="D59" s="216"/>
      <c r="E59" s="103"/>
      <c r="F59" s="103"/>
      <c r="G59" s="103"/>
      <c r="H59" s="103"/>
      <c r="K59" s="219"/>
      <c r="L59" s="219"/>
      <c r="M59" s="219"/>
      <c r="N59" s="219"/>
      <c r="O59" s="219"/>
      <c r="P59" s="136"/>
      <c r="Q59" s="103"/>
      <c r="R59" s="103"/>
      <c r="S59" s="103"/>
      <c r="T59" s="111"/>
      <c r="U59" s="219"/>
      <c r="V59" s="219"/>
      <c r="W59" s="219"/>
      <c r="X59" s="219"/>
      <c r="Y59" s="219"/>
    </row>
    <row r="60" spans="3:25" x14ac:dyDescent="0.25">
      <c r="C60" s="881"/>
      <c r="D60" s="216"/>
      <c r="E60" s="103"/>
      <c r="F60" s="103"/>
      <c r="G60" s="103"/>
      <c r="H60" s="103"/>
      <c r="Q60" s="885"/>
      <c r="R60" s="885"/>
      <c r="S60" s="233"/>
      <c r="T60" s="886"/>
      <c r="U60" s="222"/>
    </row>
    <row r="61" spans="3:25" x14ac:dyDescent="0.25">
      <c r="C61" s="881"/>
      <c r="D61" s="218"/>
      <c r="E61" s="103"/>
      <c r="F61" s="103"/>
      <c r="G61" s="103"/>
      <c r="H61" s="103"/>
      <c r="K61" s="222"/>
      <c r="L61" s="222"/>
      <c r="M61" s="222"/>
      <c r="N61" s="222"/>
      <c r="O61" s="219"/>
      <c r="Q61" s="885"/>
      <c r="R61" s="885"/>
      <c r="S61" s="233"/>
      <c r="T61" s="886"/>
      <c r="U61" s="222"/>
      <c r="V61" s="222"/>
      <c r="W61" s="222"/>
      <c r="X61" s="222"/>
      <c r="Y61" s="222"/>
    </row>
    <row r="62" spans="3:25" x14ac:dyDescent="0.25">
      <c r="C62" s="214"/>
      <c r="D62" s="218"/>
      <c r="E62" s="219"/>
      <c r="F62" s="219"/>
      <c r="G62" s="219"/>
      <c r="H62" s="219"/>
      <c r="K62" s="52"/>
      <c r="L62" s="52"/>
      <c r="M62" s="52"/>
    </row>
    <row r="63" spans="3:25" ht="13.5" customHeight="1" x14ac:dyDescent="0.25">
      <c r="C63" s="874"/>
      <c r="D63" s="875"/>
      <c r="E63" s="119"/>
      <c r="F63" s="119"/>
      <c r="G63" s="119"/>
      <c r="H63" s="119"/>
      <c r="J63" s="876"/>
    </row>
    <row r="64" spans="3:25" ht="0.6" customHeight="1" x14ac:dyDescent="0.25">
      <c r="C64" s="874"/>
      <c r="D64" s="875"/>
      <c r="E64" s="226"/>
      <c r="F64" s="226"/>
      <c r="G64" s="226"/>
      <c r="H64" s="226"/>
      <c r="J64" s="876"/>
    </row>
    <row r="65" spans="3:10" ht="14.45" customHeight="1" x14ac:dyDescent="0.25">
      <c r="C65" s="191"/>
      <c r="D65" s="172"/>
      <c r="E65" s="228"/>
      <c r="F65" s="228"/>
      <c r="G65" s="228"/>
      <c r="H65" s="228"/>
      <c r="J65" s="876"/>
    </row>
    <row r="66" spans="3:10" x14ac:dyDescent="0.25">
      <c r="C66" s="191"/>
      <c r="D66" s="229"/>
      <c r="E66" s="230"/>
      <c r="F66" s="230"/>
      <c r="G66" s="103"/>
      <c r="H66" s="230"/>
      <c r="J66" s="83"/>
    </row>
    <row r="67" spans="3:10" x14ac:dyDescent="0.25">
      <c r="C67" s="881"/>
      <c r="D67" s="216"/>
      <c r="E67" s="103"/>
      <c r="F67" s="103"/>
      <c r="G67" s="103"/>
      <c r="H67" s="103"/>
      <c r="J67" s="83"/>
    </row>
    <row r="68" spans="3:10" x14ac:dyDescent="0.25">
      <c r="C68" s="881"/>
      <c r="D68" s="216"/>
      <c r="E68" s="103"/>
      <c r="F68" s="103"/>
      <c r="G68" s="103"/>
      <c r="H68" s="103"/>
    </row>
    <row r="69" spans="3:10" x14ac:dyDescent="0.25">
      <c r="C69" s="881"/>
      <c r="D69" s="232"/>
      <c r="E69" s="103"/>
      <c r="F69" s="103"/>
      <c r="G69" s="103"/>
      <c r="H69" s="103"/>
    </row>
    <row r="70" spans="3:10" x14ac:dyDescent="0.25">
      <c r="C70" s="881"/>
      <c r="D70" s="216"/>
      <c r="E70" s="103"/>
      <c r="F70" s="103"/>
      <c r="G70" s="103"/>
      <c r="H70" s="103"/>
    </row>
    <row r="71" spans="3:10" x14ac:dyDescent="0.25">
      <c r="C71" s="881"/>
      <c r="D71" s="216"/>
      <c r="E71" s="103"/>
      <c r="F71" s="103"/>
      <c r="G71" s="103"/>
      <c r="H71" s="103"/>
    </row>
    <row r="72" spans="3:10" x14ac:dyDescent="0.25">
      <c r="C72" s="881"/>
      <c r="D72" s="216"/>
      <c r="E72" s="103"/>
      <c r="F72" s="103"/>
      <c r="G72" s="103"/>
      <c r="H72" s="103"/>
    </row>
    <row r="73" spans="3:10" x14ac:dyDescent="0.25">
      <c r="C73" s="881"/>
      <c r="D73" s="216"/>
      <c r="E73" s="103"/>
      <c r="F73" s="103"/>
      <c r="G73" s="103"/>
      <c r="H73" s="103"/>
    </row>
    <row r="74" spans="3:10" x14ac:dyDescent="0.25">
      <c r="C74" s="881"/>
      <c r="D74" s="216"/>
      <c r="E74" s="103"/>
      <c r="F74" s="103"/>
      <c r="G74" s="103"/>
      <c r="H74" s="103"/>
    </row>
    <row r="75" spans="3:10" x14ac:dyDescent="0.25">
      <c r="C75" s="884"/>
      <c r="D75" s="216"/>
      <c r="E75" s="103"/>
      <c r="F75" s="103"/>
      <c r="G75" s="103"/>
      <c r="H75" s="103"/>
    </row>
    <row r="76" spans="3:10" x14ac:dyDescent="0.25">
      <c r="C76" s="884"/>
      <c r="D76" s="216"/>
      <c r="E76" s="103"/>
      <c r="F76" s="103"/>
      <c r="G76" s="103"/>
      <c r="H76" s="103"/>
    </row>
    <row r="77" spans="3:10" x14ac:dyDescent="0.25">
      <c r="C77" s="884"/>
      <c r="D77" s="215"/>
      <c r="E77" s="103"/>
      <c r="F77" s="103"/>
      <c r="G77" s="103"/>
      <c r="H77" s="103"/>
    </row>
    <row r="78" spans="3:10" x14ac:dyDescent="0.25">
      <c r="C78" s="881"/>
      <c r="D78" s="215"/>
      <c r="E78" s="103"/>
      <c r="F78" s="103"/>
      <c r="G78" s="103"/>
      <c r="H78" s="103"/>
    </row>
    <row r="79" spans="3:10" x14ac:dyDescent="0.25">
      <c r="C79" s="881"/>
      <c r="D79" s="232"/>
      <c r="E79" s="103"/>
      <c r="F79" s="103"/>
      <c r="G79" s="103"/>
      <c r="H79" s="103"/>
    </row>
    <row r="80" spans="3:10" x14ac:dyDescent="0.25">
      <c r="C80" s="881"/>
      <c r="D80" s="216"/>
      <c r="E80" s="103"/>
      <c r="F80" s="103"/>
      <c r="G80" s="103"/>
      <c r="H80" s="103"/>
    </row>
    <row r="81" spans="3:8" x14ac:dyDescent="0.25">
      <c r="C81" s="881"/>
      <c r="D81" s="215"/>
      <c r="E81" s="103"/>
      <c r="F81" s="103"/>
      <c r="G81" s="103"/>
      <c r="H81" s="103"/>
    </row>
    <row r="82" spans="3:8" x14ac:dyDescent="0.25">
      <c r="C82" s="881"/>
      <c r="D82" s="216"/>
      <c r="E82" s="103"/>
      <c r="F82" s="103"/>
      <c r="G82" s="103"/>
      <c r="H82" s="103"/>
    </row>
    <row r="83" spans="3:8" x14ac:dyDescent="0.25">
      <c r="C83" s="881"/>
      <c r="D83" s="215"/>
      <c r="E83" s="103"/>
      <c r="F83" s="103"/>
      <c r="G83" s="103"/>
      <c r="H83" s="103"/>
    </row>
    <row r="84" spans="3:8" ht="21.95" customHeight="1" x14ac:dyDescent="0.25">
      <c r="C84" s="892"/>
      <c r="D84" s="216"/>
      <c r="E84" s="103"/>
      <c r="F84" s="103"/>
      <c r="G84" s="103"/>
      <c r="H84" s="103"/>
    </row>
    <row r="85" spans="3:8" ht="22.5" customHeight="1" x14ac:dyDescent="0.25">
      <c r="C85" s="882"/>
      <c r="D85" s="216"/>
      <c r="E85" s="103"/>
      <c r="F85" s="103"/>
      <c r="G85" s="103"/>
      <c r="H85" s="103"/>
    </row>
    <row r="86" spans="3:8" ht="28.5" customHeight="1" x14ac:dyDescent="0.25">
      <c r="C86" s="893"/>
      <c r="D86" s="216"/>
      <c r="E86" s="103"/>
      <c r="F86" s="103"/>
      <c r="G86" s="103"/>
      <c r="H86" s="103"/>
    </row>
    <row r="87" spans="3:8" ht="27.6" customHeight="1" thickBot="1" x14ac:dyDescent="0.3">
      <c r="C87" s="894"/>
      <c r="D87" s="218"/>
      <c r="E87" s="103"/>
      <c r="F87" s="103"/>
      <c r="G87" s="103"/>
      <c r="H87" s="103"/>
    </row>
    <row r="88" spans="3:8" x14ac:dyDescent="0.25">
      <c r="C88" s="214"/>
      <c r="D88" s="218"/>
      <c r="E88" s="219"/>
      <c r="F88" s="219"/>
      <c r="G88" s="219"/>
      <c r="H88" s="219"/>
    </row>
  </sheetData>
  <sheetProtection algorithmName="SHA-512" hashValue="1m3OBHQIQCr3loECBgveqhzLf1PTP3mH+kRf6mMMiwAl/T65d9qOt6Ug6fna5m6SrTcrtP17d2vWIXmoaksWgg==" saltValue="u7jm+65XRTBkBoqVQGnVzw==" spinCount="100000" sheet="1" selectLockedCells="1"/>
  <mergeCells count="38">
    <mergeCell ref="C84:C85"/>
    <mergeCell ref="C86:C87"/>
    <mergeCell ref="C2:G2"/>
    <mergeCell ref="C72:C74"/>
    <mergeCell ref="C75:C77"/>
    <mergeCell ref="C78:C83"/>
    <mergeCell ref="C63:C64"/>
    <mergeCell ref="D63:D64"/>
    <mergeCell ref="C4:E4"/>
    <mergeCell ref="C5:H5"/>
    <mergeCell ref="C19:C21"/>
    <mergeCell ref="C22:C27"/>
    <mergeCell ref="C11:C18"/>
    <mergeCell ref="R60:R61"/>
    <mergeCell ref="T60:T61"/>
    <mergeCell ref="Q60:Q61"/>
    <mergeCell ref="C28:C31"/>
    <mergeCell ref="C7:C8"/>
    <mergeCell ref="D7:D8"/>
    <mergeCell ref="G7:H7"/>
    <mergeCell ref="J63:J65"/>
    <mergeCell ref="C67:C71"/>
    <mergeCell ref="C46:C48"/>
    <mergeCell ref="C49:C51"/>
    <mergeCell ref="C52:C57"/>
    <mergeCell ref="C58:C59"/>
    <mergeCell ref="C60:C61"/>
    <mergeCell ref="A41:A42"/>
    <mergeCell ref="C41:C45"/>
    <mergeCell ref="Q34:T34"/>
    <mergeCell ref="C34:H34"/>
    <mergeCell ref="J34:O34"/>
    <mergeCell ref="A7:A8"/>
    <mergeCell ref="A10:A11"/>
    <mergeCell ref="V34:Y34"/>
    <mergeCell ref="C37:C38"/>
    <mergeCell ref="D37:D38"/>
    <mergeCell ref="J37:J39"/>
  </mergeCells>
  <conditionalFormatting sqref="D10:D27">
    <cfRule type="cellIs" dxfId="220" priority="9" operator="equal">
      <formula>0</formula>
    </cfRule>
  </conditionalFormatting>
  <conditionalFormatting sqref="E10:E27">
    <cfRule type="containsBlanks" dxfId="219" priority="31">
      <formula>LEN(TRIM(E10))=0</formula>
    </cfRule>
  </conditionalFormatting>
  <conditionalFormatting sqref="F10:F27">
    <cfRule type="cellIs" dxfId="218" priority="3" operator="equal">
      <formula>"N/A"</formula>
    </cfRule>
  </conditionalFormatting>
  <conditionalFormatting sqref="G10:H27">
    <cfRule type="cellIs" dxfId="217" priority="14" operator="equal">
      <formula>"N/A"</formula>
    </cfRule>
  </conditionalFormatting>
  <conditionalFormatting sqref="H10:H27">
    <cfRule type="cellIs" dxfId="216" priority="16" operator="equal">
      <formula>"Low"</formula>
    </cfRule>
    <cfRule type="cellIs" dxfId="215" priority="17" operator="equal">
      <formula>"Medium"</formula>
    </cfRule>
    <cfRule type="cellIs" dxfId="214" priority="24" operator="equal">
      <formula>"High"</formula>
    </cfRule>
  </conditionalFormatting>
  <conditionalFormatting sqref="K25:K31">
    <cfRule type="cellIs" dxfId="213" priority="19" operator="equal">
      <formula>"Low"</formula>
    </cfRule>
    <cfRule type="cellIs" dxfId="212" priority="20" operator="equal">
      <formula>"Medium"</formula>
    </cfRule>
    <cfRule type="cellIs" dxfId="211" priority="21" operator="equal">
      <formula>"High"</formula>
    </cfRule>
  </conditionalFormatting>
  <conditionalFormatting sqref="W38:W40">
    <cfRule type="cellIs" dxfId="210" priority="28" operator="equal">
      <formula>"Low"</formula>
    </cfRule>
    <cfRule type="cellIs" dxfId="209" priority="29" operator="equal">
      <formula>"Medium"</formula>
    </cfRule>
    <cfRule type="cellIs" dxfId="208" priority="30" operator="equal">
      <formula>"High"</formula>
    </cfRule>
  </conditionalFormatting>
  <conditionalFormatting sqref="Y38:Y40">
    <cfRule type="cellIs" dxfId="207" priority="25" operator="equal">
      <formula>"Low"</formula>
    </cfRule>
    <cfRule type="cellIs" dxfId="206" priority="26" operator="equal">
      <formula>"Medium"</formula>
    </cfRule>
    <cfRule type="cellIs" dxfId="205" priority="27"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433D-67C5-47C9-A35E-9A6D34204376}">
  <sheetPr codeName="Sheet5">
    <tabColor rgb="FF00B0F0"/>
  </sheetPr>
  <dimension ref="A2:AC75"/>
  <sheetViews>
    <sheetView zoomScale="70" zoomScaleNormal="70" workbookViewId="0">
      <selection activeCell="I14" sqref="I14"/>
    </sheetView>
  </sheetViews>
  <sheetFormatPr defaultColWidth="9.140625" defaultRowHeight="15" x14ac:dyDescent="0.25"/>
  <cols>
    <col min="1" max="1" width="41.5703125" style="29" customWidth="1"/>
    <col min="2" max="2" width="3.85546875" style="191" customWidth="1"/>
    <col min="3" max="3" width="5.85546875" style="29" customWidth="1"/>
    <col min="4" max="4" width="64.85546875" style="29" customWidth="1"/>
    <col min="5" max="6" width="23.28515625" style="29" customWidth="1"/>
    <col min="7" max="7" width="22.42578125" style="29" customWidth="1"/>
    <col min="8" max="8" width="20.5703125" style="29" customWidth="1"/>
    <col min="9" max="9" width="26.5703125" style="29" customWidth="1"/>
    <col min="10" max="10" width="26.7109375" style="29" customWidth="1"/>
    <col min="11" max="11" width="23.7109375" style="29" customWidth="1"/>
    <col min="12" max="12" width="21.5703125" style="29" customWidth="1"/>
    <col min="13" max="15" width="16.140625" style="29" customWidth="1"/>
    <col min="16" max="16" width="22.5703125" style="29" customWidth="1"/>
    <col min="17" max="17" width="23.7109375" style="29" customWidth="1"/>
    <col min="18" max="18" width="16.140625" style="29" customWidth="1"/>
    <col min="19" max="19" width="20.42578125" style="29" customWidth="1"/>
    <col min="20" max="21" width="16.140625" style="29" customWidth="1"/>
    <col min="22" max="22" width="24.42578125" style="29" customWidth="1"/>
    <col min="23" max="23" width="1.85546875" style="29" customWidth="1"/>
    <col min="24" max="24" width="32.42578125" style="29" customWidth="1"/>
    <col min="25" max="25" width="10.85546875" style="29" customWidth="1"/>
    <col min="26" max="26" width="42.42578125" style="29" customWidth="1"/>
    <col min="27" max="16384" width="9.140625" style="29"/>
  </cols>
  <sheetData>
    <row r="2" spans="1:29" ht="32.25" customHeight="1" x14ac:dyDescent="0.3">
      <c r="D2" s="91" t="s">
        <v>135</v>
      </c>
      <c r="E2" s="91"/>
      <c r="F2" s="91"/>
      <c r="G2" s="91"/>
      <c r="X2" s="6"/>
      <c r="Y2" s="6"/>
      <c r="Z2" s="6"/>
      <c r="AA2" s="6"/>
      <c r="AB2" s="6"/>
    </row>
    <row r="3" spans="1:29" ht="41.45" customHeight="1" thickBot="1" x14ac:dyDescent="0.5">
      <c r="D3" s="242" t="s">
        <v>136</v>
      </c>
      <c r="E3" s="242"/>
      <c r="F3" s="242"/>
      <c r="G3" s="242"/>
      <c r="H3" s="242"/>
      <c r="I3" s="205"/>
      <c r="J3" s="205"/>
      <c r="K3" s="205"/>
      <c r="L3" s="205"/>
      <c r="M3" s="205"/>
      <c r="N3" s="205"/>
      <c r="O3" s="205"/>
      <c r="P3" s="205"/>
      <c r="Q3" s="205"/>
      <c r="R3" s="205"/>
      <c r="S3" s="205"/>
      <c r="T3" s="205"/>
      <c r="U3" s="205"/>
      <c r="V3" s="205"/>
      <c r="X3" s="6"/>
      <c r="Y3" s="6"/>
      <c r="Z3" s="6"/>
      <c r="AA3" s="6"/>
      <c r="AB3" s="6"/>
    </row>
    <row r="4" spans="1:29" ht="24" customHeight="1" thickTop="1" x14ac:dyDescent="0.45">
      <c r="B4" s="36"/>
      <c r="D4" s="73"/>
      <c r="E4" s="35"/>
      <c r="F4" s="35"/>
      <c r="G4" s="35"/>
      <c r="H4" s="35"/>
      <c r="X4" s="6"/>
      <c r="Y4" s="6"/>
      <c r="Z4" s="6"/>
      <c r="AA4" s="6"/>
      <c r="AB4" s="6"/>
    </row>
    <row r="5" spans="1:29" ht="17.45" customHeight="1" x14ac:dyDescent="0.45">
      <c r="A5" s="36"/>
      <c r="B5" s="96"/>
      <c r="C5" s="37"/>
      <c r="D5" s="243"/>
      <c r="E5" s="35"/>
      <c r="F5" s="35"/>
      <c r="G5" s="35"/>
      <c r="H5" s="35"/>
      <c r="Q5" s="907" t="s">
        <v>137</v>
      </c>
      <c r="R5" s="907"/>
      <c r="S5" s="907"/>
      <c r="T5" s="907"/>
      <c r="U5" s="907"/>
      <c r="V5" s="907"/>
      <c r="X5" s="6"/>
      <c r="Y5" s="6"/>
      <c r="Z5" s="6"/>
      <c r="AA5" s="6"/>
      <c r="AB5" s="6"/>
    </row>
    <row r="6" spans="1:29" ht="19.5" customHeight="1" x14ac:dyDescent="0.45">
      <c r="A6" s="244"/>
      <c r="B6" s="96"/>
      <c r="C6" s="37"/>
      <c r="D6" s="291" t="s">
        <v>138</v>
      </c>
      <c r="E6" s="292"/>
      <c r="F6" s="292"/>
      <c r="G6" s="292"/>
      <c r="H6" s="292"/>
      <c r="I6" s="6"/>
      <c r="J6" s="6"/>
      <c r="K6" s="6"/>
      <c r="L6" s="6"/>
      <c r="M6" s="6"/>
      <c r="N6" s="6"/>
      <c r="O6" s="6"/>
      <c r="P6" s="6"/>
      <c r="Q6" s="908" t="str">
        <f>'Water_Soil-Step 2'!G5</f>
        <v>Small Residential/Office/Shop</v>
      </c>
      <c r="R6" s="908"/>
      <c r="S6" s="908"/>
      <c r="T6" s="908"/>
      <c r="U6" s="908"/>
      <c r="V6" s="908"/>
      <c r="X6" s="6"/>
      <c r="Y6" s="6"/>
      <c r="Z6" s="6"/>
      <c r="AA6" s="6"/>
      <c r="AB6" s="6"/>
    </row>
    <row r="7" spans="1:29" ht="6.6" customHeight="1" x14ac:dyDescent="0.45">
      <c r="A7" s="36"/>
      <c r="B7" s="96"/>
      <c r="C7" s="37"/>
      <c r="D7" s="291"/>
      <c r="E7" s="292"/>
      <c r="F7" s="292"/>
      <c r="G7" s="292"/>
      <c r="H7" s="292"/>
      <c r="I7" s="6"/>
      <c r="J7" s="6"/>
      <c r="K7" s="6"/>
      <c r="L7" s="6"/>
      <c r="M7" s="6"/>
      <c r="N7" s="6"/>
      <c r="O7" s="6"/>
      <c r="P7" s="6"/>
      <c r="Q7" s="6"/>
      <c r="R7" s="909"/>
      <c r="S7" s="909"/>
      <c r="T7" s="909"/>
      <c r="U7" s="909"/>
      <c r="V7" s="909"/>
      <c r="X7" s="6"/>
      <c r="Y7" s="6"/>
      <c r="Z7" s="6"/>
      <c r="AA7" s="6"/>
      <c r="AB7" s="6"/>
    </row>
    <row r="8" spans="1:29" ht="27.75" customHeight="1" x14ac:dyDescent="0.25">
      <c r="A8" s="867"/>
      <c r="B8" s="96"/>
      <c r="D8" s="417"/>
      <c r="E8" s="569"/>
      <c r="F8" s="902" t="s">
        <v>115</v>
      </c>
      <c r="G8" s="903"/>
      <c r="H8" s="903"/>
      <c r="I8" s="903"/>
      <c r="J8" s="903"/>
      <c r="K8" s="903"/>
      <c r="L8" s="903"/>
      <c r="M8" s="904"/>
      <c r="N8" s="900" t="s">
        <v>118</v>
      </c>
      <c r="O8" s="901"/>
      <c r="P8" s="914"/>
      <c r="Q8" s="900" t="s">
        <v>119</v>
      </c>
      <c r="R8" s="901"/>
      <c r="S8" s="901"/>
      <c r="T8" s="901"/>
      <c r="U8" s="901"/>
      <c r="V8" s="901"/>
      <c r="W8" s="78"/>
      <c r="X8" s="6"/>
      <c r="Y8" s="6"/>
      <c r="Z8" s="6"/>
      <c r="AA8" s="6"/>
      <c r="AB8" s="6"/>
    </row>
    <row r="9" spans="1:29" ht="64.5" customHeight="1" thickBot="1" x14ac:dyDescent="0.3">
      <c r="A9" s="867"/>
      <c r="B9" s="245"/>
      <c r="D9" s="418" t="s">
        <v>139</v>
      </c>
      <c r="E9" s="293" t="str" cm="1">
        <f t="array" ref="E9:V9">TRANSPOSE('Water_Soil-Step 3'!D10:D27)</f>
        <v>ALL COMPONENTS - Simplified assessment</v>
      </c>
      <c r="F9" s="293">
        <v>0</v>
      </c>
      <c r="G9" s="293">
        <v>0</v>
      </c>
      <c r="H9" s="293">
        <v>0</v>
      </c>
      <c r="I9" s="293">
        <v>0</v>
      </c>
      <c r="J9" s="293">
        <v>0</v>
      </c>
      <c r="K9" s="293">
        <v>0</v>
      </c>
      <c r="L9" s="293">
        <v>0</v>
      </c>
      <c r="M9" s="293">
        <v>0</v>
      </c>
      <c r="N9" s="293" t="e" vm="2">
        <v>#VALUE!</v>
      </c>
      <c r="O9" s="293">
        <v>0</v>
      </c>
      <c r="P9" s="293">
        <v>0</v>
      </c>
      <c r="Q9" s="293">
        <v>0</v>
      </c>
      <c r="R9" s="293">
        <v>0</v>
      </c>
      <c r="S9" s="293">
        <v>0</v>
      </c>
      <c r="T9" s="293">
        <v>0</v>
      </c>
      <c r="U9" s="293">
        <v>0</v>
      </c>
      <c r="V9" s="293">
        <v>0</v>
      </c>
      <c r="W9" s="78"/>
      <c r="X9" s="6"/>
      <c r="Y9" s="6"/>
      <c r="Z9" s="6"/>
      <c r="AA9" s="6"/>
      <c r="AB9" s="6"/>
    </row>
    <row r="10" spans="1:29" ht="48.6" customHeight="1" thickBot="1" x14ac:dyDescent="0.3">
      <c r="A10" s="867"/>
      <c r="B10" s="246"/>
      <c r="C10" s="247" t="s">
        <v>140</v>
      </c>
      <c r="D10" s="294" t="s">
        <v>141</v>
      </c>
      <c r="E10" s="570" t="e" cm="1">
        <f t="array" ref="E10:V10">TRANSPOSE('Water_Soil-Step 3'!H10:H27)</f>
        <v>#DIV/0!</v>
      </c>
      <c r="F10" s="295" t="str">
        <v>N/A</v>
      </c>
      <c r="G10" s="295" t="str">
        <v>N/A</v>
      </c>
      <c r="H10" s="295" t="str">
        <v>N/A</v>
      </c>
      <c r="I10" s="295" t="str">
        <v>N/A</v>
      </c>
      <c r="J10" s="295" t="str">
        <v>N/A</v>
      </c>
      <c r="K10" s="296" t="str">
        <v>N/A</v>
      </c>
      <c r="L10" s="296" t="str">
        <v>N/A</v>
      </c>
      <c r="M10" s="296" t="str">
        <v>N/A</v>
      </c>
      <c r="N10" s="296" t="e" vm="2">
        <v>#VALUE!</v>
      </c>
      <c r="O10" s="296" t="str">
        <v>N/A</v>
      </c>
      <c r="P10" s="296" t="str">
        <v>N/A</v>
      </c>
      <c r="Q10" s="296" t="str">
        <v>N/A</v>
      </c>
      <c r="R10" s="296" t="str">
        <v>N/A</v>
      </c>
      <c r="S10" s="296" t="str">
        <v>N/A</v>
      </c>
      <c r="T10" s="296" t="str">
        <v>N/A</v>
      </c>
      <c r="U10" s="296" t="str">
        <v>N/A</v>
      </c>
      <c r="V10" s="296" t="str">
        <v>N/A</v>
      </c>
      <c r="W10" s="78"/>
      <c r="X10" s="19" t="s">
        <v>142</v>
      </c>
      <c r="Y10" s="19"/>
      <c r="Z10" s="19"/>
      <c r="AA10" s="19"/>
      <c r="AB10" s="19"/>
    </row>
    <row r="11" spans="1:29" ht="34.5" customHeight="1" x14ac:dyDescent="0.25">
      <c r="A11" s="867"/>
      <c r="B11" s="249"/>
      <c r="C11" s="74" t="s">
        <v>143</v>
      </c>
      <c r="D11" s="294" t="s">
        <v>144</v>
      </c>
      <c r="E11" s="297"/>
      <c r="F11" s="297"/>
      <c r="G11" s="297"/>
      <c r="H11" s="297"/>
      <c r="I11" s="297"/>
      <c r="J11" s="297"/>
      <c r="K11" s="297"/>
      <c r="L11" s="297"/>
      <c r="M11" s="297"/>
      <c r="N11" s="297"/>
      <c r="O11" s="297"/>
      <c r="P11" s="297"/>
      <c r="Q11" s="297"/>
      <c r="R11" s="297"/>
      <c r="S11" s="297"/>
      <c r="T11" s="297"/>
      <c r="U11" s="297"/>
      <c r="V11" s="297"/>
      <c r="X11" s="19"/>
      <c r="Y11" s="19"/>
      <c r="Z11" s="19"/>
      <c r="AA11" s="19"/>
      <c r="AB11" s="19"/>
    </row>
    <row r="12" spans="1:29" ht="23.45" customHeight="1" x14ac:dyDescent="0.25">
      <c r="A12" s="923"/>
      <c r="C12" s="74"/>
      <c r="D12" s="421" t="s">
        <v>145</v>
      </c>
      <c r="E12" s="252"/>
      <c r="F12" s="252"/>
      <c r="G12" s="252"/>
      <c r="H12" s="252"/>
      <c r="I12" s="252"/>
      <c r="J12" s="252"/>
      <c r="K12" s="252"/>
      <c r="L12" s="252"/>
      <c r="M12" s="252"/>
      <c r="N12" s="252"/>
      <c r="O12" s="252"/>
      <c r="P12" s="252"/>
      <c r="Q12" s="252"/>
      <c r="R12" s="252"/>
      <c r="S12" s="252"/>
      <c r="T12" s="252"/>
      <c r="U12" s="252"/>
      <c r="V12" s="252"/>
      <c r="X12" s="19"/>
      <c r="Y12" s="19"/>
      <c r="Z12" s="19"/>
      <c r="AA12" s="19"/>
      <c r="AB12" s="19"/>
    </row>
    <row r="13" spans="1:29" ht="36.950000000000003" customHeight="1" x14ac:dyDescent="0.25">
      <c r="A13" s="854"/>
      <c r="B13" s="253"/>
      <c r="D13" s="747"/>
      <c r="E13" s="745"/>
      <c r="F13" s="255"/>
      <c r="G13" s="255"/>
      <c r="H13" s="255"/>
      <c r="I13" s="255"/>
      <c r="J13" s="255"/>
      <c r="K13" s="255"/>
      <c r="L13" s="256"/>
      <c r="M13" s="257"/>
      <c r="N13" s="255"/>
      <c r="O13" s="255"/>
      <c r="P13" s="255"/>
      <c r="Q13" s="255"/>
      <c r="R13" s="255"/>
      <c r="S13" s="255"/>
      <c r="T13" s="255"/>
      <c r="U13" s="255"/>
      <c r="V13" s="255"/>
      <c r="X13" s="19"/>
      <c r="Y13" s="19"/>
      <c r="Z13" s="19"/>
      <c r="AA13" s="19"/>
      <c r="AB13" s="19"/>
    </row>
    <row r="14" spans="1:29" ht="28.5" customHeight="1" x14ac:dyDescent="0.25">
      <c r="A14" s="854"/>
      <c r="B14" s="246"/>
      <c r="D14" s="748"/>
      <c r="E14" s="745"/>
      <c r="F14" s="255"/>
      <c r="G14" s="255"/>
      <c r="H14" s="255"/>
      <c r="I14" s="255"/>
      <c r="J14" s="255"/>
      <c r="K14" s="255"/>
      <c r="L14" s="258"/>
      <c r="M14" s="259"/>
      <c r="N14" s="255"/>
      <c r="O14" s="255"/>
      <c r="P14" s="255"/>
      <c r="Q14" s="255"/>
      <c r="R14" s="255"/>
      <c r="S14" s="255"/>
      <c r="T14" s="255"/>
      <c r="U14" s="255"/>
      <c r="V14" s="255"/>
      <c r="X14" s="751"/>
      <c r="Y14" s="751"/>
      <c r="Z14" s="751"/>
      <c r="AA14" s="751"/>
      <c r="AB14" s="751"/>
      <c r="AC14" s="754"/>
    </row>
    <row r="15" spans="1:29" ht="26.45" customHeight="1" x14ac:dyDescent="0.25">
      <c r="A15" s="854"/>
      <c r="B15" s="260"/>
      <c r="D15" s="749"/>
      <c r="E15" s="745"/>
      <c r="F15" s="255"/>
      <c r="G15" s="255"/>
      <c r="H15" s="255"/>
      <c r="I15" s="255"/>
      <c r="J15" s="255"/>
      <c r="K15" s="255"/>
      <c r="L15" s="258"/>
      <c r="M15" s="258"/>
      <c r="N15" s="255"/>
      <c r="O15" s="255"/>
      <c r="P15" s="255"/>
      <c r="Q15" s="255"/>
      <c r="R15" s="255"/>
      <c r="S15" s="255"/>
      <c r="T15" s="255"/>
      <c r="U15" s="255"/>
      <c r="V15" s="255"/>
      <c r="X15" s="751"/>
      <c r="Y15" s="751"/>
      <c r="Z15" s="751"/>
      <c r="AA15" s="751"/>
      <c r="AB15" s="751"/>
      <c r="AC15" s="754"/>
    </row>
    <row r="16" spans="1:29" ht="24.6" customHeight="1" x14ac:dyDescent="0.25">
      <c r="A16" s="854"/>
      <c r="B16" s="260"/>
      <c r="D16" s="750"/>
      <c r="E16" s="746"/>
      <c r="F16" s="261"/>
      <c r="G16" s="261"/>
      <c r="H16" s="261"/>
      <c r="I16" s="261"/>
      <c r="J16" s="261"/>
      <c r="K16" s="261"/>
      <c r="L16" s="262"/>
      <c r="M16" s="262"/>
      <c r="N16" s="261"/>
      <c r="O16" s="261"/>
      <c r="P16" s="261"/>
      <c r="Q16" s="261"/>
      <c r="R16" s="261"/>
      <c r="S16" s="261"/>
      <c r="T16" s="261"/>
      <c r="U16" s="261"/>
      <c r="V16" s="261"/>
      <c r="X16" s="751"/>
      <c r="Y16" s="751"/>
      <c r="Z16" s="751"/>
      <c r="AA16" s="751"/>
      <c r="AB16" s="751"/>
      <c r="AC16" s="754"/>
    </row>
    <row r="17" spans="1:29" ht="23.1" customHeight="1" x14ac:dyDescent="0.25">
      <c r="A17" s="854"/>
      <c r="B17" s="260"/>
      <c r="D17" s="254"/>
      <c r="E17" s="261"/>
      <c r="F17" s="261"/>
      <c r="G17" s="261"/>
      <c r="H17" s="261"/>
      <c r="I17" s="261"/>
      <c r="J17" s="261"/>
      <c r="K17" s="261"/>
      <c r="L17" s="262"/>
      <c r="M17" s="262"/>
      <c r="N17" s="261"/>
      <c r="O17" s="261"/>
      <c r="P17" s="261"/>
      <c r="Q17" s="261"/>
      <c r="R17" s="261"/>
      <c r="S17" s="261"/>
      <c r="T17" s="261"/>
      <c r="U17" s="261"/>
      <c r="V17" s="261"/>
      <c r="X17" s="751"/>
      <c r="Y17" s="751"/>
      <c r="Z17" s="751"/>
      <c r="AA17" s="751"/>
      <c r="AB17" s="751"/>
      <c r="AC17" s="754"/>
    </row>
    <row r="18" spans="1:29" ht="21.6" customHeight="1" x14ac:dyDescent="0.25">
      <c r="A18" s="854"/>
      <c r="B18" s="260"/>
      <c r="D18" s="254"/>
      <c r="E18" s="261"/>
      <c r="F18" s="261"/>
      <c r="G18" s="261"/>
      <c r="H18" s="261"/>
      <c r="I18" s="261"/>
      <c r="J18" s="261"/>
      <c r="K18" s="261"/>
      <c r="L18" s="262"/>
      <c r="M18" s="262"/>
      <c r="N18" s="261"/>
      <c r="O18" s="261"/>
      <c r="P18" s="261"/>
      <c r="Q18" s="261"/>
      <c r="R18" s="261"/>
      <c r="S18" s="261"/>
      <c r="T18" s="261"/>
      <c r="U18" s="261"/>
      <c r="V18" s="261"/>
      <c r="X18" s="751"/>
      <c r="Y18" s="751"/>
      <c r="Z18" s="751"/>
      <c r="AA18" s="751"/>
      <c r="AB18" s="751"/>
      <c r="AC18" s="754"/>
    </row>
    <row r="19" spans="1:29" ht="18.600000000000001" customHeight="1" x14ac:dyDescent="0.25">
      <c r="A19" s="854"/>
      <c r="B19" s="260"/>
      <c r="D19" s="254" t="s">
        <v>147</v>
      </c>
      <c r="E19" s="261"/>
      <c r="F19" s="261"/>
      <c r="G19" s="261"/>
      <c r="H19" s="261"/>
      <c r="I19" s="261"/>
      <c r="J19" s="261"/>
      <c r="K19" s="261"/>
      <c r="L19" s="262"/>
      <c r="M19" s="262"/>
      <c r="N19" s="261"/>
      <c r="O19" s="261"/>
      <c r="P19" s="261"/>
      <c r="Q19" s="261"/>
      <c r="R19" s="261"/>
      <c r="S19" s="261"/>
      <c r="T19" s="261"/>
      <c r="U19" s="261"/>
      <c r="V19" s="261"/>
      <c r="X19" s="751"/>
      <c r="Y19" s="751"/>
      <c r="Z19" s="751"/>
      <c r="AA19" s="751"/>
      <c r="AB19" s="751"/>
      <c r="AC19" s="754"/>
    </row>
    <row r="20" spans="1:29" ht="20.45" customHeight="1" x14ac:dyDescent="0.25">
      <c r="A20" s="854"/>
      <c r="B20" s="260"/>
      <c r="D20" s="254" t="s">
        <v>147</v>
      </c>
      <c r="E20" s="261"/>
      <c r="F20" s="261"/>
      <c r="G20" s="261"/>
      <c r="H20" s="261"/>
      <c r="I20" s="261"/>
      <c r="J20" s="261"/>
      <c r="K20" s="261"/>
      <c r="L20" s="262"/>
      <c r="M20" s="262"/>
      <c r="N20" s="261"/>
      <c r="O20" s="261"/>
      <c r="P20" s="261"/>
      <c r="Q20" s="261"/>
      <c r="R20" s="261"/>
      <c r="S20" s="261"/>
      <c r="T20" s="261"/>
      <c r="U20" s="261"/>
      <c r="V20" s="261"/>
      <c r="X20" s="751"/>
      <c r="Y20" s="751"/>
      <c r="Z20" s="751"/>
      <c r="AA20" s="751"/>
      <c r="AB20" s="751"/>
      <c r="AC20" s="754"/>
    </row>
    <row r="21" spans="1:29" ht="20.45" customHeight="1" x14ac:dyDescent="0.25">
      <c r="A21" s="854"/>
      <c r="B21" s="260"/>
      <c r="D21" s="254" t="s">
        <v>147</v>
      </c>
      <c r="E21" s="261"/>
      <c r="F21" s="261"/>
      <c r="G21" s="261"/>
      <c r="H21" s="261"/>
      <c r="I21" s="261"/>
      <c r="J21" s="261"/>
      <c r="K21" s="261"/>
      <c r="L21" s="262"/>
      <c r="M21" s="262"/>
      <c r="N21" s="261"/>
      <c r="O21" s="261"/>
      <c r="P21" s="261"/>
      <c r="Q21" s="261"/>
      <c r="R21" s="261"/>
      <c r="S21" s="261"/>
      <c r="T21" s="261"/>
      <c r="U21" s="261"/>
      <c r="V21" s="261"/>
      <c r="X21" s="752"/>
      <c r="Y21" s="752"/>
      <c r="Z21" s="752"/>
      <c r="AA21" s="753"/>
      <c r="AB21" s="751"/>
      <c r="AC21" s="754"/>
    </row>
    <row r="22" spans="1:29" ht="24.95" customHeight="1" thickBot="1" x14ac:dyDescent="0.3">
      <c r="A22" s="854"/>
      <c r="B22" s="260"/>
      <c r="D22" s="263" t="s">
        <v>147</v>
      </c>
      <c r="E22" s="261"/>
      <c r="F22" s="261"/>
      <c r="G22" s="261"/>
      <c r="H22" s="261"/>
      <c r="I22" s="261"/>
      <c r="J22" s="261"/>
      <c r="K22" s="261"/>
      <c r="L22" s="261"/>
      <c r="M22" s="261"/>
      <c r="N22" s="261"/>
      <c r="O22" s="261"/>
      <c r="P22" s="261"/>
      <c r="Q22" s="261"/>
      <c r="R22" s="261"/>
      <c r="S22" s="261"/>
      <c r="T22" s="261"/>
      <c r="U22" s="261"/>
      <c r="V22" s="261"/>
      <c r="X22" s="752"/>
      <c r="Y22" s="752"/>
      <c r="Z22" s="752"/>
      <c r="AA22" s="751"/>
      <c r="AB22" s="751"/>
      <c r="AC22" s="754"/>
    </row>
    <row r="23" spans="1:29" ht="18.600000000000001" customHeight="1" x14ac:dyDescent="0.25">
      <c r="A23" s="854"/>
      <c r="B23" s="253"/>
      <c r="C23" s="47" t="s">
        <v>148</v>
      </c>
      <c r="D23" s="264" t="s">
        <v>149</v>
      </c>
      <c r="E23" s="905"/>
      <c r="F23" s="905" t="s">
        <v>117</v>
      </c>
      <c r="G23" s="905" t="s">
        <v>117</v>
      </c>
      <c r="H23" s="905" t="s">
        <v>117</v>
      </c>
      <c r="I23" s="905" t="s">
        <v>117</v>
      </c>
      <c r="J23" s="905" t="s">
        <v>117</v>
      </c>
      <c r="K23" s="905" t="s">
        <v>117</v>
      </c>
      <c r="L23" s="905" t="s">
        <v>117</v>
      </c>
      <c r="M23" s="905" t="s">
        <v>117</v>
      </c>
      <c r="N23" s="905" t="s">
        <v>142</v>
      </c>
      <c r="O23" s="905" t="s">
        <v>117</v>
      </c>
      <c r="P23" s="905" t="s">
        <v>117</v>
      </c>
      <c r="Q23" s="905" t="s">
        <v>117</v>
      </c>
      <c r="R23" s="905" t="s">
        <v>117</v>
      </c>
      <c r="S23" s="905" t="s">
        <v>117</v>
      </c>
      <c r="T23" s="905" t="s">
        <v>117</v>
      </c>
      <c r="U23" s="905" t="s">
        <v>117</v>
      </c>
      <c r="V23" s="905" t="s">
        <v>117</v>
      </c>
      <c r="X23" s="752"/>
      <c r="Y23" s="752"/>
      <c r="Z23" s="752"/>
      <c r="AA23" s="754"/>
      <c r="AB23" s="751"/>
      <c r="AC23" s="754"/>
    </row>
    <row r="24" spans="1:29" ht="48.6" customHeight="1" thickBot="1" x14ac:dyDescent="0.3">
      <c r="A24" s="854"/>
      <c r="B24" s="253"/>
      <c r="C24" s="47"/>
      <c r="D24" s="422" t="s">
        <v>150</v>
      </c>
      <c r="E24" s="906"/>
      <c r="F24" s="906"/>
      <c r="G24" s="906"/>
      <c r="H24" s="906"/>
      <c r="I24" s="906"/>
      <c r="J24" s="906"/>
      <c r="K24" s="906"/>
      <c r="L24" s="906"/>
      <c r="M24" s="906"/>
      <c r="N24" s="906"/>
      <c r="O24" s="906"/>
      <c r="P24" s="906"/>
      <c r="Q24" s="906"/>
      <c r="R24" s="906"/>
      <c r="S24" s="906"/>
      <c r="T24" s="906"/>
      <c r="U24" s="906"/>
      <c r="V24" s="906"/>
      <c r="X24" s="437"/>
      <c r="Y24" s="437"/>
      <c r="Z24" s="437" t="e" cm="1">
        <f t="array" ref="Z24">IF(MAX(Y25:Y27)=0,E25,INDEX(X25:X27,Z25,1))</f>
        <v>#DIV/0!</v>
      </c>
      <c r="AA24" s="754"/>
      <c r="AB24" s="751"/>
      <c r="AC24" s="754"/>
    </row>
    <row r="25" spans="1:29" ht="51.6" customHeight="1" thickBot="1" x14ac:dyDescent="0.3">
      <c r="A25" s="854"/>
      <c r="B25" s="265"/>
      <c r="C25" s="131" t="s">
        <v>151</v>
      </c>
      <c r="D25" s="298" t="s">
        <v>152</v>
      </c>
      <c r="E25" s="299" t="e">
        <f>IF(E10="N/A","N/A",IF(E23="N/A",E10,IF(E23="High","Low",IF(E10="High","Medium","Low"))))</f>
        <v>#DIV/0!</v>
      </c>
      <c r="F25" s="299" t="str">
        <f t="shared" ref="F25:V25" si="0">IF(F10="N/A","N/A",IF(F23="N/A",F10,IF(F23="High","Low",IF(F10="High","Medium","Low"))))</f>
        <v>N/A</v>
      </c>
      <c r="G25" s="299" t="str">
        <f t="shared" si="0"/>
        <v>N/A</v>
      </c>
      <c r="H25" s="299" t="str">
        <f t="shared" si="0"/>
        <v>N/A</v>
      </c>
      <c r="I25" s="299" t="str">
        <f t="shared" si="0"/>
        <v>N/A</v>
      </c>
      <c r="J25" s="299" t="str">
        <f t="shared" si="0"/>
        <v>N/A</v>
      </c>
      <c r="K25" s="299" t="str">
        <f t="shared" si="0"/>
        <v>N/A</v>
      </c>
      <c r="L25" s="299" t="str">
        <f t="shared" si="0"/>
        <v>N/A</v>
      </c>
      <c r="M25" s="299" t="str">
        <f t="shared" si="0"/>
        <v>N/A</v>
      </c>
      <c r="N25" s="299" t="e" vm="2">
        <f t="shared" si="0"/>
        <v>#VALUE!</v>
      </c>
      <c r="O25" s="299" t="str">
        <f t="shared" si="0"/>
        <v>N/A</v>
      </c>
      <c r="P25" s="299" t="str">
        <f t="shared" si="0"/>
        <v>N/A</v>
      </c>
      <c r="Q25" s="299" t="str">
        <f t="shared" si="0"/>
        <v>N/A</v>
      </c>
      <c r="R25" s="299" t="str">
        <f t="shared" si="0"/>
        <v>N/A</v>
      </c>
      <c r="S25" s="299" t="str">
        <f t="shared" si="0"/>
        <v>N/A</v>
      </c>
      <c r="T25" s="299" t="str">
        <f t="shared" si="0"/>
        <v>N/A</v>
      </c>
      <c r="U25" s="299" t="str">
        <f t="shared" si="0"/>
        <v>N/A</v>
      </c>
      <c r="V25" s="299" t="str">
        <f t="shared" si="0"/>
        <v>N/A</v>
      </c>
      <c r="X25" s="438" t="s">
        <v>142</v>
      </c>
      <c r="Y25" s="438">
        <f>COUNTIF(F25:V25,X25)</f>
        <v>0</v>
      </c>
      <c r="Z25" s="652">
        <f>MATCH(MAX(Y25:Y27),Y25:Y27,0)</f>
        <v>1</v>
      </c>
      <c r="AA25" s="751"/>
      <c r="AB25" s="751"/>
      <c r="AC25" s="754"/>
    </row>
    <row r="26" spans="1:29" ht="32.25" customHeight="1" x14ac:dyDescent="0.25">
      <c r="A26" s="854"/>
      <c r="B26" s="268"/>
      <c r="C26" s="47"/>
      <c r="E26" s="269"/>
      <c r="F26" s="269"/>
      <c r="G26" s="269"/>
      <c r="H26" s="269"/>
      <c r="I26" s="269"/>
      <c r="J26" s="269"/>
      <c r="K26" s="269"/>
      <c r="L26" s="269"/>
      <c r="M26" s="269"/>
      <c r="N26" s="269"/>
      <c r="O26" s="269"/>
      <c r="P26" s="269"/>
      <c r="Q26" s="269"/>
      <c r="R26" s="269"/>
      <c r="S26" s="269"/>
      <c r="T26" s="269"/>
      <c r="U26" s="269"/>
      <c r="V26" s="269"/>
      <c r="X26" s="438" t="s">
        <v>153</v>
      </c>
      <c r="Y26" s="438">
        <f>COUNTIF(F25:V25,X26)</f>
        <v>0</v>
      </c>
      <c r="Z26" s="438"/>
      <c r="AA26" s="751"/>
      <c r="AB26" s="751"/>
      <c r="AC26" s="754"/>
    </row>
    <row r="27" spans="1:29" ht="19.5" customHeight="1" x14ac:dyDescent="0.25">
      <c r="A27" s="854"/>
      <c r="B27" s="253"/>
      <c r="C27" s="247"/>
      <c r="E27" s="270"/>
      <c r="F27" s="270"/>
      <c r="G27" s="270"/>
      <c r="H27" s="270"/>
      <c r="I27" s="270"/>
      <c r="J27" s="270"/>
      <c r="K27" s="270"/>
      <c r="L27" s="270"/>
      <c r="M27" s="270"/>
      <c r="N27" s="270"/>
      <c r="O27" s="270"/>
      <c r="P27" s="270"/>
      <c r="Q27" s="270"/>
      <c r="R27" s="270"/>
      <c r="S27" s="270"/>
      <c r="T27" s="270"/>
      <c r="U27" s="270"/>
      <c r="V27" s="270"/>
      <c r="X27" s="438" t="s">
        <v>154</v>
      </c>
      <c r="Y27" s="438">
        <f>COUNTIF(F25:V25,X27)</f>
        <v>0</v>
      </c>
      <c r="Z27" s="437"/>
      <c r="AA27" s="751"/>
      <c r="AB27" s="751"/>
      <c r="AC27" s="754"/>
    </row>
    <row r="28" spans="1:29" ht="19.5" customHeight="1" x14ac:dyDescent="0.25">
      <c r="A28" s="854"/>
      <c r="B28" s="253"/>
      <c r="C28" s="247"/>
      <c r="D28" s="37"/>
      <c r="E28" s="270"/>
      <c r="F28" s="270"/>
      <c r="G28" s="270"/>
      <c r="H28" s="270"/>
      <c r="I28" s="270"/>
      <c r="J28" s="270"/>
      <c r="K28" s="270"/>
      <c r="L28" s="270"/>
      <c r="M28" s="270"/>
      <c r="N28" s="270"/>
      <c r="O28" s="270"/>
      <c r="P28" s="270"/>
      <c r="Q28" s="907" t="s">
        <v>137</v>
      </c>
      <c r="R28" s="907"/>
      <c r="S28" s="907"/>
      <c r="T28" s="907"/>
      <c r="U28" s="907"/>
      <c r="V28" s="907"/>
      <c r="X28" s="19"/>
      <c r="Y28" s="19"/>
      <c r="Z28" s="19"/>
      <c r="AA28" s="751"/>
      <c r="AB28" s="19"/>
    </row>
    <row r="29" spans="1:29" ht="19.5" customHeight="1" x14ac:dyDescent="0.25">
      <c r="A29" s="854"/>
      <c r="B29" s="253"/>
      <c r="C29" s="247"/>
      <c r="D29" s="37" t="s">
        <v>155</v>
      </c>
      <c r="E29" s="270"/>
      <c r="F29" s="270"/>
      <c r="G29" s="270"/>
      <c r="H29" s="270"/>
      <c r="I29" s="270"/>
      <c r="J29" s="270"/>
      <c r="K29" s="270"/>
      <c r="L29" s="270"/>
      <c r="M29" s="270"/>
      <c r="N29" s="270"/>
      <c r="O29" s="270"/>
      <c r="P29" s="270"/>
      <c r="Q29" s="910" t="str">
        <f>Q6</f>
        <v>Small Residential/Office/Shop</v>
      </c>
      <c r="R29" s="910"/>
      <c r="S29" s="910"/>
      <c r="T29" s="910"/>
      <c r="U29" s="910"/>
      <c r="V29" s="910"/>
      <c r="X29" s="19"/>
      <c r="Y29" s="19"/>
      <c r="Z29" s="19"/>
      <c r="AA29" s="19"/>
      <c r="AB29" s="19"/>
    </row>
    <row r="30" spans="1:29" ht="7.5" customHeight="1" x14ac:dyDescent="0.25">
      <c r="A30" s="854"/>
      <c r="B30" s="253"/>
      <c r="C30" s="247"/>
      <c r="D30" s="37"/>
      <c r="E30" s="270"/>
      <c r="F30" s="270"/>
      <c r="G30" s="270"/>
      <c r="H30" s="270"/>
      <c r="I30" s="270"/>
      <c r="J30" s="270"/>
      <c r="K30" s="270"/>
      <c r="L30" s="270"/>
      <c r="M30" s="270"/>
      <c r="N30" s="270"/>
      <c r="O30" s="270"/>
      <c r="P30" s="270"/>
      <c r="Q30" s="271" t="e" cm="1">
        <f t="array" ref="Q30">IF($Q$29=Schools, "Low", " ")</f>
        <v>#NAME?</v>
      </c>
      <c r="R30" s="271"/>
      <c r="S30" s="271"/>
      <c r="T30" s="271"/>
      <c r="U30" s="271"/>
      <c r="V30" s="271"/>
    </row>
    <row r="31" spans="1:29" ht="33" customHeight="1" x14ac:dyDescent="0.25">
      <c r="A31" s="854"/>
      <c r="B31" s="253"/>
      <c r="C31" s="74"/>
      <c r="D31" s="580"/>
      <c r="E31" s="581" t="s">
        <v>156</v>
      </c>
      <c r="F31" s="924" t="s">
        <v>115</v>
      </c>
      <c r="G31" s="925"/>
      <c r="H31" s="925"/>
      <c r="I31" s="925"/>
      <c r="J31" s="925"/>
      <c r="K31" s="925"/>
      <c r="L31" s="925"/>
      <c r="M31" s="926"/>
      <c r="N31" s="911" t="s">
        <v>118</v>
      </c>
      <c r="O31" s="912"/>
      <c r="P31" s="915"/>
      <c r="Q31" s="911" t="s">
        <v>119</v>
      </c>
      <c r="R31" s="912"/>
      <c r="S31" s="912"/>
      <c r="T31" s="912"/>
      <c r="U31" s="912"/>
      <c r="V31" s="912"/>
      <c r="X31" s="272" t="s">
        <v>157</v>
      </c>
      <c r="Z31" s="272" t="s">
        <v>158</v>
      </c>
    </row>
    <row r="32" spans="1:29" ht="18.75" x14ac:dyDescent="0.25">
      <c r="A32" s="854"/>
      <c r="B32" s="253"/>
      <c r="C32" s="74"/>
      <c r="D32" s="916" t="s">
        <v>159</v>
      </c>
      <c r="E32" s="927" t="str">
        <f>E9</f>
        <v>ALL COMPONENTS - Simplified assessment</v>
      </c>
      <c r="F32" s="927">
        <f t="shared" ref="F32:V32" si="1">F9</f>
        <v>0</v>
      </c>
      <c r="G32" s="927">
        <f t="shared" si="1"/>
        <v>0</v>
      </c>
      <c r="H32" s="927">
        <f t="shared" si="1"/>
        <v>0</v>
      </c>
      <c r="I32" s="927">
        <f t="shared" si="1"/>
        <v>0</v>
      </c>
      <c r="J32" s="927">
        <f t="shared" si="1"/>
        <v>0</v>
      </c>
      <c r="K32" s="927">
        <f t="shared" si="1"/>
        <v>0</v>
      </c>
      <c r="L32" s="927">
        <f t="shared" si="1"/>
        <v>0</v>
      </c>
      <c r="M32" s="927">
        <f t="shared" si="1"/>
        <v>0</v>
      </c>
      <c r="N32" s="927" t="e" vm="2">
        <f t="shared" si="1"/>
        <v>#VALUE!</v>
      </c>
      <c r="O32" s="927">
        <f t="shared" si="1"/>
        <v>0</v>
      </c>
      <c r="P32" s="927">
        <f t="shared" si="1"/>
        <v>0</v>
      </c>
      <c r="Q32" s="927">
        <f t="shared" si="1"/>
        <v>0</v>
      </c>
      <c r="R32" s="927">
        <f t="shared" si="1"/>
        <v>0</v>
      </c>
      <c r="S32" s="927">
        <f t="shared" si="1"/>
        <v>0</v>
      </c>
      <c r="T32" s="927">
        <f t="shared" si="1"/>
        <v>0</v>
      </c>
      <c r="U32" s="927">
        <f t="shared" si="1"/>
        <v>0</v>
      </c>
      <c r="V32" s="927">
        <f t="shared" si="1"/>
        <v>0</v>
      </c>
      <c r="X32" s="273" t="s">
        <v>160</v>
      </c>
      <c r="Z32" s="412" t="s">
        <v>161</v>
      </c>
    </row>
    <row r="33" spans="1:26" ht="42" customHeight="1" x14ac:dyDescent="0.25">
      <c r="A33" s="854"/>
      <c r="B33" s="253"/>
      <c r="D33" s="917"/>
      <c r="E33" s="928"/>
      <c r="F33" s="928"/>
      <c r="G33" s="928"/>
      <c r="H33" s="928"/>
      <c r="I33" s="928"/>
      <c r="J33" s="928"/>
      <c r="K33" s="928"/>
      <c r="L33" s="928"/>
      <c r="M33" s="928"/>
      <c r="N33" s="928"/>
      <c r="O33" s="928"/>
      <c r="P33" s="928"/>
      <c r="Q33" s="928"/>
      <c r="R33" s="928"/>
      <c r="S33" s="928"/>
      <c r="T33" s="928"/>
      <c r="U33" s="928"/>
      <c r="V33" s="928"/>
      <c r="X33" s="274"/>
      <c r="Z33" s="413" t="s">
        <v>162</v>
      </c>
    </row>
    <row r="34" spans="1:26" ht="46.5" customHeight="1" x14ac:dyDescent="0.25">
      <c r="A34" s="854"/>
      <c r="B34" s="253"/>
      <c r="D34" s="571" t="s">
        <v>163</v>
      </c>
      <c r="E34" s="300" t="str">
        <f>IF($E$32=0," ",IF($E$32="N/A"," ","High"))</f>
        <v>High</v>
      </c>
      <c r="F34" s="300" t="str">
        <f>IF(F32=0," ","High")</f>
        <v xml:space="preserve"> </v>
      </c>
      <c r="G34" s="300"/>
      <c r="H34" s="301"/>
      <c r="I34" s="301"/>
      <c r="J34" s="301"/>
      <c r="K34" s="301"/>
      <c r="L34" s="302"/>
      <c r="M34" s="303"/>
      <c r="N34" s="301"/>
      <c r="O34" s="301"/>
      <c r="P34" s="301"/>
      <c r="Q34" s="301"/>
      <c r="R34" s="301"/>
      <c r="S34" s="301"/>
      <c r="T34" s="301"/>
      <c r="U34" s="301"/>
      <c r="V34" s="301"/>
      <c r="W34" s="304"/>
      <c r="X34" s="305" t="s">
        <v>164</v>
      </c>
      <c r="Y34" s="188"/>
      <c r="Z34" s="414"/>
    </row>
    <row r="35" spans="1:26" ht="30.95" customHeight="1" x14ac:dyDescent="0.25">
      <c r="A35" s="854"/>
      <c r="B35" s="253"/>
      <c r="D35" s="572" t="s">
        <v>165</v>
      </c>
      <c r="E35" s="300" t="str">
        <f>IF($E$32=0," ",IF($E$32="N/A"," ","High"))</f>
        <v>High</v>
      </c>
      <c r="F35" s="301"/>
      <c r="G35" s="300" t="str">
        <f>IF(G32=0," ","High")</f>
        <v xml:space="preserve"> </v>
      </c>
      <c r="H35" s="301"/>
      <c r="I35" s="301"/>
      <c r="J35" s="301"/>
      <c r="K35" s="301"/>
      <c r="L35" s="306"/>
      <c r="M35" s="307"/>
      <c r="N35" s="301"/>
      <c r="O35" s="301"/>
      <c r="P35" s="301"/>
      <c r="Q35" s="301"/>
      <c r="R35" s="301"/>
      <c r="S35" s="301"/>
      <c r="T35" s="301"/>
      <c r="U35" s="301"/>
      <c r="V35" s="301"/>
      <c r="W35" s="308"/>
      <c r="X35" s="309" t="s">
        <v>164</v>
      </c>
      <c r="Y35" s="278"/>
      <c r="Z35" s="414"/>
    </row>
    <row r="36" spans="1:26" ht="39.950000000000003" customHeight="1" x14ac:dyDescent="0.25">
      <c r="A36" s="150"/>
      <c r="B36" s="253"/>
      <c r="D36" s="572" t="s">
        <v>166</v>
      </c>
      <c r="E36" s="300"/>
      <c r="F36" s="300"/>
      <c r="G36" s="300" t="str">
        <f>IF(G32=0," ","High")</f>
        <v xml:space="preserve"> </v>
      </c>
      <c r="H36" s="300" t="str">
        <f>IF(H32=0," ","High")</f>
        <v xml:space="preserve"> </v>
      </c>
      <c r="I36" s="301"/>
      <c r="J36" s="301"/>
      <c r="K36" s="301"/>
      <c r="L36" s="300" t="str">
        <f>IF(L32=0," ","High")</f>
        <v xml:space="preserve"> </v>
      </c>
      <c r="M36" s="306"/>
      <c r="N36" s="301"/>
      <c r="O36" s="301"/>
      <c r="P36" s="301"/>
      <c r="Q36" s="301"/>
      <c r="R36" s="301"/>
      <c r="S36" s="301"/>
      <c r="T36" s="301"/>
      <c r="U36" s="301"/>
      <c r="V36" s="301"/>
      <c r="W36" s="308"/>
      <c r="X36" s="309" t="s">
        <v>164</v>
      </c>
      <c r="Y36" s="278"/>
      <c r="Z36" s="414"/>
    </row>
    <row r="37" spans="1:26" ht="29.45" customHeight="1" x14ac:dyDescent="0.25">
      <c r="A37" s="280"/>
      <c r="B37" s="253"/>
      <c r="D37" s="573" t="s">
        <v>167</v>
      </c>
      <c r="E37" s="300"/>
      <c r="F37" s="300"/>
      <c r="G37" s="300"/>
      <c r="H37" s="300"/>
      <c r="I37" s="300" t="str">
        <f>IF(I32=0," ","High")</f>
        <v xml:space="preserve"> </v>
      </c>
      <c r="J37" s="300" t="str">
        <f>IF(J32=0," ","High")</f>
        <v xml:space="preserve"> </v>
      </c>
      <c r="K37" s="300" t="str">
        <f>IF(K32=0," ","High")</f>
        <v xml:space="preserve"> </v>
      </c>
      <c r="L37" s="300"/>
      <c r="M37" s="300"/>
      <c r="N37" s="301"/>
      <c r="O37" s="301"/>
      <c r="P37" s="301"/>
      <c r="Q37" s="300" t="str">
        <f>IF($Q$29="RESIDENTIAL BUILDINGS"," ",IF(Q32=0," ","High"))</f>
        <v xml:space="preserve"> </v>
      </c>
      <c r="R37" s="300" t="str">
        <f>IF($Q$29="RESIDENTIAL BUILDINGS"," ", IF(R32=0," ","High"))</f>
        <v xml:space="preserve"> </v>
      </c>
      <c r="S37" s="300" t="str">
        <f>IF($Q$29="RESIDENTIAL BUILDINGS"," ", IF(S32=0," ","High"))</f>
        <v xml:space="preserve"> </v>
      </c>
      <c r="T37" s="300" t="str">
        <f>IF(T32=0," ","High")</f>
        <v xml:space="preserve"> </v>
      </c>
      <c r="U37" s="300" t="str">
        <f>IF(U32=0," ","High")</f>
        <v xml:space="preserve"> </v>
      </c>
      <c r="V37" s="310"/>
      <c r="W37" s="308"/>
      <c r="X37" s="309" t="s">
        <v>164</v>
      </c>
      <c r="Y37" s="278"/>
      <c r="Z37" s="414"/>
    </row>
    <row r="38" spans="1:26" ht="32.450000000000003" customHeight="1" x14ac:dyDescent="0.25">
      <c r="A38" s="280"/>
      <c r="B38" s="253"/>
      <c r="C38" s="918"/>
      <c r="D38" s="574" t="s">
        <v>168</v>
      </c>
      <c r="E38" s="300" t="str">
        <f>IF($E$32=0," ",IF($E$32="N/A"," ","Low"))</f>
        <v>Low</v>
      </c>
      <c r="F38" s="311"/>
      <c r="G38" s="300"/>
      <c r="H38" s="300" t="str">
        <f t="shared" ref="H38:M38" si="2">IF(H32=0," ","High")</f>
        <v xml:space="preserve"> </v>
      </c>
      <c r="I38" s="300" t="str">
        <f t="shared" si="2"/>
        <v xml:space="preserve"> </v>
      </c>
      <c r="J38" s="300" t="str">
        <f t="shared" si="2"/>
        <v xml:space="preserve"> </v>
      </c>
      <c r="K38" s="300" t="str">
        <f t="shared" si="2"/>
        <v xml:space="preserve"> </v>
      </c>
      <c r="L38" s="300" t="str">
        <f t="shared" si="2"/>
        <v xml:space="preserve"> </v>
      </c>
      <c r="M38" s="300" t="str">
        <f t="shared" si="2"/>
        <v xml:space="preserve"> </v>
      </c>
      <c r="N38" s="311"/>
      <c r="O38" s="311"/>
      <c r="P38" s="311"/>
      <c r="Q38" s="300"/>
      <c r="R38" s="300"/>
      <c r="S38" s="300" t="str">
        <f>IF(S32=0," ","High")</f>
        <v xml:space="preserve"> </v>
      </c>
      <c r="T38" s="300"/>
      <c r="U38" s="300"/>
      <c r="V38" s="300"/>
      <c r="W38" s="308"/>
      <c r="X38" s="309" t="s">
        <v>164</v>
      </c>
      <c r="Y38" s="278"/>
      <c r="Z38" s="414"/>
    </row>
    <row r="39" spans="1:26" ht="32.1" customHeight="1" x14ac:dyDescent="0.25">
      <c r="A39" s="280"/>
      <c r="B39" s="253"/>
      <c r="C39" s="918"/>
      <c r="D39" s="575" t="s">
        <v>169</v>
      </c>
      <c r="E39" s="300" t="str">
        <f>IF($E$32=0," ",IF($E$32="N/A"," ","Low"))</f>
        <v>Low</v>
      </c>
      <c r="F39" s="300" t="str">
        <f>IF(F32=0," ","Low")</f>
        <v xml:space="preserve"> </v>
      </c>
      <c r="G39" s="300" t="str">
        <f>IF(G32=0," ","Low")</f>
        <v xml:space="preserve"> </v>
      </c>
      <c r="H39" s="311"/>
      <c r="I39" s="300" t="str">
        <f>IF(I32=0," ","Low")</f>
        <v xml:space="preserve"> </v>
      </c>
      <c r="J39" s="300" t="str">
        <f>IF(J32=0," ","Low")</f>
        <v xml:space="preserve"> </v>
      </c>
      <c r="K39" s="300" t="str">
        <f>IF(K32=0," ","Low")</f>
        <v xml:space="preserve"> </v>
      </c>
      <c r="L39" s="311"/>
      <c r="M39" s="300" t="str">
        <f>IF(M32=0," ","Low")</f>
        <v xml:space="preserve"> </v>
      </c>
      <c r="N39" s="311"/>
      <c r="O39" s="311"/>
      <c r="P39" s="311"/>
      <c r="Q39" s="300" t="str">
        <f t="shared" ref="Q39:V39" si="3">IF($Q$29="Residential Buildings", " ", IF(Q32=0," ","Low"))</f>
        <v xml:space="preserve"> </v>
      </c>
      <c r="R39" s="300" t="str">
        <f t="shared" si="3"/>
        <v xml:space="preserve"> </v>
      </c>
      <c r="S39" s="300" t="str">
        <f t="shared" si="3"/>
        <v xml:space="preserve"> </v>
      </c>
      <c r="T39" s="300" t="str">
        <f t="shared" si="3"/>
        <v xml:space="preserve"> </v>
      </c>
      <c r="U39" s="300" t="str">
        <f t="shared" si="3"/>
        <v xml:space="preserve"> </v>
      </c>
      <c r="V39" s="300" t="str">
        <f t="shared" si="3"/>
        <v xml:space="preserve"> </v>
      </c>
      <c r="W39" s="308"/>
      <c r="X39" s="309" t="s">
        <v>170</v>
      </c>
      <c r="Y39" s="278"/>
      <c r="Z39" s="414"/>
    </row>
    <row r="40" spans="1:26" ht="47.1" customHeight="1" x14ac:dyDescent="0.25">
      <c r="A40" s="919"/>
      <c r="B40" s="253"/>
      <c r="C40" s="74"/>
      <c r="D40" s="571" t="s">
        <v>171</v>
      </c>
      <c r="E40" s="300"/>
      <c r="F40" s="300"/>
      <c r="G40" s="312"/>
      <c r="H40" s="312"/>
      <c r="I40" s="300" t="str">
        <f>IF(I32=0," ","High")</f>
        <v xml:space="preserve"> </v>
      </c>
      <c r="J40" s="300" t="str">
        <f>IF(J32=0," ","High")</f>
        <v xml:space="preserve"> </v>
      </c>
      <c r="K40" s="300" t="str">
        <f>IF(K32=0," ","High")</f>
        <v xml:space="preserve"> </v>
      </c>
      <c r="L40" s="312"/>
      <c r="M40" s="300" t="str">
        <f>IF(M32=0," ","High")</f>
        <v xml:space="preserve"> </v>
      </c>
      <c r="N40" s="312"/>
      <c r="O40" s="312"/>
      <c r="P40" s="312"/>
      <c r="Q40" s="312"/>
      <c r="R40" s="300" t="str">
        <f>IF(R32=0," ","High")</f>
        <v xml:space="preserve"> </v>
      </c>
      <c r="S40" s="300" t="str">
        <f>IF($Q$29="Helthcare Facilities","High"," ")</f>
        <v xml:space="preserve"> </v>
      </c>
      <c r="T40" s="312"/>
      <c r="U40" s="300" t="str">
        <f>IF($Q$29="Public &amp; Office Buildings","High", IF(T29="Healthcare Facilities", "High", " "))</f>
        <v xml:space="preserve"> </v>
      </c>
      <c r="V40" s="312"/>
      <c r="W40" s="308"/>
      <c r="X40" s="309" t="s">
        <v>170</v>
      </c>
      <c r="Y40" s="278"/>
      <c r="Z40" s="414"/>
    </row>
    <row r="41" spans="1:26" ht="27.95" customHeight="1" x14ac:dyDescent="0.25">
      <c r="A41" s="919"/>
      <c r="B41" s="253"/>
      <c r="C41" s="247"/>
      <c r="D41" s="573" t="s">
        <v>172</v>
      </c>
      <c r="E41" s="300"/>
      <c r="F41" s="300"/>
      <c r="G41" s="300"/>
      <c r="H41" s="313"/>
      <c r="I41" s="313"/>
      <c r="J41" s="313"/>
      <c r="K41" s="313"/>
      <c r="L41" s="313"/>
      <c r="M41" s="313"/>
      <c r="N41" s="300" t="e" vm="2">
        <f>IF(N32=0," ","High")</f>
        <v>#VALUE!</v>
      </c>
      <c r="O41" s="313"/>
      <c r="P41" s="313"/>
      <c r="Q41" s="313"/>
      <c r="R41" s="313"/>
      <c r="S41" s="313"/>
      <c r="T41" s="313"/>
      <c r="U41" s="300" t="str">
        <f>IF($Q$29="Public &amp; Office Buildings","High", IF(T30="Healthcare Facilities", "High", " "))</f>
        <v xml:space="preserve"> </v>
      </c>
      <c r="V41" s="313"/>
      <c r="W41" s="308"/>
      <c r="X41" s="309" t="s">
        <v>170</v>
      </c>
      <c r="Y41" s="278"/>
      <c r="Z41" s="414"/>
    </row>
    <row r="42" spans="1:26" ht="38.450000000000003" customHeight="1" x14ac:dyDescent="0.25">
      <c r="A42" s="281"/>
      <c r="B42" s="253"/>
      <c r="C42" s="247"/>
      <c r="D42" s="576" t="s">
        <v>146</v>
      </c>
      <c r="E42" s="300" t="str">
        <f>IF($E$32=0," ",IF($E$32="N/A"," ","High\"))</f>
        <v>High\</v>
      </c>
      <c r="F42" s="300"/>
      <c r="G42" s="300" t="str">
        <f>IF(G32=0," ","Low")</f>
        <v xml:space="preserve"> </v>
      </c>
      <c r="H42" s="313"/>
      <c r="I42" s="313"/>
      <c r="J42" s="300" t="str">
        <f>IF(J32=0," ","Low")</f>
        <v xml:space="preserve"> </v>
      </c>
      <c r="K42" s="300"/>
      <c r="L42" s="313"/>
      <c r="M42" s="313"/>
      <c r="N42" s="313"/>
      <c r="O42" s="313"/>
      <c r="P42" s="313"/>
      <c r="Q42" s="301"/>
      <c r="R42" s="301"/>
      <c r="S42" s="301"/>
      <c r="T42" s="301"/>
      <c r="U42" s="301"/>
      <c r="V42" s="313"/>
      <c r="W42" s="308"/>
      <c r="X42" s="314" t="s">
        <v>170</v>
      </c>
      <c r="Y42" s="278"/>
      <c r="Z42" s="414"/>
    </row>
    <row r="43" spans="1:26" ht="28.5" customHeight="1" x14ac:dyDescent="0.25">
      <c r="A43" s="281"/>
      <c r="B43" s="253"/>
      <c r="C43" s="247"/>
      <c r="D43" s="571" t="s">
        <v>173</v>
      </c>
      <c r="E43" s="300"/>
      <c r="F43" s="300"/>
      <c r="G43" s="300" t="str">
        <f>IF(G32=0," ","High")</f>
        <v xml:space="preserve"> </v>
      </c>
      <c r="H43" s="313"/>
      <c r="I43" s="313"/>
      <c r="J43" s="313"/>
      <c r="K43" s="313"/>
      <c r="L43" s="313"/>
      <c r="M43" s="313"/>
      <c r="N43" s="313"/>
      <c r="O43" s="313"/>
      <c r="P43" s="313"/>
      <c r="Q43" s="300" t="str">
        <f>IF(Q32=0," ","Low")</f>
        <v xml:space="preserve"> </v>
      </c>
      <c r="R43" s="300" t="str">
        <f>IF(R32=0," ","Low")</f>
        <v xml:space="preserve"> </v>
      </c>
      <c r="S43" s="300" t="str">
        <f>IF(S32=0," ","Low")</f>
        <v xml:space="preserve"> </v>
      </c>
      <c r="T43" s="300" t="str">
        <f>IF(T32=0," ","Low")</f>
        <v xml:space="preserve"> </v>
      </c>
      <c r="U43" s="300" t="str">
        <f>IF(U32=0," ","Low")</f>
        <v xml:space="preserve"> </v>
      </c>
      <c r="V43" s="300"/>
      <c r="W43" s="308"/>
      <c r="X43" s="309" t="s">
        <v>170</v>
      </c>
      <c r="Y43" s="278"/>
      <c r="Z43" s="414"/>
    </row>
    <row r="44" spans="1:26" ht="59.1" customHeight="1" x14ac:dyDescent="0.25">
      <c r="A44" s="281"/>
      <c r="B44" s="253"/>
      <c r="C44" s="247"/>
      <c r="D44" s="574" t="s">
        <v>174</v>
      </c>
      <c r="E44" s="300" t="str">
        <f>IF($E$32=0," ",IF($E$32="N/A"," ","High"))</f>
        <v>High</v>
      </c>
      <c r="F44" s="300"/>
      <c r="G44" s="300" t="str">
        <f>IF(G32=0," ","High")</f>
        <v xml:space="preserve"> </v>
      </c>
      <c r="H44" s="313"/>
      <c r="I44" s="300"/>
      <c r="J44" s="300"/>
      <c r="K44" s="313"/>
      <c r="L44" s="300"/>
      <c r="M44" s="300"/>
      <c r="N44" s="313"/>
      <c r="O44" s="313"/>
      <c r="P44" s="313"/>
      <c r="Q44" s="313"/>
      <c r="R44" s="313"/>
      <c r="S44" s="313"/>
      <c r="T44" s="313"/>
      <c r="U44" s="313"/>
      <c r="V44" s="300"/>
      <c r="W44" s="308"/>
      <c r="X44" s="309" t="s">
        <v>175</v>
      </c>
      <c r="Y44" s="278"/>
      <c r="Z44" s="414"/>
    </row>
    <row r="45" spans="1:26" ht="24.95" customHeight="1" x14ac:dyDescent="0.25">
      <c r="A45" s="281"/>
      <c r="B45" s="253"/>
      <c r="C45" s="247"/>
      <c r="D45" s="574" t="s">
        <v>176</v>
      </c>
      <c r="E45" s="300" t="str">
        <f>IF($E$32=0," ",IF($E$32="N/A"," ","High"))</f>
        <v>High</v>
      </c>
      <c r="F45" s="300"/>
      <c r="G45" s="300" t="str">
        <f>IF(G32=0," ","High")</f>
        <v xml:space="preserve"> </v>
      </c>
      <c r="H45" s="313"/>
      <c r="I45" s="300"/>
      <c r="J45" s="300"/>
      <c r="K45" s="313"/>
      <c r="L45" s="300"/>
      <c r="M45" s="300"/>
      <c r="N45" s="313"/>
      <c r="O45" s="313"/>
      <c r="P45" s="313"/>
      <c r="Q45" s="313"/>
      <c r="R45" s="313"/>
      <c r="S45" s="313"/>
      <c r="T45" s="313"/>
      <c r="U45" s="313"/>
      <c r="V45" s="300"/>
      <c r="W45" s="308"/>
      <c r="X45" s="309" t="s">
        <v>175</v>
      </c>
      <c r="Y45" s="278"/>
      <c r="Z45" s="414"/>
    </row>
    <row r="46" spans="1:26" ht="28.5" customHeight="1" x14ac:dyDescent="0.25">
      <c r="A46" s="281"/>
      <c r="B46" s="253"/>
      <c r="C46" s="247"/>
      <c r="D46" s="577" t="s">
        <v>177</v>
      </c>
      <c r="E46" s="300" t="str">
        <f>IF($E$32=0," ",IF($E$32="N/A"," ","High"))</f>
        <v>High</v>
      </c>
      <c r="F46" s="300"/>
      <c r="G46" s="300" t="str">
        <f>IF(G32=0," ","High")</f>
        <v xml:space="preserve"> </v>
      </c>
      <c r="H46" s="300" t="str">
        <f>IF(H32=0," ","High")</f>
        <v xml:space="preserve"> </v>
      </c>
      <c r="I46" s="313"/>
      <c r="J46" s="313"/>
      <c r="K46" s="313"/>
      <c r="L46" s="300"/>
      <c r="M46" s="313"/>
      <c r="N46" s="313"/>
      <c r="O46" s="313"/>
      <c r="P46" s="313"/>
      <c r="Q46" s="315"/>
      <c r="R46" s="315"/>
      <c r="S46" s="315"/>
      <c r="T46" s="313"/>
      <c r="U46" s="313"/>
      <c r="V46" s="313"/>
      <c r="W46" s="308"/>
      <c r="X46" s="309" t="s">
        <v>170</v>
      </c>
      <c r="Y46" s="278"/>
      <c r="Z46" s="414"/>
    </row>
    <row r="47" spans="1:26" ht="28.5" customHeight="1" x14ac:dyDescent="0.25">
      <c r="A47" s="281"/>
      <c r="B47" s="253"/>
      <c r="C47" s="247"/>
      <c r="D47" s="571" t="s">
        <v>178</v>
      </c>
      <c r="E47" s="276"/>
      <c r="F47" s="300" t="str">
        <f>IF(F32=0," ","Low")</f>
        <v xml:space="preserve"> </v>
      </c>
      <c r="G47" s="313"/>
      <c r="H47" s="313"/>
      <c r="I47" s="300"/>
      <c r="J47" s="300"/>
      <c r="K47" s="313"/>
      <c r="L47" s="300"/>
      <c r="M47" s="313"/>
      <c r="N47" s="313"/>
      <c r="O47" s="313"/>
      <c r="P47" s="313"/>
      <c r="Q47" s="315"/>
      <c r="R47" s="300"/>
      <c r="S47" s="315"/>
      <c r="T47" s="313"/>
      <c r="U47" s="313"/>
      <c r="V47" s="315" t="str">
        <f>IF(V32&gt;0,IF(Q29="Schools", "Low"," ")," ")</f>
        <v xml:space="preserve"> </v>
      </c>
      <c r="W47" s="308"/>
      <c r="X47" s="314" t="s">
        <v>179</v>
      </c>
      <c r="Y47" s="278"/>
      <c r="Z47" s="414"/>
    </row>
    <row r="48" spans="1:26" ht="47.1" customHeight="1" x14ac:dyDescent="0.25">
      <c r="A48" s="281"/>
      <c r="B48" s="253"/>
      <c r="C48" s="920"/>
      <c r="D48" s="572" t="s">
        <v>180</v>
      </c>
      <c r="E48" s="300" t="str">
        <f>IF($E$32=0," ",IF($E$32="N/A"," ","High"))</f>
        <v>High</v>
      </c>
      <c r="F48" s="300"/>
      <c r="G48" s="300" t="str">
        <f>IF(G32=0," ","Low")</f>
        <v xml:space="preserve"> </v>
      </c>
      <c r="H48" s="313"/>
      <c r="I48" s="313"/>
      <c r="J48" s="300"/>
      <c r="K48" s="313"/>
      <c r="L48" s="313"/>
      <c r="M48" s="313"/>
      <c r="N48" s="313"/>
      <c r="O48" s="313"/>
      <c r="P48" s="313"/>
      <c r="Q48" s="315"/>
      <c r="R48" s="315"/>
      <c r="S48" s="315"/>
      <c r="T48" s="313"/>
      <c r="U48" s="315"/>
      <c r="V48" s="313"/>
      <c r="W48" s="308"/>
      <c r="X48" s="314" t="s">
        <v>179</v>
      </c>
      <c r="Y48" s="278"/>
      <c r="Z48" s="414"/>
    </row>
    <row r="49" spans="1:26" ht="47.1" customHeight="1" x14ac:dyDescent="0.25">
      <c r="A49" s="281"/>
      <c r="B49" s="253"/>
      <c r="C49" s="921"/>
      <c r="D49" s="573" t="s">
        <v>181</v>
      </c>
      <c r="E49" s="300"/>
      <c r="F49" s="300"/>
      <c r="G49" s="300" t="str">
        <f>IF(G32=0," ","Low")</f>
        <v xml:space="preserve"> </v>
      </c>
      <c r="H49" s="300" t="str">
        <f>IF(H32=0," ","Low")</f>
        <v xml:space="preserve"> </v>
      </c>
      <c r="I49" s="313"/>
      <c r="J49" s="300"/>
      <c r="K49" s="313"/>
      <c r="L49" s="313"/>
      <c r="M49" s="313"/>
      <c r="N49" s="300"/>
      <c r="O49" s="313"/>
      <c r="P49" s="300" t="str">
        <f>IF(P32=0," ","Low")</f>
        <v xml:space="preserve"> </v>
      </c>
      <c r="Q49" s="315"/>
      <c r="R49" s="315"/>
      <c r="S49" s="315"/>
      <c r="T49" s="313"/>
      <c r="U49" s="315"/>
      <c r="V49" s="313"/>
      <c r="W49" s="308"/>
      <c r="X49" s="309" t="s">
        <v>175</v>
      </c>
      <c r="Z49" s="414"/>
    </row>
    <row r="50" spans="1:26" ht="36.950000000000003" customHeight="1" x14ac:dyDescent="0.25">
      <c r="A50" s="282"/>
      <c r="B50" s="253"/>
      <c r="C50" s="921"/>
      <c r="D50" s="578" t="s">
        <v>182</v>
      </c>
      <c r="E50" s="300"/>
      <c r="F50" s="300"/>
      <c r="G50" s="300" t="str">
        <f>IF(G32=0," ","Low")</f>
        <v xml:space="preserve"> </v>
      </c>
      <c r="H50" s="313"/>
      <c r="I50" s="313"/>
      <c r="J50" s="300"/>
      <c r="K50" s="300"/>
      <c r="L50" s="313"/>
      <c r="M50" s="313"/>
      <c r="N50" s="313"/>
      <c r="O50" s="313"/>
      <c r="P50" s="300" t="str">
        <f>IF(P32=0," ","High")</f>
        <v xml:space="preserve"> </v>
      </c>
      <c r="Q50" s="315"/>
      <c r="R50" s="315"/>
      <c r="S50" s="315"/>
      <c r="T50" s="313"/>
      <c r="U50" s="313"/>
      <c r="V50" s="313"/>
      <c r="W50" s="308"/>
      <c r="X50" s="314" t="s">
        <v>175</v>
      </c>
      <c r="Z50" s="414"/>
    </row>
    <row r="51" spans="1:26" ht="36.950000000000003" customHeight="1" x14ac:dyDescent="0.25">
      <c r="A51" s="282"/>
      <c r="B51" s="253"/>
      <c r="C51" s="922"/>
      <c r="D51" s="571" t="s">
        <v>183</v>
      </c>
      <c r="E51" s="300" t="str">
        <f>IF($E$32=0," ",IF($E$32="N/A"," ","Low"))</f>
        <v>Low</v>
      </c>
      <c r="F51" s="300"/>
      <c r="G51" s="300"/>
      <c r="H51" s="313"/>
      <c r="I51" s="300" t="str">
        <f>IF(I32=0," ","High")</f>
        <v xml:space="preserve"> </v>
      </c>
      <c r="J51" s="300" t="str">
        <f>IF(J32=0," ","High")</f>
        <v xml:space="preserve"> </v>
      </c>
      <c r="K51" s="300" t="str">
        <f>IF(K32=0," ","High")</f>
        <v xml:space="preserve"> </v>
      </c>
      <c r="L51" s="300" t="str">
        <f>IF(L32=0," ","High")</f>
        <v xml:space="preserve"> </v>
      </c>
      <c r="M51" s="300" t="str">
        <f>IF(M32=0," ","High")</f>
        <v xml:space="preserve"> </v>
      </c>
      <c r="N51" s="313"/>
      <c r="O51" s="313"/>
      <c r="P51" s="300"/>
      <c r="Q51" s="315"/>
      <c r="R51" s="300" t="str">
        <f>IF($Q$29="Public &amp; Office Buildings","High"," ")</f>
        <v xml:space="preserve"> </v>
      </c>
      <c r="S51" s="300" t="str">
        <f>IF(S32=0," ","High")</f>
        <v xml:space="preserve"> </v>
      </c>
      <c r="T51" s="313"/>
      <c r="U51" s="300" t="str">
        <f>IF(U32=0," ","High")</f>
        <v xml:space="preserve"> </v>
      </c>
      <c r="V51" s="313"/>
      <c r="W51" s="308"/>
      <c r="X51" s="314" t="s">
        <v>179</v>
      </c>
      <c r="Z51" s="414"/>
    </row>
    <row r="52" spans="1:26" ht="36.950000000000003" customHeight="1" x14ac:dyDescent="0.25">
      <c r="A52" s="282"/>
      <c r="B52" s="253"/>
      <c r="C52" s="922"/>
      <c r="D52" s="571" t="s">
        <v>184</v>
      </c>
      <c r="E52" s="300"/>
      <c r="F52" s="300"/>
      <c r="G52" s="313"/>
      <c r="H52" s="313"/>
      <c r="I52" s="300" t="str">
        <f>IF(I32=0," ","Low")</f>
        <v xml:space="preserve"> </v>
      </c>
      <c r="J52" s="300" t="str">
        <f>IF(J32=0," ","Low")</f>
        <v xml:space="preserve"> </v>
      </c>
      <c r="K52" s="300" t="str">
        <f>IF(K32=0," ","Low")</f>
        <v xml:space="preserve"> </v>
      </c>
      <c r="L52" s="313"/>
      <c r="M52" s="300" t="str">
        <f>IF(M32=0," ","Low")</f>
        <v xml:space="preserve"> </v>
      </c>
      <c r="N52" s="300" t="e" vm="2">
        <f>IF(N32=0," ","High")</f>
        <v>#VALUE!</v>
      </c>
      <c r="O52" s="313"/>
      <c r="P52" s="313"/>
      <c r="Q52" s="300" t="str">
        <f>IF(Q32=0," ","Low")</f>
        <v xml:space="preserve"> </v>
      </c>
      <c r="R52" s="300" t="str">
        <f>IF(Q32=0," ","Low")</f>
        <v xml:space="preserve"> </v>
      </c>
      <c r="S52" s="300" t="str">
        <f>IF(Q32=0," ","Low")</f>
        <v xml:space="preserve"> </v>
      </c>
      <c r="T52" s="300" t="str">
        <f>IF(T32=0," ","Low")</f>
        <v xml:space="preserve"> </v>
      </c>
      <c r="U52" s="300" t="str">
        <f>IF(U32=0," ","High")</f>
        <v xml:space="preserve"> </v>
      </c>
      <c r="V52" s="313"/>
      <c r="W52" s="308"/>
      <c r="X52" s="314" t="s">
        <v>175</v>
      </c>
      <c r="Z52" s="414"/>
    </row>
    <row r="53" spans="1:26" ht="36.950000000000003" customHeight="1" x14ac:dyDescent="0.25">
      <c r="A53" s="282"/>
      <c r="B53" s="253"/>
      <c r="C53" s="283"/>
      <c r="D53" s="574" t="s">
        <v>185</v>
      </c>
      <c r="E53" s="300" t="str">
        <f>IF($E$32=0," ",IF($E$32="N/A"," ","High"))</f>
        <v>High</v>
      </c>
      <c r="F53" s="300"/>
      <c r="G53" s="300" t="str">
        <f>IF(G32=0," ","High")</f>
        <v xml:space="preserve"> </v>
      </c>
      <c r="H53" s="313"/>
      <c r="I53" s="300"/>
      <c r="J53" s="300"/>
      <c r="K53" s="300"/>
      <c r="L53" s="313"/>
      <c r="M53" s="300"/>
      <c r="N53" s="300"/>
      <c r="O53" s="313"/>
      <c r="P53" s="300" t="str">
        <f>IF(P32=0," ","High")</f>
        <v xml:space="preserve"> </v>
      </c>
      <c r="Q53" s="300"/>
      <c r="R53" s="300"/>
      <c r="S53" s="300"/>
      <c r="T53" s="300"/>
      <c r="U53" s="300"/>
      <c r="V53" s="313"/>
      <c r="W53" s="308"/>
      <c r="X53" s="314" t="s">
        <v>179</v>
      </c>
      <c r="Z53" s="414"/>
    </row>
    <row r="54" spans="1:26" ht="36.950000000000003" customHeight="1" x14ac:dyDescent="0.25">
      <c r="A54" s="281"/>
      <c r="B54" s="253"/>
      <c r="C54" s="283"/>
      <c r="D54" s="571" t="s">
        <v>186</v>
      </c>
      <c r="E54" s="300"/>
      <c r="F54" s="300"/>
      <c r="G54" s="313"/>
      <c r="H54" s="313"/>
      <c r="I54" s="300"/>
      <c r="J54" s="300"/>
      <c r="K54" s="300" t="str">
        <f>IF(K32=0," ","High")</f>
        <v xml:space="preserve"> </v>
      </c>
      <c r="L54" s="313"/>
      <c r="M54" s="300"/>
      <c r="N54" s="300"/>
      <c r="O54" s="313"/>
      <c r="P54" s="313"/>
      <c r="Q54" s="300"/>
      <c r="R54" s="300"/>
      <c r="S54" s="300"/>
      <c r="T54" s="300"/>
      <c r="U54" s="300"/>
      <c r="V54" s="313"/>
      <c r="W54" s="308"/>
      <c r="X54" s="314" t="s">
        <v>179</v>
      </c>
      <c r="Z54" s="414"/>
    </row>
    <row r="55" spans="1:26" ht="57.6" customHeight="1" x14ac:dyDescent="0.25">
      <c r="A55" s="281"/>
      <c r="B55" s="253"/>
      <c r="C55" s="283"/>
      <c r="D55" s="571" t="s">
        <v>187</v>
      </c>
      <c r="E55" s="300"/>
      <c r="F55" s="300"/>
      <c r="G55" s="313"/>
      <c r="H55" s="313"/>
      <c r="I55" s="300"/>
      <c r="J55" s="300"/>
      <c r="K55" s="300" t="str">
        <f>IF(K32=0," ","High")</f>
        <v xml:space="preserve"> </v>
      </c>
      <c r="L55" s="313"/>
      <c r="M55" s="300"/>
      <c r="N55" s="300"/>
      <c r="O55" s="313"/>
      <c r="P55" s="313"/>
      <c r="Q55" s="300"/>
      <c r="R55" s="300"/>
      <c r="S55" s="300"/>
      <c r="T55" s="300" t="str">
        <f>IF($Q$29="Public &amp; Office Buildings", "High", " ")</f>
        <v xml:space="preserve"> </v>
      </c>
      <c r="U55" s="300" t="str">
        <f>IF(U32=0," ","Low")</f>
        <v xml:space="preserve"> </v>
      </c>
      <c r="V55" s="313"/>
      <c r="W55" s="308"/>
      <c r="X55" s="314" t="s">
        <v>179</v>
      </c>
      <c r="Z55" s="414"/>
    </row>
    <row r="56" spans="1:26" ht="24.95" customHeight="1" x14ac:dyDescent="0.25">
      <c r="A56" s="281"/>
      <c r="B56" s="253"/>
      <c r="C56" s="283"/>
      <c r="D56" s="571" t="s">
        <v>188</v>
      </c>
      <c r="E56" s="300"/>
      <c r="F56" s="300"/>
      <c r="G56" s="313"/>
      <c r="H56" s="313"/>
      <c r="I56" s="300"/>
      <c r="J56" s="300"/>
      <c r="K56" s="300"/>
      <c r="L56" s="313"/>
      <c r="M56" s="300"/>
      <c r="N56" s="300"/>
      <c r="O56" s="313"/>
      <c r="P56" s="313"/>
      <c r="Q56" s="300"/>
      <c r="R56" s="300"/>
      <c r="S56" s="300"/>
      <c r="T56" s="300"/>
      <c r="U56" s="300"/>
      <c r="V56" s="313"/>
      <c r="W56" s="308"/>
      <c r="X56" s="314" t="s">
        <v>179</v>
      </c>
      <c r="Z56" s="414"/>
    </row>
    <row r="57" spans="1:26" ht="24.95" customHeight="1" x14ac:dyDescent="0.25">
      <c r="A57" s="281"/>
      <c r="B57" s="253"/>
      <c r="C57" s="283"/>
      <c r="D57" s="571" t="s">
        <v>189</v>
      </c>
      <c r="E57" s="300" t="str">
        <f>IF($E$32=0," ",IF($E$32="N/A"," ","High"))</f>
        <v>High</v>
      </c>
      <c r="F57" s="300"/>
      <c r="G57" s="313"/>
      <c r="H57" s="313"/>
      <c r="I57" s="300"/>
      <c r="J57" s="300"/>
      <c r="K57" s="300"/>
      <c r="L57" s="313"/>
      <c r="M57" s="300"/>
      <c r="N57" s="300"/>
      <c r="O57" s="313"/>
      <c r="P57" s="313"/>
      <c r="Q57" s="300"/>
      <c r="R57" s="300"/>
      <c r="S57" s="300"/>
      <c r="T57" s="300"/>
      <c r="U57" s="300"/>
      <c r="V57" s="313"/>
      <c r="W57" s="308"/>
      <c r="X57" s="314" t="s">
        <v>179</v>
      </c>
      <c r="Z57" s="414"/>
    </row>
    <row r="58" spans="1:26" ht="36.950000000000003" customHeight="1" x14ac:dyDescent="0.25">
      <c r="A58" s="281"/>
      <c r="B58" s="253"/>
      <c r="C58" s="283"/>
      <c r="D58" s="571" t="s">
        <v>190</v>
      </c>
      <c r="E58" s="300"/>
      <c r="F58" s="300"/>
      <c r="G58" s="313"/>
      <c r="H58" s="313"/>
      <c r="I58" s="300" t="str">
        <f>IF(I32=0," ","High")</f>
        <v xml:space="preserve"> </v>
      </c>
      <c r="J58" s="300" t="str">
        <f>IF(J32=0," ","High")</f>
        <v xml:space="preserve"> </v>
      </c>
      <c r="K58" s="300"/>
      <c r="L58" s="301"/>
      <c r="M58" s="300" t="str">
        <f>IF(M32=0," ","High")</f>
        <v xml:space="preserve"> </v>
      </c>
      <c r="N58" s="300"/>
      <c r="O58" s="313"/>
      <c r="P58" s="313"/>
      <c r="Q58" s="300"/>
      <c r="R58" s="300"/>
      <c r="S58" s="300"/>
      <c r="T58" s="300"/>
      <c r="U58" s="300" t="str">
        <f>IF(U32=0,"",IF($Q$29="Public &amp; Office Buildings","High",""))</f>
        <v/>
      </c>
      <c r="V58" s="313"/>
      <c r="W58" s="308"/>
      <c r="X58" s="314" t="s">
        <v>179</v>
      </c>
      <c r="Z58" s="414"/>
    </row>
    <row r="59" spans="1:26" ht="36.950000000000003" customHeight="1" x14ac:dyDescent="0.25">
      <c r="A59" s="281"/>
      <c r="B59" s="253"/>
      <c r="C59" s="283"/>
      <c r="D59" s="571" t="s">
        <v>191</v>
      </c>
      <c r="E59" s="300"/>
      <c r="F59" s="300"/>
      <c r="G59" s="313"/>
      <c r="H59" s="313"/>
      <c r="I59" s="300" t="str">
        <f>IF(I32=0," ","Low")</f>
        <v xml:space="preserve"> </v>
      </c>
      <c r="J59" s="300"/>
      <c r="K59" s="300"/>
      <c r="L59" s="301"/>
      <c r="M59" s="300" t="str">
        <f>IF(M32=0," ","Low")</f>
        <v xml:space="preserve"> </v>
      </c>
      <c r="N59" s="300"/>
      <c r="O59" s="313"/>
      <c r="P59" s="313"/>
      <c r="Q59" s="300"/>
      <c r="R59" s="300"/>
      <c r="S59" s="300"/>
      <c r="T59" s="300"/>
      <c r="U59" s="300"/>
      <c r="V59" s="313"/>
      <c r="W59" s="308"/>
      <c r="X59" s="314" t="s">
        <v>175</v>
      </c>
      <c r="Z59" s="414"/>
    </row>
    <row r="60" spans="1:26" ht="36.950000000000003" customHeight="1" thickBot="1" x14ac:dyDescent="0.3">
      <c r="A60" s="281"/>
      <c r="B60" s="253"/>
      <c r="C60" s="283"/>
      <c r="D60" s="579" t="s">
        <v>192</v>
      </c>
      <c r="E60" s="328"/>
      <c r="F60" s="316"/>
      <c r="G60" s="317"/>
      <c r="H60" s="317"/>
      <c r="I60" s="316" t="str">
        <f>IF(I32=0," ","Low")</f>
        <v xml:space="preserve"> </v>
      </c>
      <c r="J60" s="316" t="str">
        <f>IF(J32=0," ","Low")</f>
        <v xml:space="preserve"> </v>
      </c>
      <c r="K60" s="316"/>
      <c r="L60" s="318"/>
      <c r="M60" s="316" t="str">
        <f>IF(M32=0," ","Low")</f>
        <v xml:space="preserve"> </v>
      </c>
      <c r="N60" s="316"/>
      <c r="O60" s="317"/>
      <c r="P60" s="317"/>
      <c r="Q60" s="316"/>
      <c r="R60" s="316"/>
      <c r="S60" s="316"/>
      <c r="T60" s="316"/>
      <c r="U60" s="316"/>
      <c r="V60" s="317"/>
      <c r="W60" s="319"/>
      <c r="X60" s="320" t="s">
        <v>179</v>
      </c>
      <c r="Z60" s="414"/>
    </row>
    <row r="61" spans="1:26" ht="26.45" customHeight="1" thickBot="1" x14ac:dyDescent="0.3">
      <c r="D61" s="285" t="s">
        <v>193</v>
      </c>
      <c r="E61" s="321"/>
      <c r="F61" s="321"/>
      <c r="G61" s="322"/>
      <c r="H61" s="322"/>
      <c r="I61" s="322"/>
      <c r="J61" s="322"/>
      <c r="K61" s="322"/>
      <c r="L61" s="322"/>
      <c r="M61" s="322"/>
      <c r="N61" s="322"/>
      <c r="O61" s="322"/>
      <c r="P61" s="322"/>
      <c r="Q61" s="322"/>
      <c r="R61" s="322"/>
      <c r="S61" s="322"/>
      <c r="T61" s="322"/>
      <c r="U61" s="322"/>
      <c r="V61" s="323"/>
      <c r="W61" s="6"/>
      <c r="X61" s="324"/>
      <c r="Z61" s="415"/>
    </row>
    <row r="62" spans="1:26" ht="54.6" customHeight="1" x14ac:dyDescent="0.25">
      <c r="D62" s="582" t="s">
        <v>194</v>
      </c>
      <c r="E62" s="583"/>
      <c r="F62" s="584" t="str">
        <f>IF(F32=0," ","High")</f>
        <v xml:space="preserve"> </v>
      </c>
      <c r="G62" s="584" t="str">
        <f>IF(G32=0," ","High")</f>
        <v xml:space="preserve"> </v>
      </c>
      <c r="H62" s="584"/>
      <c r="I62" s="584"/>
      <c r="J62" s="584"/>
      <c r="K62" s="584"/>
      <c r="L62" s="584"/>
      <c r="M62" s="584" t="str">
        <f>IF(M32=0," ","High")</f>
        <v xml:space="preserve"> </v>
      </c>
      <c r="N62" s="584"/>
      <c r="O62" s="584"/>
      <c r="P62" s="584"/>
      <c r="Q62" s="584"/>
      <c r="R62" s="584"/>
      <c r="S62" s="584"/>
      <c r="T62" s="584"/>
      <c r="U62" s="584"/>
      <c r="V62" s="584"/>
      <c r="W62" s="6"/>
      <c r="X62" s="326" t="s">
        <v>170</v>
      </c>
      <c r="Z62" s="414"/>
    </row>
    <row r="63" spans="1:26" ht="30.6" customHeight="1" x14ac:dyDescent="0.25">
      <c r="C63" s="913"/>
      <c r="D63" s="275" t="s">
        <v>195</v>
      </c>
      <c r="E63" s="325"/>
      <c r="F63" s="300" t="str">
        <f>IF(F32=0," ","High")</f>
        <v xml:space="preserve"> </v>
      </c>
      <c r="G63" s="300" t="str">
        <f>IF(G32=0," ","High")</f>
        <v xml:space="preserve"> </v>
      </c>
      <c r="H63" s="300"/>
      <c r="I63" s="300"/>
      <c r="J63" s="300"/>
      <c r="K63" s="300"/>
      <c r="L63" s="300"/>
      <c r="M63" s="300"/>
      <c r="N63" s="300"/>
      <c r="O63" s="300"/>
      <c r="P63" s="300"/>
      <c r="Q63" s="300"/>
      <c r="R63" s="300"/>
      <c r="S63" s="300"/>
      <c r="T63" s="300"/>
      <c r="U63" s="300"/>
      <c r="V63" s="300"/>
      <c r="W63" s="6"/>
      <c r="X63" s="326" t="s">
        <v>170</v>
      </c>
      <c r="Z63" s="414"/>
    </row>
    <row r="64" spans="1:26" ht="28.5" customHeight="1" x14ac:dyDescent="0.25">
      <c r="C64" s="913"/>
      <c r="D64" s="275" t="s">
        <v>196</v>
      </c>
      <c r="E64" s="325"/>
      <c r="F64" s="325"/>
      <c r="G64" s="300"/>
      <c r="H64" s="300"/>
      <c r="I64" s="300"/>
      <c r="J64" s="300"/>
      <c r="K64" s="300"/>
      <c r="L64" s="300"/>
      <c r="M64" s="300"/>
      <c r="N64" s="300"/>
      <c r="O64" s="300" t="str">
        <f>IF($F$32=0," ","High")</f>
        <v xml:space="preserve"> </v>
      </c>
      <c r="P64" s="300"/>
      <c r="Q64" s="300"/>
      <c r="R64" s="300"/>
      <c r="S64" s="300"/>
      <c r="T64" s="300"/>
      <c r="U64" s="300"/>
      <c r="V64" s="300"/>
      <c r="W64" s="6"/>
      <c r="X64" s="326" t="s">
        <v>170</v>
      </c>
      <c r="Z64" s="414"/>
    </row>
    <row r="65" spans="3:26" ht="31.5" customHeight="1" x14ac:dyDescent="0.25">
      <c r="C65" s="913"/>
      <c r="D65" s="275" t="s">
        <v>197</v>
      </c>
      <c r="E65" s="300" t="str">
        <f>IF($E$32=0," ",IF($E$32="N/A"," ","Low"))</f>
        <v>Low</v>
      </c>
      <c r="F65" s="325"/>
      <c r="G65" s="300"/>
      <c r="H65" s="300" t="str">
        <f t="shared" ref="H65:M65" si="4">IF(H32=0," ","Low")</f>
        <v xml:space="preserve"> </v>
      </c>
      <c r="I65" s="300" t="str">
        <f t="shared" si="4"/>
        <v xml:space="preserve"> </v>
      </c>
      <c r="J65" s="300" t="str">
        <f t="shared" si="4"/>
        <v xml:space="preserve"> </v>
      </c>
      <c r="K65" s="300" t="str">
        <f t="shared" si="4"/>
        <v xml:space="preserve"> </v>
      </c>
      <c r="L65" s="300" t="str">
        <f t="shared" si="4"/>
        <v xml:space="preserve"> </v>
      </c>
      <c r="M65" s="300" t="str">
        <f t="shared" si="4"/>
        <v xml:space="preserve"> </v>
      </c>
      <c r="N65" s="300"/>
      <c r="O65" s="300"/>
      <c r="P65" s="300"/>
      <c r="Q65" s="300"/>
      <c r="R65" s="300"/>
      <c r="S65" s="300"/>
      <c r="T65" s="300"/>
      <c r="U65" s="300"/>
      <c r="V65" s="300"/>
      <c r="W65" s="6"/>
      <c r="X65" s="326" t="s">
        <v>170</v>
      </c>
      <c r="Z65" s="414"/>
    </row>
    <row r="66" spans="3:26" ht="39" customHeight="1" x14ac:dyDescent="0.25">
      <c r="C66" s="913"/>
      <c r="D66" s="275" t="s">
        <v>198</v>
      </c>
      <c r="E66" s="325"/>
      <c r="F66" s="325"/>
      <c r="G66" s="300"/>
      <c r="H66" s="300"/>
      <c r="I66" s="300" t="str">
        <f>IF(I32=0," ","Low")</f>
        <v xml:space="preserve"> </v>
      </c>
      <c r="J66" s="300" t="str">
        <f>IF(J32=0," ","Low")</f>
        <v xml:space="preserve"> </v>
      </c>
      <c r="K66" s="300" t="str">
        <f>IF(K32=0," ","Low")</f>
        <v xml:space="preserve"> </v>
      </c>
      <c r="L66" s="300"/>
      <c r="M66" s="300"/>
      <c r="N66" s="300"/>
      <c r="O66" s="300"/>
      <c r="P66" s="300"/>
      <c r="Q66" s="300"/>
      <c r="R66" s="300"/>
      <c r="S66" s="300"/>
      <c r="T66" s="300"/>
      <c r="U66" s="300"/>
      <c r="V66" s="300"/>
      <c r="W66" s="6"/>
      <c r="X66" s="326" t="s">
        <v>170</v>
      </c>
      <c r="Y66" s="188"/>
      <c r="Z66" s="414"/>
    </row>
    <row r="67" spans="3:26" ht="48.6" customHeight="1" thickBot="1" x14ac:dyDescent="0.3">
      <c r="C67" s="913"/>
      <c r="D67" s="287" t="s">
        <v>199</v>
      </c>
      <c r="E67" s="327"/>
      <c r="F67" s="328" t="str">
        <f>IF(F32=0," ","High")</f>
        <v xml:space="preserve"> </v>
      </c>
      <c r="G67" s="328" t="str">
        <f>IF(G32=0," ","High")</f>
        <v xml:space="preserve"> </v>
      </c>
      <c r="H67" s="328"/>
      <c r="I67" s="328"/>
      <c r="J67" s="328"/>
      <c r="K67" s="328"/>
      <c r="L67" s="328"/>
      <c r="M67" s="328"/>
      <c r="N67" s="328"/>
      <c r="O67" s="328"/>
      <c r="P67" s="328"/>
      <c r="Q67" s="328"/>
      <c r="R67" s="328"/>
      <c r="S67" s="328"/>
      <c r="T67" s="328"/>
      <c r="U67" s="328"/>
      <c r="V67" s="328"/>
      <c r="W67" s="329"/>
      <c r="X67" s="330" t="s">
        <v>200</v>
      </c>
      <c r="Y67" s="288"/>
      <c r="Z67" s="416"/>
    </row>
    <row r="68" spans="3:26" x14ac:dyDescent="0.25">
      <c r="C68" s="913"/>
      <c r="D68" s="289"/>
      <c r="E68" s="111"/>
      <c r="F68" s="111"/>
      <c r="G68" s="290"/>
      <c r="H68" s="290"/>
      <c r="I68" s="290"/>
      <c r="J68" s="290"/>
      <c r="K68" s="290"/>
      <c r="L68" s="290"/>
      <c r="M68" s="290"/>
      <c r="N68" s="290"/>
      <c r="O68" s="290"/>
      <c r="P68" s="290"/>
      <c r="Q68" s="290"/>
      <c r="R68" s="290"/>
      <c r="S68" s="290"/>
      <c r="T68" s="290"/>
      <c r="U68" s="290"/>
      <c r="V68" s="290"/>
      <c r="X68" s="282"/>
    </row>
    <row r="69" spans="3:26" ht="39" customHeight="1" x14ac:dyDescent="0.25">
      <c r="C69" s="913"/>
      <c r="E69" s="111"/>
      <c r="F69" s="111"/>
      <c r="G69" s="290"/>
      <c r="H69" s="290"/>
      <c r="I69" s="290"/>
      <c r="J69" s="290"/>
      <c r="K69" s="290"/>
      <c r="L69" s="290"/>
      <c r="M69" s="290"/>
      <c r="N69" s="290"/>
      <c r="O69" s="290"/>
      <c r="P69" s="290"/>
      <c r="Q69" s="290"/>
      <c r="R69" s="290"/>
      <c r="S69" s="290"/>
      <c r="T69" s="290"/>
      <c r="U69" s="290"/>
      <c r="V69" s="290"/>
      <c r="X69" s="282"/>
    </row>
    <row r="70" spans="3:26" ht="38.450000000000003" customHeight="1" x14ac:dyDescent="0.25">
      <c r="C70" s="913"/>
    </row>
    <row r="71" spans="3:26" ht="56.1" customHeight="1" x14ac:dyDescent="0.25"/>
    <row r="72" spans="3:26" ht="19.5" customHeight="1" x14ac:dyDescent="0.25"/>
    <row r="73" spans="3:26" ht="29.1" customHeight="1" x14ac:dyDescent="0.25">
      <c r="D73" s="289"/>
    </row>
    <row r="74" spans="3:26" ht="33" customHeight="1" x14ac:dyDescent="0.25">
      <c r="D74" s="289"/>
    </row>
    <row r="75" spans="3:26" x14ac:dyDescent="0.25">
      <c r="D75" s="289"/>
    </row>
  </sheetData>
  <sheetProtection algorithmName="SHA-512" hashValue="U8eUixXCGTeRzoeGU0KUXJKWgOq6Cf5g9iGQa15K619bg4R/4iXVDINRa7y7WYzHUyp+Fd9sWJhJj6pMKp0OxQ==" saltValue="DtV5yMQg5+/RlHZNeES+xg==" spinCount="100000" sheet="1" selectLockedCells="1"/>
  <mergeCells count="57">
    <mergeCell ref="V32:V33"/>
    <mergeCell ref="P32:P33"/>
    <mergeCell ref="O32:O33"/>
    <mergeCell ref="N32:N33"/>
    <mergeCell ref="S32:S33"/>
    <mergeCell ref="E32:E33"/>
    <mergeCell ref="Q32:Q33"/>
    <mergeCell ref="R32:R33"/>
    <mergeCell ref="T32:T33"/>
    <mergeCell ref="U32:U33"/>
    <mergeCell ref="F31:M31"/>
    <mergeCell ref="F32:F33"/>
    <mergeCell ref="G32:G33"/>
    <mergeCell ref="H32:H33"/>
    <mergeCell ref="I32:I33"/>
    <mergeCell ref="J32:J33"/>
    <mergeCell ref="K32:K33"/>
    <mergeCell ref="L32:L33"/>
    <mergeCell ref="M32:M33"/>
    <mergeCell ref="C63:C70"/>
    <mergeCell ref="N8:P8"/>
    <mergeCell ref="P23:P24"/>
    <mergeCell ref="N31:P31"/>
    <mergeCell ref="A32:A35"/>
    <mergeCell ref="D32:D33"/>
    <mergeCell ref="C38:C39"/>
    <mergeCell ref="A40:A41"/>
    <mergeCell ref="C48:C52"/>
    <mergeCell ref="A27:A31"/>
    <mergeCell ref="A12:A22"/>
    <mergeCell ref="A23:A26"/>
    <mergeCell ref="E23:E24"/>
    <mergeCell ref="G23:G24"/>
    <mergeCell ref="H23:H24"/>
    <mergeCell ref="I23:I24"/>
    <mergeCell ref="Q31:V31"/>
    <mergeCell ref="Q23:Q24"/>
    <mergeCell ref="R23:R24"/>
    <mergeCell ref="S23:S24"/>
    <mergeCell ref="T23:T24"/>
    <mergeCell ref="U23:U24"/>
    <mergeCell ref="V23:V24"/>
    <mergeCell ref="Q5:V5"/>
    <mergeCell ref="Q6:V6"/>
    <mergeCell ref="R7:V7"/>
    <mergeCell ref="Q28:V28"/>
    <mergeCell ref="Q29:V29"/>
    <mergeCell ref="A8:A11"/>
    <mergeCell ref="Q8:V8"/>
    <mergeCell ref="F8:M8"/>
    <mergeCell ref="N23:N24"/>
    <mergeCell ref="O23:O24"/>
    <mergeCell ref="F23:F24"/>
    <mergeCell ref="J23:J24"/>
    <mergeCell ref="K23:K24"/>
    <mergeCell ref="L23:L24"/>
    <mergeCell ref="M23:M24"/>
  </mergeCells>
  <conditionalFormatting sqref="E10">
    <cfRule type="cellIs" dxfId="204" priority="1" operator="equal">
      <formula>"High"</formula>
    </cfRule>
    <cfRule type="cellIs" dxfId="203" priority="2" operator="equal">
      <formula>"Medium"</formula>
    </cfRule>
    <cfRule type="cellIs" dxfId="202" priority="3" operator="equal">
      <formula>"Low"</formula>
    </cfRule>
    <cfRule type="cellIs" dxfId="201" priority="5" operator="equal">
      <formula>0</formula>
    </cfRule>
  </conditionalFormatting>
  <conditionalFormatting sqref="E9:V9">
    <cfRule type="cellIs" dxfId="200" priority="6" operator="equal">
      <formula>0</formula>
    </cfRule>
  </conditionalFormatting>
  <conditionalFormatting sqref="E10:V10">
    <cfRule type="cellIs" dxfId="199" priority="10" operator="equal">
      <formula>"N/A"</formula>
    </cfRule>
  </conditionalFormatting>
  <conditionalFormatting sqref="E25:V25">
    <cfRule type="cellIs" dxfId="198" priority="7" operator="equal">
      <formula>"N/A"</formula>
    </cfRule>
    <cfRule type="cellIs" dxfId="197" priority="17" operator="equal">
      <formula>"High"</formula>
    </cfRule>
    <cfRule type="cellIs" dxfId="196" priority="18" operator="equal">
      <formula>"Medium"</formula>
    </cfRule>
    <cfRule type="cellIs" dxfId="195" priority="19" operator="equal">
      <formula>"Low"</formula>
    </cfRule>
  </conditionalFormatting>
  <conditionalFormatting sqref="E27:V27 E28:P28 E29:Q30 H41:M41 O41:T41">
    <cfRule type="cellIs" dxfId="194" priority="14" operator="equal">
      <formula>"Medium"</formula>
    </cfRule>
    <cfRule type="cellIs" dxfId="193" priority="15" operator="equal">
      <formula>"Low"</formula>
    </cfRule>
    <cfRule type="cellIs" dxfId="192" priority="16" operator="equal">
      <formula>"High"</formula>
    </cfRule>
  </conditionalFormatting>
  <conditionalFormatting sqref="E32:V33">
    <cfRule type="cellIs" dxfId="191" priority="4" operator="equal">
      <formula>0</formula>
    </cfRule>
  </conditionalFormatting>
  <conditionalFormatting sqref="F10:V10 T46:V46 T47:U47 H48:I48 T48:T49 V48:V49 I49 H50:I50 L50:O50 T50:V50 H51 N51:O51 T51 V51:V60 G52:H52 H53 G54:H60">
    <cfRule type="cellIs" dxfId="190" priority="20" operator="equal">
      <formula>"Medium"</formula>
    </cfRule>
    <cfRule type="cellIs" dxfId="189" priority="21" operator="equal">
      <formula>"Low"</formula>
    </cfRule>
    <cfRule type="cellIs" dxfId="188" priority="22" operator="equal">
      <formula>"High"</formula>
    </cfRule>
  </conditionalFormatting>
  <conditionalFormatting sqref="G40:H40 L40 N40:Q40 T40 V40:V42">
    <cfRule type="cellIs" dxfId="187" priority="11" operator="equal">
      <formula>"High"</formula>
    </cfRule>
    <cfRule type="cellIs" dxfId="186" priority="12" operator="equal">
      <formula>"Medium"</formula>
    </cfRule>
    <cfRule type="cellIs" dxfId="185" priority="13" operator="equal">
      <formula>"Low"</formula>
    </cfRule>
  </conditionalFormatting>
  <conditionalFormatting sqref="H42:I42 L42:P42 H43:P43 H44:H45 K44:K45 N44:U45 I46:K46 M46:P47 G47:H47 K47 K48:P48 K49:M49 O49 O52:P52 L52:L57 O53 O54:P60">
    <cfRule type="cellIs" dxfId="184" priority="23" operator="equal">
      <formula>"Medium"</formula>
    </cfRule>
    <cfRule type="cellIs" dxfId="183" priority="24" operator="equal">
      <formula>"Low"</formula>
    </cfRule>
    <cfRule type="cellIs" dxfId="182" priority="25" operator="equal">
      <formula>"High"</formula>
    </cfRule>
  </conditionalFormatting>
  <dataValidations count="1">
    <dataValidation type="list" showInputMessage="1" showErrorMessage="1" sqref="E23:V24" xr:uid="{68FC7E23-3862-4D24-BE25-D73217E9ADCD}">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19-B4C3-488E-BAF1-04D152DC806D}">
  <sheetPr codeName="Sheet6">
    <tabColor rgb="FF990033"/>
  </sheetPr>
  <dimension ref="A2:X67"/>
  <sheetViews>
    <sheetView zoomScale="80" zoomScaleNormal="80" workbookViewId="0">
      <selection activeCell="T41" sqref="T41"/>
    </sheetView>
  </sheetViews>
  <sheetFormatPr defaultColWidth="9.140625" defaultRowHeight="15" x14ac:dyDescent="0.25"/>
  <cols>
    <col min="1" max="1" width="41.140625" style="29" customWidth="1"/>
    <col min="2" max="2" width="2.7109375" style="29" customWidth="1"/>
    <col min="3" max="3" width="7.85546875" style="29" customWidth="1"/>
    <col min="4" max="9" width="9.140625" style="29"/>
    <col min="10" max="10" width="52.28515625" style="29" customWidth="1"/>
    <col min="11" max="12" width="7.5703125" style="29" customWidth="1"/>
    <col min="13" max="13" width="7.85546875" style="29" customWidth="1"/>
    <col min="14" max="14" width="7.5703125" style="29" customWidth="1"/>
    <col min="15" max="15" width="13.85546875" style="29" customWidth="1"/>
    <col min="16" max="16" width="8.5703125" style="29" customWidth="1"/>
    <col min="17" max="17" width="18.7109375" style="29" customWidth="1"/>
    <col min="18" max="18" width="8" style="29" customWidth="1"/>
    <col min="19" max="16384" width="9.140625" style="29"/>
  </cols>
  <sheetData>
    <row r="2" spans="1:20" ht="33" customHeight="1" x14ac:dyDescent="0.3">
      <c r="D2" s="91" t="s">
        <v>201</v>
      </c>
      <c r="E2" s="92"/>
      <c r="F2" s="93"/>
      <c r="G2" s="93"/>
      <c r="H2" s="93"/>
      <c r="I2" s="93"/>
    </row>
    <row r="3" spans="1:20" ht="41.45" customHeight="1" thickBot="1" x14ac:dyDescent="0.5">
      <c r="C3" s="31"/>
      <c r="D3" s="242" t="s">
        <v>1</v>
      </c>
      <c r="E3" s="242"/>
      <c r="F3" s="242"/>
      <c r="G3" s="242"/>
      <c r="H3" s="205"/>
      <c r="I3" s="205"/>
      <c r="J3" s="205"/>
      <c r="K3" s="205"/>
      <c r="L3" s="205"/>
      <c r="M3" s="205"/>
      <c r="N3" s="205"/>
      <c r="O3" s="205"/>
      <c r="P3" s="205"/>
      <c r="Q3" s="205"/>
    </row>
    <row r="4" spans="1:20" ht="21" customHeight="1" thickTop="1" x14ac:dyDescent="0.45">
      <c r="A4" s="36"/>
      <c r="B4" s="36"/>
      <c r="C4" s="31"/>
      <c r="D4" s="35"/>
      <c r="E4" s="35"/>
      <c r="F4" s="35"/>
      <c r="G4" s="35"/>
    </row>
    <row r="5" spans="1:20" ht="9.6" customHeight="1" x14ac:dyDescent="0.3">
      <c r="A5" s="851"/>
      <c r="B5" s="38"/>
      <c r="C5" s="31"/>
    </row>
    <row r="6" spans="1:20" ht="47.45" customHeight="1" x14ac:dyDescent="0.3">
      <c r="A6" s="851"/>
      <c r="B6" s="38"/>
      <c r="C6" s="31"/>
      <c r="D6" s="37" t="s">
        <v>202</v>
      </c>
      <c r="Q6" s="458" t="s">
        <v>7</v>
      </c>
    </row>
    <row r="7" spans="1:20" ht="9" customHeight="1" x14ac:dyDescent="0.3">
      <c r="A7" s="38"/>
      <c r="B7" s="38"/>
      <c r="C7" s="31"/>
      <c r="D7" s="37"/>
      <c r="O7" s="90"/>
    </row>
    <row r="8" spans="1:20" ht="18.600000000000001" customHeight="1" x14ac:dyDescent="0.3">
      <c r="A8" s="970"/>
      <c r="B8" s="94"/>
      <c r="C8" s="7"/>
      <c r="D8" s="971" t="s">
        <v>8</v>
      </c>
      <c r="E8" s="971"/>
      <c r="F8" s="971"/>
      <c r="G8" s="971"/>
      <c r="H8" s="971"/>
      <c r="I8" s="972"/>
      <c r="J8" s="929" t="s">
        <v>9</v>
      </c>
      <c r="K8" s="930"/>
      <c r="L8" s="934" t="s">
        <v>10</v>
      </c>
      <c r="M8" s="934"/>
      <c r="N8" s="444" t="s">
        <v>11</v>
      </c>
      <c r="O8" s="444" t="s">
        <v>12</v>
      </c>
      <c r="P8" s="459" t="s">
        <v>13</v>
      </c>
      <c r="Q8" s="410" t="s">
        <v>14</v>
      </c>
    </row>
    <row r="9" spans="1:20" ht="22.5" customHeight="1" x14ac:dyDescent="0.3">
      <c r="A9" s="970"/>
      <c r="B9" s="94"/>
      <c r="C9" s="7"/>
      <c r="D9" s="973"/>
      <c r="E9" s="973"/>
      <c r="F9" s="973"/>
      <c r="G9" s="973"/>
      <c r="H9" s="973"/>
      <c r="I9" s="974"/>
      <c r="J9" s="931"/>
      <c r="K9" s="932"/>
      <c r="L9" s="935" t="s">
        <v>15</v>
      </c>
      <c r="M9" s="935"/>
      <c r="N9" s="460" t="s">
        <v>16</v>
      </c>
      <c r="O9" s="461" t="s">
        <v>17</v>
      </c>
      <c r="P9" s="462" t="s">
        <v>18</v>
      </c>
      <c r="Q9" s="463" t="s">
        <v>19</v>
      </c>
    </row>
    <row r="10" spans="1:20" ht="84" customHeight="1" x14ac:dyDescent="0.25">
      <c r="A10" s="970"/>
      <c r="B10" s="94"/>
      <c r="C10" s="13" t="s">
        <v>20</v>
      </c>
      <c r="D10" s="956" t="s">
        <v>203</v>
      </c>
      <c r="E10" s="956"/>
      <c r="F10" s="956"/>
      <c r="G10" s="956"/>
      <c r="H10" s="956"/>
      <c r="I10" s="956"/>
      <c r="J10" s="933" t="s">
        <v>204</v>
      </c>
      <c r="K10" s="933"/>
      <c r="L10" s="936">
        <v>0</v>
      </c>
      <c r="M10" s="936"/>
      <c r="N10" s="453">
        <v>1</v>
      </c>
      <c r="O10" s="453">
        <v>2</v>
      </c>
      <c r="P10" s="453">
        <v>3</v>
      </c>
      <c r="Q10" s="464"/>
    </row>
    <row r="11" spans="1:20" ht="52.5" customHeight="1" x14ac:dyDescent="0.25">
      <c r="A11" s="94"/>
      <c r="B11" s="94"/>
      <c r="C11" s="13" t="s">
        <v>21</v>
      </c>
      <c r="D11" s="956" t="s">
        <v>205</v>
      </c>
      <c r="E11" s="956"/>
      <c r="F11" s="956"/>
      <c r="G11" s="956"/>
      <c r="H11" s="956"/>
      <c r="I11" s="956"/>
      <c r="J11" s="933" t="s">
        <v>206</v>
      </c>
      <c r="K11" s="933"/>
      <c r="L11" s="936">
        <v>0</v>
      </c>
      <c r="M11" s="936"/>
      <c r="N11" s="453">
        <v>1</v>
      </c>
      <c r="O11" s="453">
        <v>2</v>
      </c>
      <c r="P11" s="453">
        <v>3</v>
      </c>
      <c r="Q11" s="464"/>
    </row>
    <row r="12" spans="1:20" s="51" customFormat="1" ht="42.95" customHeight="1" x14ac:dyDescent="0.25">
      <c r="A12" s="970"/>
      <c r="B12" s="94"/>
      <c r="C12" s="13" t="s">
        <v>22</v>
      </c>
      <c r="D12" s="956" t="s">
        <v>207</v>
      </c>
      <c r="E12" s="956"/>
      <c r="F12" s="956"/>
      <c r="G12" s="956"/>
      <c r="H12" s="956"/>
      <c r="I12" s="956"/>
      <c r="J12" s="933" t="s">
        <v>208</v>
      </c>
      <c r="K12" s="933"/>
      <c r="L12" s="936">
        <v>0</v>
      </c>
      <c r="M12" s="936"/>
      <c r="N12" s="453">
        <v>1</v>
      </c>
      <c r="O12" s="453">
        <v>2</v>
      </c>
      <c r="P12" s="453">
        <v>3</v>
      </c>
      <c r="Q12" s="464"/>
    </row>
    <row r="13" spans="1:20" ht="78.95" customHeight="1" x14ac:dyDescent="0.25">
      <c r="A13" s="970"/>
      <c r="B13" s="94"/>
      <c r="C13" s="13" t="s">
        <v>23</v>
      </c>
      <c r="D13" s="956" t="s">
        <v>209</v>
      </c>
      <c r="E13" s="956"/>
      <c r="F13" s="956"/>
      <c r="G13" s="956"/>
      <c r="H13" s="956"/>
      <c r="I13" s="956"/>
      <c r="J13" s="933" t="s">
        <v>210</v>
      </c>
      <c r="K13" s="933"/>
      <c r="L13" s="936">
        <v>0</v>
      </c>
      <c r="M13" s="936"/>
      <c r="N13" s="453">
        <v>1</v>
      </c>
      <c r="O13" s="453">
        <v>2</v>
      </c>
      <c r="P13" s="453">
        <v>3</v>
      </c>
      <c r="Q13" s="464"/>
    </row>
    <row r="14" spans="1:20" ht="72" customHeight="1" x14ac:dyDescent="0.25">
      <c r="A14" s="970"/>
      <c r="B14" s="94"/>
      <c r="C14" s="112" t="s">
        <v>28</v>
      </c>
      <c r="D14" s="956" t="s">
        <v>211</v>
      </c>
      <c r="E14" s="956"/>
      <c r="F14" s="956"/>
      <c r="G14" s="956"/>
      <c r="H14" s="956"/>
      <c r="I14" s="956"/>
      <c r="J14" s="933" t="s">
        <v>212</v>
      </c>
      <c r="K14" s="933"/>
      <c r="L14" s="936">
        <v>0</v>
      </c>
      <c r="M14" s="936"/>
      <c r="N14" s="453">
        <v>1</v>
      </c>
      <c r="O14" s="453">
        <v>2</v>
      </c>
      <c r="P14" s="453">
        <v>3</v>
      </c>
      <c r="Q14" s="464"/>
      <c r="S14" s="191"/>
      <c r="T14" s="191"/>
    </row>
    <row r="15" spans="1:20" ht="134.44999999999999" customHeight="1" thickBot="1" x14ac:dyDescent="0.3">
      <c r="A15" s="919"/>
      <c r="B15" s="96"/>
      <c r="C15" s="13" t="s">
        <v>29</v>
      </c>
      <c r="D15" s="955" t="s">
        <v>213</v>
      </c>
      <c r="E15" s="955"/>
      <c r="F15" s="955"/>
      <c r="G15" s="955"/>
      <c r="H15" s="955"/>
      <c r="I15" s="955"/>
      <c r="J15" s="967" t="s">
        <v>214</v>
      </c>
      <c r="K15" s="967"/>
      <c r="L15" s="941">
        <v>0</v>
      </c>
      <c r="M15" s="941"/>
      <c r="N15" s="448">
        <v>1</v>
      </c>
      <c r="O15" s="448">
        <v>2</v>
      </c>
      <c r="P15" s="448">
        <v>3</v>
      </c>
      <c r="Q15" s="465"/>
      <c r="S15" s="191"/>
      <c r="T15" s="191"/>
    </row>
    <row r="16" spans="1:20" ht="15" customHeight="1" thickTop="1" x14ac:dyDescent="0.25">
      <c r="A16" s="919"/>
      <c r="B16" s="96"/>
      <c r="C16" s="13"/>
      <c r="D16" s="120"/>
      <c r="E16" s="120"/>
      <c r="F16" s="120"/>
      <c r="G16" s="120"/>
      <c r="H16" s="120"/>
      <c r="I16" s="120"/>
      <c r="J16" s="121"/>
      <c r="K16" s="16"/>
      <c r="L16" s="16"/>
      <c r="M16" s="16"/>
      <c r="N16" s="16"/>
      <c r="O16" s="122"/>
      <c r="S16" s="191"/>
      <c r="T16" s="191"/>
    </row>
    <row r="17" spans="1:24" ht="29.1" customHeight="1" x14ac:dyDescent="0.25">
      <c r="A17" s="919"/>
      <c r="B17" s="96"/>
      <c r="C17" s="53"/>
      <c r="D17" s="950" t="s">
        <v>215</v>
      </c>
      <c r="E17" s="951"/>
      <c r="F17" s="951"/>
      <c r="G17" s="951"/>
      <c r="H17" s="951"/>
      <c r="I17" s="951"/>
      <c r="J17" s="951"/>
      <c r="K17" s="6"/>
      <c r="L17" s="600"/>
      <c r="M17" s="6"/>
      <c r="N17" s="600" t="s">
        <v>216</v>
      </c>
      <c r="O17" s="6"/>
      <c r="P17" s="601"/>
      <c r="Q17" s="17" t="e">
        <f>AVERAGE(Q10,Q11,Q12,Q13,Q14)</f>
        <v>#DIV/0!</v>
      </c>
      <c r="R17" s="6"/>
      <c r="S17" s="602" t="e">
        <f>MAX(Q17,Q52)</f>
        <v>#DIV/0!</v>
      </c>
      <c r="T17" s="19"/>
    </row>
    <row r="18" spans="1:24" ht="9.9499999999999993" customHeight="1" x14ac:dyDescent="0.25">
      <c r="A18" s="919"/>
      <c r="B18" s="96"/>
      <c r="C18" s="53"/>
      <c r="D18" s="598"/>
      <c r="E18" s="599"/>
      <c r="F18" s="599"/>
      <c r="G18" s="599"/>
      <c r="H18" s="599"/>
      <c r="I18" s="599"/>
      <c r="J18" s="599"/>
      <c r="K18" s="603"/>
      <c r="L18" s="603"/>
      <c r="M18" s="603"/>
      <c r="N18" s="603"/>
      <c r="O18" s="604"/>
      <c r="P18" s="605"/>
      <c r="Q18" s="6"/>
      <c r="R18" s="6"/>
      <c r="S18" s="19"/>
      <c r="T18" s="19"/>
    </row>
    <row r="19" spans="1:24" ht="29.1" customHeight="1" x14ac:dyDescent="0.25">
      <c r="A19" s="65"/>
      <c r="B19" s="65"/>
      <c r="D19" s="6"/>
      <c r="E19" s="6"/>
      <c r="F19" s="6"/>
      <c r="G19" s="6"/>
      <c r="H19" s="6"/>
      <c r="I19" s="6"/>
      <c r="J19" s="6"/>
      <c r="K19" s="6"/>
      <c r="L19" s="600"/>
      <c r="M19" s="600"/>
      <c r="N19" s="600" t="s">
        <v>217</v>
      </c>
      <c r="O19" s="6"/>
      <c r="P19" s="606"/>
      <c r="Q19" s="17" t="e">
        <f>AVERAGE(Q14:Q15)</f>
        <v>#DIV/0!</v>
      </c>
      <c r="R19" s="6"/>
      <c r="S19" s="19"/>
      <c r="T19" s="19"/>
    </row>
    <row r="20" spans="1:24" ht="11.45" customHeight="1" x14ac:dyDescent="0.25">
      <c r="A20" s="54"/>
      <c r="B20" s="54"/>
      <c r="D20" s="6"/>
      <c r="E20" s="6"/>
      <c r="F20" s="6"/>
      <c r="G20" s="6"/>
      <c r="H20" s="6"/>
      <c r="I20" s="6"/>
      <c r="J20" s="6"/>
      <c r="K20" s="607"/>
      <c r="L20" s="607"/>
      <c r="M20" s="607"/>
      <c r="N20" s="607"/>
      <c r="O20" s="608"/>
      <c r="P20" s="6"/>
      <c r="Q20" s="6"/>
      <c r="R20" s="6"/>
      <c r="S20" s="19"/>
      <c r="T20" s="19"/>
    </row>
    <row r="21" spans="1:24" ht="29.1" customHeight="1" x14ac:dyDescent="0.25">
      <c r="A21" s="65"/>
      <c r="B21" s="65"/>
      <c r="D21" s="6"/>
      <c r="E21" s="6"/>
      <c r="F21" s="6"/>
      <c r="G21" s="6"/>
      <c r="H21" s="6"/>
      <c r="I21" s="6"/>
      <c r="J21" s="6"/>
      <c r="K21" s="6"/>
      <c r="L21" s="600"/>
      <c r="M21" s="600"/>
      <c r="N21" s="937" t="s">
        <v>218</v>
      </c>
      <c r="O21" s="937"/>
      <c r="P21" s="937"/>
      <c r="Q21" s="15" t="e">
        <f>IF(Q17&lt;=1,"Low",IF(Q17&lt;=2,"Medium","High"))</f>
        <v>#DIV/0!</v>
      </c>
      <c r="R21" s="6"/>
      <c r="S21" s="19"/>
      <c r="T21" s="19"/>
    </row>
    <row r="22" spans="1:24" ht="14.1" customHeight="1" x14ac:dyDescent="0.25">
      <c r="A22" s="65"/>
      <c r="B22" s="65"/>
      <c r="D22" s="6"/>
      <c r="E22" s="6"/>
      <c r="F22" s="6"/>
      <c r="G22" s="6"/>
      <c r="H22" s="6"/>
      <c r="I22" s="6"/>
      <c r="J22" s="6"/>
      <c r="K22" s="6"/>
      <c r="L22" s="600"/>
      <c r="M22" s="600"/>
      <c r="N22" s="609"/>
      <c r="O22" s="609"/>
      <c r="P22" s="609"/>
      <c r="Q22" s="15"/>
      <c r="R22" s="6"/>
      <c r="S22" s="19"/>
      <c r="T22" s="19"/>
    </row>
    <row r="23" spans="1:24" ht="29.1" customHeight="1" x14ac:dyDescent="0.25">
      <c r="A23" s="65"/>
      <c r="B23" s="65"/>
      <c r="D23" s="6"/>
      <c r="E23" s="6"/>
      <c r="F23" s="6"/>
      <c r="G23" s="6"/>
      <c r="H23" s="6"/>
      <c r="I23" s="6"/>
      <c r="J23" s="6"/>
      <c r="K23" s="6"/>
      <c r="L23" s="600"/>
      <c r="M23" s="600"/>
      <c r="N23" s="600" t="s">
        <v>219</v>
      </c>
      <c r="O23" s="6"/>
      <c r="P23" s="6"/>
      <c r="Q23" s="15" t="e">
        <f>IF(Q19&lt;=1,"Low",IF(Q19&lt;=2,"Medium","High"))</f>
        <v>#DIV/0!</v>
      </c>
      <c r="R23" s="6"/>
      <c r="S23" s="19"/>
      <c r="T23" s="19"/>
      <c r="X23" s="29" t="s">
        <v>33</v>
      </c>
    </row>
    <row r="24" spans="1:24" ht="47.45" customHeight="1" x14ac:dyDescent="0.25">
      <c r="A24" s="65"/>
      <c r="B24" s="65"/>
      <c r="D24" s="6"/>
      <c r="E24" s="6"/>
      <c r="F24" s="6"/>
      <c r="G24" s="6"/>
      <c r="H24" s="6"/>
      <c r="I24" s="6"/>
      <c r="J24" s="6"/>
      <c r="K24" s="603"/>
      <c r="L24" s="603"/>
      <c r="M24" s="603"/>
      <c r="N24" s="603"/>
      <c r="O24" s="610"/>
      <c r="P24" s="6"/>
      <c r="Q24" s="6"/>
      <c r="R24" s="6"/>
      <c r="S24" s="19"/>
      <c r="T24" s="19"/>
    </row>
    <row r="25" spans="1:24" ht="33.6" customHeight="1" x14ac:dyDescent="0.3">
      <c r="A25" s="65"/>
      <c r="B25" s="65"/>
      <c r="C25" s="6"/>
      <c r="D25" s="12" t="s">
        <v>220</v>
      </c>
      <c r="E25" s="6"/>
      <c r="F25" s="6"/>
      <c r="G25" s="6"/>
      <c r="H25" s="6"/>
      <c r="I25" s="6"/>
      <c r="J25" s="6"/>
      <c r="K25" s="6"/>
      <c r="L25" s="6"/>
      <c r="M25" s="6"/>
      <c r="N25" s="6"/>
      <c r="Q25" s="458" t="s">
        <v>7</v>
      </c>
    </row>
    <row r="26" spans="1:24" ht="2.1" customHeight="1" x14ac:dyDescent="0.3">
      <c r="A26" s="65"/>
      <c r="B26" s="65"/>
      <c r="C26" s="7"/>
      <c r="D26" s="952" t="s">
        <v>8</v>
      </c>
      <c r="E26" s="952"/>
      <c r="F26" s="952"/>
      <c r="G26" s="952"/>
      <c r="H26" s="952"/>
      <c r="I26" s="952"/>
      <c r="J26" s="114" t="s">
        <v>9</v>
      </c>
      <c r="K26" s="115" t="s">
        <v>10</v>
      </c>
      <c r="L26" s="115" t="s">
        <v>11</v>
      </c>
      <c r="M26" s="115" t="s">
        <v>12</v>
      </c>
      <c r="N26" s="115" t="s">
        <v>13</v>
      </c>
      <c r="O26" s="59" t="s">
        <v>14</v>
      </c>
    </row>
    <row r="27" spans="1:24" ht="3.95" customHeight="1" x14ac:dyDescent="0.3">
      <c r="A27" s="65"/>
      <c r="B27" s="65"/>
      <c r="C27" s="7"/>
      <c r="D27" s="953"/>
      <c r="E27" s="953"/>
      <c r="F27" s="953"/>
      <c r="G27" s="953"/>
      <c r="H27" s="953"/>
      <c r="I27" s="953"/>
      <c r="J27" s="116"/>
      <c r="K27" s="117" t="s">
        <v>15</v>
      </c>
      <c r="L27" s="117" t="s">
        <v>16</v>
      </c>
      <c r="M27" s="118" t="s">
        <v>17</v>
      </c>
      <c r="N27" s="117" t="s">
        <v>18</v>
      </c>
      <c r="O27" s="97" t="s">
        <v>19</v>
      </c>
    </row>
    <row r="28" spans="1:24" ht="26.45" customHeight="1" x14ac:dyDescent="0.3">
      <c r="A28" s="65"/>
      <c r="B28" s="65"/>
      <c r="C28" s="7"/>
      <c r="D28" s="958" t="s">
        <v>8</v>
      </c>
      <c r="E28" s="958"/>
      <c r="F28" s="958"/>
      <c r="G28" s="958"/>
      <c r="H28" s="958"/>
      <c r="I28" s="958"/>
      <c r="J28" s="946" t="s">
        <v>9</v>
      </c>
      <c r="K28" s="946"/>
      <c r="L28" s="938" t="s">
        <v>10</v>
      </c>
      <c r="M28" s="938"/>
      <c r="N28" s="1" t="s">
        <v>11</v>
      </c>
      <c r="O28" s="1" t="s">
        <v>12</v>
      </c>
      <c r="P28" s="2" t="s">
        <v>13</v>
      </c>
      <c r="Q28" s="45" t="s">
        <v>14</v>
      </c>
    </row>
    <row r="29" spans="1:24" ht="18.600000000000001" customHeight="1" x14ac:dyDescent="0.3">
      <c r="A29" s="65"/>
      <c r="B29" s="65"/>
      <c r="C29" s="7"/>
      <c r="D29" s="959"/>
      <c r="E29" s="959"/>
      <c r="F29" s="959"/>
      <c r="G29" s="959"/>
      <c r="H29" s="959"/>
      <c r="I29" s="959"/>
      <c r="J29" s="947"/>
      <c r="K29" s="947"/>
      <c r="L29" s="939" t="s">
        <v>15</v>
      </c>
      <c r="M29" s="939"/>
      <c r="N29" s="3" t="s">
        <v>16</v>
      </c>
      <c r="O29" s="4" t="s">
        <v>17</v>
      </c>
      <c r="P29" s="5" t="s">
        <v>18</v>
      </c>
      <c r="Q29" s="45" t="s">
        <v>19</v>
      </c>
    </row>
    <row r="30" spans="1:24" ht="76.5" customHeight="1" x14ac:dyDescent="0.25">
      <c r="A30" s="65"/>
      <c r="B30" s="65"/>
      <c r="C30" s="8" t="s">
        <v>42</v>
      </c>
      <c r="D30" s="954" t="s">
        <v>221</v>
      </c>
      <c r="E30" s="954"/>
      <c r="F30" s="954"/>
      <c r="G30" s="954"/>
      <c r="H30" s="954"/>
      <c r="I30" s="954"/>
      <c r="J30" s="948" t="s">
        <v>222</v>
      </c>
      <c r="K30" s="948"/>
      <c r="L30" s="940">
        <v>0</v>
      </c>
      <c r="M30" s="940"/>
      <c r="N30" s="451">
        <v>1</v>
      </c>
      <c r="O30" s="451">
        <v>2</v>
      </c>
      <c r="P30" s="451">
        <v>3</v>
      </c>
      <c r="Q30" s="452"/>
    </row>
    <row r="31" spans="1:24" ht="63.6" customHeight="1" x14ac:dyDescent="0.25">
      <c r="A31" s="65"/>
      <c r="B31" s="65"/>
      <c r="C31" s="8" t="s">
        <v>45</v>
      </c>
      <c r="D31" s="956" t="s">
        <v>223</v>
      </c>
      <c r="E31" s="956"/>
      <c r="F31" s="956"/>
      <c r="G31" s="956"/>
      <c r="H31" s="956"/>
      <c r="I31" s="956"/>
      <c r="J31" s="933" t="s">
        <v>224</v>
      </c>
      <c r="K31" s="933"/>
      <c r="L31" s="936">
        <v>0</v>
      </c>
      <c r="M31" s="936"/>
      <c r="N31" s="454"/>
      <c r="O31" s="454"/>
      <c r="P31" s="453">
        <v>3</v>
      </c>
      <c r="Q31" s="455"/>
    </row>
    <row r="32" spans="1:24" ht="45.6" customHeight="1" thickBot="1" x14ac:dyDescent="0.3">
      <c r="A32" s="65"/>
      <c r="B32" s="65"/>
      <c r="C32" s="8" t="s">
        <v>48</v>
      </c>
      <c r="D32" s="955" t="s">
        <v>225</v>
      </c>
      <c r="E32" s="955"/>
      <c r="F32" s="955"/>
      <c r="G32" s="955"/>
      <c r="H32" s="955"/>
      <c r="I32" s="955"/>
      <c r="J32" s="967" t="s">
        <v>226</v>
      </c>
      <c r="K32" s="967"/>
      <c r="L32" s="941">
        <v>0</v>
      </c>
      <c r="M32" s="941"/>
      <c r="N32" s="456"/>
      <c r="O32" s="456"/>
      <c r="P32" s="448">
        <v>3</v>
      </c>
      <c r="Q32" s="457"/>
    </row>
    <row r="33" spans="1:23" ht="12" customHeight="1" thickTop="1" x14ac:dyDescent="0.25">
      <c r="A33" s="65"/>
      <c r="B33" s="65"/>
      <c r="C33" s="74"/>
      <c r="D33" s="98"/>
      <c r="E33" s="99"/>
      <c r="F33" s="100"/>
      <c r="G33" s="100"/>
      <c r="H33" s="100"/>
      <c r="I33" s="100"/>
      <c r="J33" s="101"/>
      <c r="K33" s="102"/>
      <c r="L33" s="102"/>
      <c r="M33" s="102"/>
      <c r="N33" s="102"/>
      <c r="O33" s="103"/>
      <c r="P33" s="77"/>
    </row>
    <row r="34" spans="1:23" s="469" customFormat="1" ht="29.1" customHeight="1" x14ac:dyDescent="0.25">
      <c r="A34" s="466"/>
      <c r="B34" s="466"/>
      <c r="C34" s="468"/>
      <c r="D34" s="470"/>
      <c r="E34" s="471"/>
      <c r="F34" s="471"/>
      <c r="G34" s="471"/>
      <c r="H34" s="471"/>
      <c r="I34" s="471"/>
      <c r="J34" s="471"/>
      <c r="L34" s="409"/>
      <c r="M34" s="409"/>
      <c r="N34" s="611"/>
      <c r="O34" s="611" t="s">
        <v>30</v>
      </c>
      <c r="P34" s="612"/>
      <c r="Q34" s="17">
        <f>MAX(Q30:Q32)</f>
        <v>0</v>
      </c>
      <c r="R34" s="613"/>
      <c r="S34" s="613"/>
      <c r="T34" s="613"/>
      <c r="U34" s="613"/>
      <c r="V34" s="613"/>
      <c r="W34" s="613"/>
    </row>
    <row r="35" spans="1:23" ht="14.45" customHeight="1" x14ac:dyDescent="0.25">
      <c r="A35" s="65"/>
      <c r="B35" s="65"/>
      <c r="C35" s="74"/>
      <c r="D35" s="98"/>
      <c r="E35" s="99"/>
      <c r="F35" s="99"/>
      <c r="G35" s="99"/>
      <c r="H35" s="99"/>
      <c r="I35" s="99"/>
      <c r="J35" s="99"/>
      <c r="K35" s="104"/>
      <c r="L35" s="104"/>
      <c r="M35" s="104"/>
      <c r="N35" s="614"/>
      <c r="O35" s="615"/>
      <c r="P35" s="616"/>
      <c r="Q35" s="595"/>
      <c r="R35" s="6"/>
      <c r="S35" s="6"/>
      <c r="T35" s="6"/>
      <c r="U35" s="6"/>
      <c r="V35" s="6"/>
      <c r="W35" s="6"/>
    </row>
    <row r="36" spans="1:23" ht="8.4499999999999993" customHeight="1" x14ac:dyDescent="0.25">
      <c r="A36" s="65"/>
      <c r="B36" s="65"/>
      <c r="C36" s="74"/>
      <c r="K36" s="104"/>
      <c r="L36" s="104"/>
      <c r="M36" s="104"/>
      <c r="N36" s="614"/>
      <c r="O36" s="615"/>
      <c r="P36" s="616"/>
      <c r="Q36" s="595"/>
      <c r="R36" s="6"/>
      <c r="S36" s="6"/>
      <c r="T36" s="6"/>
      <c r="U36" s="6"/>
      <c r="V36" s="6"/>
      <c r="W36" s="6"/>
    </row>
    <row r="37" spans="1:23" s="469" customFormat="1" ht="29.1" customHeight="1" x14ac:dyDescent="0.25">
      <c r="A37" s="466"/>
      <c r="B37" s="466"/>
      <c r="C37" s="468"/>
      <c r="L37" s="409"/>
      <c r="M37" s="409"/>
      <c r="N37" s="611"/>
      <c r="O37" s="937" t="s">
        <v>227</v>
      </c>
      <c r="P37" s="937"/>
      <c r="Q37" s="610" t="str">
        <f>IF(Q34&lt;=1,"Low",IF(Q34&lt;=2,"Medium","High"))</f>
        <v>Low</v>
      </c>
      <c r="R37" s="613"/>
      <c r="S37" s="613"/>
      <c r="T37" s="613"/>
      <c r="U37" s="613"/>
      <c r="V37" s="613"/>
      <c r="W37" s="613"/>
    </row>
    <row r="38" spans="1:23" ht="47.45" customHeight="1" x14ac:dyDescent="0.25">
      <c r="C38" s="74"/>
      <c r="D38" s="968" t="s">
        <v>32</v>
      </c>
      <c r="E38" s="968"/>
      <c r="F38" s="968"/>
      <c r="G38" s="968"/>
      <c r="H38" s="968"/>
      <c r="I38" s="968"/>
      <c r="J38" s="968"/>
      <c r="K38" s="968"/>
      <c r="L38" s="968"/>
      <c r="M38" s="968"/>
      <c r="N38" s="968"/>
      <c r="O38" s="968"/>
      <c r="P38" s="106"/>
      <c r="Q38" s="106"/>
      <c r="R38" s="106"/>
      <c r="S38" s="106"/>
    </row>
    <row r="39" spans="1:23" ht="30.95" customHeight="1" x14ac:dyDescent="0.25">
      <c r="C39" s="74"/>
      <c r="D39" s="830" t="s">
        <v>32</v>
      </c>
      <c r="E39" s="830"/>
      <c r="F39" s="830"/>
      <c r="G39" s="830"/>
      <c r="H39" s="830"/>
      <c r="I39" s="830"/>
      <c r="J39" s="830"/>
      <c r="K39" s="830"/>
      <c r="L39" s="830"/>
      <c r="M39" s="830"/>
      <c r="N39" s="830"/>
      <c r="O39" s="830"/>
      <c r="P39" s="830"/>
      <c r="Q39" s="830"/>
      <c r="R39" s="106"/>
      <c r="S39" s="106"/>
    </row>
    <row r="40" spans="1:23" ht="20.45" customHeight="1" x14ac:dyDescent="0.25">
      <c r="C40" s="6"/>
      <c r="D40" s="945" t="s">
        <v>228</v>
      </c>
      <c r="E40" s="945"/>
      <c r="F40" s="945"/>
      <c r="G40" s="945"/>
      <c r="H40" s="945"/>
      <c r="I40" s="945"/>
      <c r="J40" s="945"/>
      <c r="K40" s="945"/>
      <c r="L40" s="945"/>
      <c r="M40" s="945"/>
      <c r="N40" s="945"/>
      <c r="O40" s="945"/>
      <c r="P40" s="945"/>
      <c r="Q40" s="945"/>
    </row>
    <row r="41" spans="1:23" ht="33" customHeight="1" x14ac:dyDescent="0.25">
      <c r="C41" s="6"/>
      <c r="D41" s="945"/>
      <c r="E41" s="945"/>
      <c r="F41" s="945"/>
      <c r="G41" s="945"/>
      <c r="H41" s="945"/>
      <c r="I41" s="945"/>
      <c r="J41" s="945"/>
      <c r="K41" s="945"/>
      <c r="L41" s="945"/>
      <c r="M41" s="945"/>
      <c r="N41" s="945"/>
      <c r="O41" s="945"/>
      <c r="P41" s="945"/>
      <c r="Q41" s="945"/>
    </row>
    <row r="42" spans="1:23" ht="14.45" customHeight="1" x14ac:dyDescent="0.25">
      <c r="C42" s="6"/>
      <c r="D42" s="114" t="s">
        <v>8</v>
      </c>
      <c r="E42" s="114"/>
      <c r="F42" s="114"/>
      <c r="G42" s="114"/>
      <c r="H42" s="114"/>
      <c r="I42" s="114"/>
      <c r="J42" s="114" t="s">
        <v>9</v>
      </c>
      <c r="K42" s="969" t="s">
        <v>36</v>
      </c>
      <c r="L42" s="969"/>
      <c r="M42" s="969" t="s">
        <v>37</v>
      </c>
      <c r="N42" s="969"/>
    </row>
    <row r="43" spans="1:23" ht="30" customHeight="1" x14ac:dyDescent="0.25">
      <c r="C43" s="6"/>
      <c r="D43" s="957" t="s">
        <v>35</v>
      </c>
      <c r="E43" s="957"/>
      <c r="F43" s="957"/>
      <c r="G43" s="957"/>
      <c r="H43" s="957"/>
      <c r="I43" s="957"/>
      <c r="J43" s="957"/>
      <c r="K43" s="445" t="s">
        <v>39</v>
      </c>
      <c r="L43" s="445" t="s">
        <v>41</v>
      </c>
      <c r="M43" s="445" t="s">
        <v>39</v>
      </c>
      <c r="N43" s="445" t="s">
        <v>41</v>
      </c>
      <c r="Q43" s="790" t="s">
        <v>554</v>
      </c>
    </row>
    <row r="44" spans="1:23" ht="21.95" customHeight="1" x14ac:dyDescent="0.25">
      <c r="D44" s="962" t="s">
        <v>8</v>
      </c>
      <c r="E44" s="963"/>
      <c r="F44" s="963"/>
      <c r="G44" s="963"/>
      <c r="H44" s="963"/>
      <c r="I44" s="963"/>
      <c r="J44" s="960" t="s">
        <v>9</v>
      </c>
      <c r="K44" s="943" t="s">
        <v>36</v>
      </c>
      <c r="L44" s="943"/>
      <c r="M44" s="943"/>
      <c r="N44" s="943" t="s">
        <v>37</v>
      </c>
      <c r="O44" s="943"/>
      <c r="P44" s="944"/>
      <c r="Q44" s="449" t="s">
        <v>14</v>
      </c>
    </row>
    <row r="45" spans="1:23" ht="45" customHeight="1" x14ac:dyDescent="0.25">
      <c r="B45" s="6"/>
      <c r="C45" s="6"/>
      <c r="D45" s="964"/>
      <c r="E45" s="965"/>
      <c r="F45" s="965"/>
      <c r="G45" s="965"/>
      <c r="H45" s="965"/>
      <c r="I45" s="965"/>
      <c r="J45" s="961"/>
      <c r="K45" s="475" t="s">
        <v>39</v>
      </c>
      <c r="L45" s="475" t="s">
        <v>40</v>
      </c>
      <c r="M45" s="475" t="s">
        <v>41</v>
      </c>
      <c r="N45" s="475" t="s">
        <v>39</v>
      </c>
      <c r="O45" s="475" t="s">
        <v>40</v>
      </c>
      <c r="P45" s="476" t="s">
        <v>41</v>
      </c>
      <c r="Q45" s="45" t="s">
        <v>229</v>
      </c>
    </row>
    <row r="46" spans="1:23" ht="60.95" customHeight="1" x14ac:dyDescent="0.25">
      <c r="B46" s="6"/>
      <c r="C46" s="13" t="s">
        <v>230</v>
      </c>
      <c r="D46" s="966" t="s">
        <v>231</v>
      </c>
      <c r="E46" s="966"/>
      <c r="F46" s="966"/>
      <c r="G46" s="966"/>
      <c r="H46" s="966"/>
      <c r="I46" s="966"/>
      <c r="J46" s="477" t="s">
        <v>232</v>
      </c>
      <c r="K46" s="478">
        <v>1</v>
      </c>
      <c r="L46" s="451">
        <v>0.9</v>
      </c>
      <c r="M46" s="451">
        <v>0.8</v>
      </c>
      <c r="N46" s="478">
        <v>1.2</v>
      </c>
      <c r="O46" s="478">
        <v>1.3</v>
      </c>
      <c r="P46" s="478">
        <v>1.5</v>
      </c>
      <c r="Q46" s="788">
        <v>1.5</v>
      </c>
    </row>
    <row r="47" spans="1:23" ht="60.95" customHeight="1" x14ac:dyDescent="0.25">
      <c r="B47" s="6"/>
      <c r="C47" s="13" t="s">
        <v>233</v>
      </c>
      <c r="D47" s="956" t="s">
        <v>234</v>
      </c>
      <c r="E47" s="956"/>
      <c r="F47" s="956"/>
      <c r="G47" s="956"/>
      <c r="H47" s="956"/>
      <c r="I47" s="956"/>
      <c r="J47" s="479" t="s">
        <v>235</v>
      </c>
      <c r="K47" s="472">
        <v>1</v>
      </c>
      <c r="L47" s="453">
        <v>0.9</v>
      </c>
      <c r="M47" s="453">
        <v>0.8</v>
      </c>
      <c r="N47" s="472">
        <v>1.2</v>
      </c>
      <c r="O47" s="472">
        <v>1.3</v>
      </c>
      <c r="P47" s="472">
        <v>1.5</v>
      </c>
      <c r="Q47" s="788">
        <v>1.5</v>
      </c>
    </row>
    <row r="48" spans="1:23" ht="61.5" customHeight="1" x14ac:dyDescent="0.25">
      <c r="B48" s="6"/>
      <c r="C48" s="13" t="s">
        <v>236</v>
      </c>
      <c r="D48" s="956" t="s">
        <v>237</v>
      </c>
      <c r="E48" s="956"/>
      <c r="F48" s="956"/>
      <c r="G48" s="956"/>
      <c r="H48" s="956"/>
      <c r="I48" s="956"/>
      <c r="J48" s="479" t="s">
        <v>238</v>
      </c>
      <c r="K48" s="472">
        <v>1</v>
      </c>
      <c r="L48" s="453">
        <v>0.9</v>
      </c>
      <c r="M48" s="453">
        <v>0.8</v>
      </c>
      <c r="N48" s="472">
        <v>1.2</v>
      </c>
      <c r="O48" s="472">
        <v>1.3</v>
      </c>
      <c r="P48" s="472">
        <v>1.5</v>
      </c>
      <c r="Q48" s="788">
        <v>0.8</v>
      </c>
      <c r="S48" s="191"/>
      <c r="T48" s="191"/>
    </row>
    <row r="49" spans="2:20" ht="48.95" customHeight="1" thickBot="1" x14ac:dyDescent="0.3">
      <c r="B49" s="6"/>
      <c r="C49" s="13" t="s">
        <v>239</v>
      </c>
      <c r="D49" s="949" t="s">
        <v>240</v>
      </c>
      <c r="E49" s="949"/>
      <c r="F49" s="949"/>
      <c r="G49" s="949"/>
      <c r="H49" s="949"/>
      <c r="I49" s="949"/>
      <c r="J49" s="480" t="s">
        <v>241</v>
      </c>
      <c r="K49" s="473">
        <v>1</v>
      </c>
      <c r="L49" s="474">
        <v>0.9</v>
      </c>
      <c r="M49" s="474">
        <v>0.8</v>
      </c>
      <c r="N49" s="473">
        <v>1.2</v>
      </c>
      <c r="O49" s="473">
        <v>1.3</v>
      </c>
      <c r="P49" s="473">
        <v>1.5</v>
      </c>
      <c r="Q49" s="788">
        <v>0.8</v>
      </c>
      <c r="R49" s="58"/>
      <c r="S49" s="191"/>
      <c r="T49" s="191"/>
    </row>
    <row r="50" spans="2:20" ht="15.6" customHeight="1" x14ac:dyDescent="0.25">
      <c r="B50" s="6"/>
      <c r="C50" s="13"/>
      <c r="D50" s="109"/>
      <c r="E50" s="109"/>
      <c r="F50" s="109"/>
      <c r="G50" s="109"/>
      <c r="H50" s="109"/>
      <c r="I50" s="109"/>
      <c r="J50" s="110"/>
      <c r="K50" s="108"/>
      <c r="L50" s="111"/>
      <c r="M50" s="108"/>
      <c r="N50" s="108"/>
      <c r="O50" s="80"/>
      <c r="P50" s="58"/>
      <c r="S50" s="191"/>
      <c r="T50" s="191"/>
    </row>
    <row r="51" spans="2:20" x14ac:dyDescent="0.25">
      <c r="B51" s="6"/>
      <c r="C51" s="6"/>
      <c r="S51" s="191"/>
      <c r="T51" s="191"/>
    </row>
    <row r="52" spans="2:20" ht="29.1" customHeight="1" x14ac:dyDescent="0.25">
      <c r="B52" s="6"/>
      <c r="C52" s="6"/>
      <c r="L52" s="450"/>
      <c r="M52" s="937" t="s">
        <v>242</v>
      </c>
      <c r="N52" s="937"/>
      <c r="O52" s="937"/>
      <c r="P52" s="937"/>
      <c r="Q52" s="17" t="e">
        <f>IF($Q$46*$Q$17 &gt; 3, 3, $Q$46*$Q$17)</f>
        <v>#DIV/0!</v>
      </c>
      <c r="R52" s="6"/>
      <c r="S52" s="602" t="e">
        <f>MAX(Q52,Q17)</f>
        <v>#DIV/0!</v>
      </c>
      <c r="T52" s="19"/>
    </row>
    <row r="53" spans="2:20" ht="13.5" customHeight="1" x14ac:dyDescent="0.25">
      <c r="M53" s="6"/>
      <c r="N53" s="6"/>
      <c r="O53"/>
      <c r="P53" s="6"/>
      <c r="Q53" s="6"/>
      <c r="R53" s="6"/>
      <c r="S53" s="19"/>
      <c r="T53" s="19"/>
    </row>
    <row r="54" spans="2:20" ht="29.1" customHeight="1" x14ac:dyDescent="0.25">
      <c r="K54" s="450"/>
      <c r="L54" s="450"/>
      <c r="M54" s="937" t="s">
        <v>243</v>
      </c>
      <c r="N54" s="937"/>
      <c r="O54" s="937"/>
      <c r="P54" s="937"/>
      <c r="Q54" s="15" t="e">
        <f>IF(Q52&lt;=1,"Low",IF(Q52&lt;=2,"Medium","High"))</f>
        <v>#DIV/0!</v>
      </c>
      <c r="R54" s="617"/>
      <c r="S54" s="618"/>
      <c r="T54" s="618"/>
    </row>
    <row r="55" spans="2:20" x14ac:dyDescent="0.25">
      <c r="M55" s="6"/>
      <c r="N55" s="6"/>
      <c r="O55" s="6"/>
      <c r="P55" s="6"/>
      <c r="Q55" s="617"/>
      <c r="R55" s="617"/>
      <c r="S55" s="618"/>
      <c r="T55" s="19"/>
    </row>
    <row r="56" spans="2:20" x14ac:dyDescent="0.25">
      <c r="M56" s="6"/>
      <c r="N56" s="6"/>
      <c r="O56" s="6"/>
      <c r="P56" s="6"/>
      <c r="Q56" s="6"/>
      <c r="R56" s="6"/>
      <c r="S56" s="19"/>
      <c r="T56" s="19"/>
    </row>
    <row r="57" spans="2:20" ht="29.1" customHeight="1" x14ac:dyDescent="0.25">
      <c r="K57" s="72"/>
      <c r="L57" s="72"/>
      <c r="M57" s="942" t="s">
        <v>244</v>
      </c>
      <c r="N57" s="942"/>
      <c r="O57" s="942"/>
      <c r="P57" s="942"/>
      <c r="Q57" s="17" t="e">
        <f>IF($Q$47*$Q$1911&gt;3,3,$Q$47*$Q$19)</f>
        <v>#DIV/0!</v>
      </c>
      <c r="R57" s="6"/>
      <c r="S57" s="602" t="e">
        <f>MAX(Q57,Q19)</f>
        <v>#DIV/0!</v>
      </c>
      <c r="T57" s="19"/>
    </row>
    <row r="58" spans="2:20" x14ac:dyDescent="0.25">
      <c r="M58" s="6"/>
      <c r="N58" s="6"/>
      <c r="O58"/>
      <c r="P58" s="6"/>
      <c r="Q58" s="6"/>
      <c r="R58" s="6"/>
      <c r="S58" s="19"/>
      <c r="T58" s="19"/>
    </row>
    <row r="59" spans="2:20" ht="29.1" customHeight="1" x14ac:dyDescent="0.25">
      <c r="K59" s="450"/>
      <c r="L59" s="450"/>
      <c r="M59" s="937" t="s">
        <v>245</v>
      </c>
      <c r="N59" s="937"/>
      <c r="O59" s="937"/>
      <c r="P59" s="937"/>
      <c r="Q59" s="15" t="e">
        <f>IF(Q57&lt;=1,"Low",IF(Q57&lt;=2,"Medium","High"))</f>
        <v>#DIV/0!</v>
      </c>
      <c r="R59" s="6"/>
      <c r="S59" s="19"/>
      <c r="T59" s="19"/>
    </row>
    <row r="60" spans="2:20" x14ac:dyDescent="0.25">
      <c r="M60" s="6"/>
      <c r="N60" s="6"/>
      <c r="O60" s="6"/>
      <c r="P60" s="6"/>
      <c r="Q60" s="6"/>
      <c r="R60" s="6"/>
      <c r="S60" s="19"/>
      <c r="T60" s="19"/>
    </row>
    <row r="61" spans="2:20" x14ac:dyDescent="0.25">
      <c r="M61" s="6"/>
      <c r="N61" s="6"/>
      <c r="O61" s="6"/>
      <c r="P61" s="6"/>
      <c r="Q61" s="6"/>
      <c r="R61" s="6"/>
      <c r="S61" s="19"/>
      <c r="T61" s="19"/>
    </row>
    <row r="62" spans="2:20" ht="29.1" customHeight="1" x14ac:dyDescent="0.25">
      <c r="J62" s="73"/>
      <c r="K62" s="450"/>
      <c r="L62" s="450"/>
      <c r="M62" s="937" t="s">
        <v>246</v>
      </c>
      <c r="N62" s="937"/>
      <c r="O62" s="937"/>
      <c r="P62" s="937"/>
      <c r="Q62" s="17">
        <f>IF(MAX(Q48:Q49)*Q34 &gt; 3,3,MAX(Q48:Q49)*Q34)</f>
        <v>0</v>
      </c>
      <c r="R62" s="617"/>
      <c r="S62" s="619">
        <f>MAX(Q62,Q34)</f>
        <v>0</v>
      </c>
      <c r="T62" s="618"/>
    </row>
    <row r="63" spans="2:20" x14ac:dyDescent="0.25">
      <c r="M63" s="6"/>
      <c r="N63" s="6"/>
      <c r="O63" s="6"/>
      <c r="P63" s="6"/>
      <c r="Q63" s="6"/>
      <c r="R63" s="6"/>
      <c r="S63" s="19"/>
      <c r="T63" s="19"/>
    </row>
    <row r="64" spans="2:20" ht="29.1" customHeight="1" x14ac:dyDescent="0.25">
      <c r="L64" s="450"/>
      <c r="M64" s="937" t="s">
        <v>247</v>
      </c>
      <c r="N64" s="937"/>
      <c r="O64" s="937"/>
      <c r="P64" s="937"/>
      <c r="Q64" s="610" t="str">
        <f>IF(Q62&lt;=1,"Low",IF(Q62&lt;=2,"Medium","High"))</f>
        <v>Low</v>
      </c>
      <c r="R64" s="6"/>
      <c r="S64" s="19"/>
      <c r="T64" s="19"/>
    </row>
    <row r="65" spans="15:20" x14ac:dyDescent="0.25">
      <c r="O65" s="6"/>
      <c r="S65" s="191"/>
      <c r="T65" s="191"/>
    </row>
    <row r="66" spans="15:20" x14ac:dyDescent="0.25">
      <c r="S66" s="191"/>
      <c r="T66" s="191"/>
    </row>
    <row r="67" spans="15:20" x14ac:dyDescent="0.25">
      <c r="S67" s="191"/>
      <c r="T67" s="191"/>
    </row>
  </sheetData>
  <sheetProtection algorithmName="SHA-512" hashValue="WnYty0xEEjibMvEluXBiWhr0XhC5ccstRGPBWwe/96OeIJcAEUwR+WwMgGttfFvC5pRe6Y+dMW0+3wHt2Zz+vQ==" saltValue="1u3Kvs2h02D8c7py1qwBLg==" spinCount="100000" sheet="1" selectLockedCells="1"/>
  <mergeCells count="63">
    <mergeCell ref="K42:L42"/>
    <mergeCell ref="J14:K14"/>
    <mergeCell ref="N21:P21"/>
    <mergeCell ref="O37:P37"/>
    <mergeCell ref="L13:M13"/>
    <mergeCell ref="L14:M14"/>
    <mergeCell ref="L15:M15"/>
    <mergeCell ref="D39:Q39"/>
    <mergeCell ref="D31:I31"/>
    <mergeCell ref="D12:I12"/>
    <mergeCell ref="D14:I14"/>
    <mergeCell ref="J31:K31"/>
    <mergeCell ref="J32:K32"/>
    <mergeCell ref="A5:A6"/>
    <mergeCell ref="A8:A10"/>
    <mergeCell ref="A12:A14"/>
    <mergeCell ref="D13:I13"/>
    <mergeCell ref="D15:I15"/>
    <mergeCell ref="D8:I9"/>
    <mergeCell ref="D10:I10"/>
    <mergeCell ref="D11:I11"/>
    <mergeCell ref="D49:I49"/>
    <mergeCell ref="D17:J17"/>
    <mergeCell ref="A15:A18"/>
    <mergeCell ref="D26:I27"/>
    <mergeCell ref="D30:I30"/>
    <mergeCell ref="D32:I32"/>
    <mergeCell ref="D47:I47"/>
    <mergeCell ref="D43:J43"/>
    <mergeCell ref="D28:I29"/>
    <mergeCell ref="J44:J45"/>
    <mergeCell ref="D44:I45"/>
    <mergeCell ref="D48:I48"/>
    <mergeCell ref="D46:I46"/>
    <mergeCell ref="J15:K15"/>
    <mergeCell ref="D38:O38"/>
    <mergeCell ref="M42:N42"/>
    <mergeCell ref="M62:P62"/>
    <mergeCell ref="M64:P64"/>
    <mergeCell ref="L28:M28"/>
    <mergeCell ref="L29:M29"/>
    <mergeCell ref="L30:M30"/>
    <mergeCell ref="L31:M31"/>
    <mergeCell ref="L32:M32"/>
    <mergeCell ref="M52:P52"/>
    <mergeCell ref="M54:P54"/>
    <mergeCell ref="M57:P57"/>
    <mergeCell ref="M59:P59"/>
    <mergeCell ref="K44:M44"/>
    <mergeCell ref="N44:P44"/>
    <mergeCell ref="D40:Q41"/>
    <mergeCell ref="J28:K29"/>
    <mergeCell ref="J30:K30"/>
    <mergeCell ref="L8:M8"/>
    <mergeCell ref="L9:M9"/>
    <mergeCell ref="L10:M10"/>
    <mergeCell ref="L11:M11"/>
    <mergeCell ref="L12:M12"/>
    <mergeCell ref="J8:K9"/>
    <mergeCell ref="J10:K10"/>
    <mergeCell ref="J11:K11"/>
    <mergeCell ref="J12:K12"/>
    <mergeCell ref="J13:K13"/>
  </mergeCells>
  <conditionalFormatting sqref="O33 O35:O36 Q37">
    <cfRule type="cellIs" dxfId="181" priority="20" operator="equal">
      <formula>"Low"</formula>
    </cfRule>
  </conditionalFormatting>
  <conditionalFormatting sqref="O33 O35:O36">
    <cfRule type="cellIs" dxfId="180" priority="21" operator="equal">
      <formula>Medium</formula>
    </cfRule>
    <cfRule type="cellIs" dxfId="179" priority="22" operator="equal">
      <formula>"High"</formula>
    </cfRule>
  </conditionalFormatting>
  <conditionalFormatting sqref="O50">
    <cfRule type="cellIs" dxfId="178" priority="16" operator="equal">
      <formula>"Very High"</formula>
    </cfRule>
    <cfRule type="cellIs" dxfId="177" priority="17" operator="equal">
      <formula>"Low"</formula>
    </cfRule>
    <cfRule type="cellIs" dxfId="176" priority="18" operator="equal">
      <formula>Medium</formula>
    </cfRule>
    <cfRule type="cellIs" dxfId="175" priority="19" operator="equal">
      <formula>"High"</formula>
    </cfRule>
  </conditionalFormatting>
  <conditionalFormatting sqref="Q21:Q23 O24">
    <cfRule type="cellIs" dxfId="174" priority="26" operator="equal">
      <formula>"Low"</formula>
    </cfRule>
    <cfRule type="cellIs" dxfId="173" priority="27" operator="equal">
      <formula>"Medium"</formula>
    </cfRule>
    <cfRule type="cellIs" dxfId="172" priority="28" operator="equal">
      <formula>"High"</formula>
    </cfRule>
  </conditionalFormatting>
  <conditionalFormatting sqref="Q37">
    <cfRule type="cellIs" dxfId="171" priority="14" operator="equal">
      <formula>"Medium"</formula>
    </cfRule>
    <cfRule type="cellIs" dxfId="170" priority="15" operator="equal">
      <formula>"High"</formula>
    </cfRule>
  </conditionalFormatting>
  <conditionalFormatting sqref="Q54">
    <cfRule type="cellIs" dxfId="169" priority="1" operator="equal">
      <formula>"Low"</formula>
    </cfRule>
    <cfRule type="cellIs" dxfId="168" priority="2" operator="equal">
      <formula>"Medium"</formula>
    </cfRule>
    <cfRule type="cellIs" dxfId="167" priority="3" operator="equal">
      <formula>"High"</formula>
    </cfRule>
  </conditionalFormatting>
  <conditionalFormatting sqref="Q59">
    <cfRule type="cellIs" dxfId="166" priority="7" operator="equal">
      <formula>"Low"</formula>
    </cfRule>
    <cfRule type="cellIs" dxfId="165" priority="8" operator="equal">
      <formula>"Medium"</formula>
    </cfRule>
    <cfRule type="cellIs" dxfId="164" priority="9" operator="equal">
      <formula>"High"</formula>
    </cfRule>
  </conditionalFormatting>
  <conditionalFormatting sqref="Q64">
    <cfRule type="cellIs" dxfId="163" priority="4" operator="equal">
      <formula>"Low"</formula>
    </cfRule>
    <cfRule type="cellIs" dxfId="162" priority="5" operator="equal">
      <formula>"Medium"</formula>
    </cfRule>
    <cfRule type="cellIs" dxfId="161" priority="6" operator="equal">
      <formula>"High"</formula>
    </cfRule>
  </conditionalFormatting>
  <dataValidations count="3">
    <dataValidation type="list" allowBlank="1" showInputMessage="1" showErrorMessage="1" sqref="Q10:Q15 Q30" xr:uid="{004BBAF9-B9D5-40F7-BCBD-265472BAFD91}">
      <formula1>"0,1,2,3"</formula1>
    </dataValidation>
    <dataValidation type="list" allowBlank="1" showInputMessage="1" showErrorMessage="1" sqref="Q31:Q32" xr:uid="{7238B0BE-8426-4F42-90B1-1F3ABD54FB41}">
      <formula1>"0,3"</formula1>
    </dataValidation>
    <dataValidation type="list" allowBlank="1" showInputMessage="1" showErrorMessage="1" sqref="Q46:Q49" xr:uid="{05301421-90B8-4457-A51D-61B2CFF39FB9}">
      <formula1>"0.8,0.9,1,1.2,1.3,1.5"</formula1>
    </dataValidation>
  </dataValidations>
  <pageMargins left="0.7" right="0.7" top="0.75" bottom="0.75" header="0.3" footer="0.3"/>
  <headerFooter>
    <oddHeader>&amp;C&amp;"Calibri"&amp;10&amp;K808080 Corporate Use&amp;1#_x000D_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310E-C2DD-49FE-B42C-427BB272108F}">
  <sheetPr codeName="Φύλλο2">
    <tabColor rgb="FF990033"/>
  </sheetPr>
  <dimension ref="A2:AF57"/>
  <sheetViews>
    <sheetView zoomScale="70" zoomScaleNormal="70" workbookViewId="0">
      <selection activeCell="T39" sqref="T39"/>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67.140625" style="29" customWidth="1"/>
    <col min="6" max="6" width="1.5703125" style="29" customWidth="1"/>
    <col min="7" max="7" width="47.5703125" style="29" customWidth="1"/>
    <col min="8" max="8" width="39.7109375" style="29" customWidth="1"/>
    <col min="9" max="9" width="41.28515625" style="29" customWidth="1"/>
    <col min="10" max="10" width="40.140625" style="29" customWidth="1"/>
    <col min="11" max="12" width="15.42578125" style="29" customWidth="1"/>
    <col min="13" max="13" width="1" style="29" customWidth="1"/>
    <col min="14" max="14" width="35.5703125" style="29" customWidth="1"/>
    <col min="15" max="15" width="42.5703125" style="29" customWidth="1"/>
    <col min="16" max="16" width="1.140625" style="29" customWidth="1"/>
    <col min="17" max="17" width="16.28515625" style="29" customWidth="1"/>
    <col min="18" max="18" width="15.42578125" style="29" customWidth="1"/>
    <col min="19" max="19" width="26.42578125" style="29" customWidth="1"/>
    <col min="20" max="24" width="35.5703125" style="29" customWidth="1"/>
    <col min="25" max="26" width="15.42578125" style="136" customWidth="1"/>
    <col min="27" max="27" width="1.85546875" style="29" customWidth="1"/>
    <col min="28" max="28" width="35.5703125" style="29" customWidth="1"/>
    <col min="29" max="29" width="1.85546875" style="29" customWidth="1"/>
    <col min="30" max="30" width="14.5703125" style="29" customWidth="1"/>
    <col min="31" max="31" width="15.5703125" style="29" customWidth="1"/>
    <col min="32" max="32" width="29.140625" style="29" customWidth="1"/>
    <col min="33" max="16384" width="9.140625" style="29"/>
  </cols>
  <sheetData>
    <row r="2" spans="1:32" ht="20.25" x14ac:dyDescent="0.3">
      <c r="A2" s="30"/>
      <c r="B2" s="849" t="s">
        <v>248</v>
      </c>
      <c r="C2" s="849"/>
      <c r="D2" s="849"/>
      <c r="E2" s="849"/>
      <c r="R2" s="73"/>
    </row>
    <row r="3" spans="1:32" ht="41.45" customHeight="1" thickBot="1" x14ac:dyDescent="0.5">
      <c r="A3" s="548"/>
      <c r="B3" s="435" t="s">
        <v>85</v>
      </c>
      <c r="C3" s="32"/>
      <c r="D3" s="32"/>
      <c r="E3" s="137"/>
      <c r="F3" s="137"/>
      <c r="G3" s="138"/>
      <c r="H3" s="33"/>
      <c r="I3" s="33"/>
      <c r="J3" s="33"/>
      <c r="K3" s="33"/>
      <c r="L3" s="33"/>
      <c r="M3" s="33"/>
      <c r="N3" s="33"/>
      <c r="O3" s="33"/>
      <c r="P3" s="33"/>
      <c r="Q3" s="33"/>
      <c r="R3" s="33"/>
    </row>
    <row r="4" spans="1:32" ht="18.600000000000001" customHeight="1" x14ac:dyDescent="0.3">
      <c r="A4" s="30"/>
      <c r="B4" s="31"/>
      <c r="C4" s="139"/>
      <c r="D4" s="139"/>
    </row>
    <row r="5" spans="1:32" ht="75.95" customHeight="1" x14ac:dyDescent="0.3">
      <c r="A5" s="140"/>
      <c r="C5" s="37"/>
      <c r="D5" s="37"/>
      <c r="E5" s="549" t="s">
        <v>86</v>
      </c>
      <c r="F5" s="141"/>
      <c r="G5" s="756" t="str">
        <f>'Water_Soil-Step 2'!G5</f>
        <v>Small Residential/Office/Shop</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2" ht="18.600000000000001" customHeight="1" x14ac:dyDescent="0.25">
      <c r="A6" s="851"/>
      <c r="B6" s="38"/>
      <c r="C6" s="139"/>
      <c r="D6" s="139"/>
      <c r="H6" s="411"/>
    </row>
    <row r="7" spans="1:32" ht="48.6" customHeight="1" x14ac:dyDescent="0.25">
      <c r="A7" s="851"/>
      <c r="B7" s="37" t="s">
        <v>249</v>
      </c>
      <c r="D7" s="37"/>
      <c r="S7" s="143"/>
      <c r="T7" s="143"/>
      <c r="AF7" s="143"/>
    </row>
    <row r="8" spans="1:32" ht="19.5" customHeight="1" x14ac:dyDescent="0.25">
      <c r="A8" s="851"/>
      <c r="B8" s="543" t="s">
        <v>89</v>
      </c>
      <c r="C8" s="543"/>
      <c r="D8" s="543"/>
      <c r="E8" s="543"/>
      <c r="F8" s="52"/>
      <c r="G8" s="852" t="s">
        <v>250</v>
      </c>
      <c r="H8" s="852"/>
      <c r="I8" s="852"/>
      <c r="J8" s="852"/>
      <c r="K8" s="852"/>
      <c r="L8" s="144"/>
      <c r="M8" s="85"/>
      <c r="N8" s="145" t="s">
        <v>251</v>
      </c>
      <c r="O8" s="146"/>
      <c r="P8" s="106"/>
      <c r="Q8" s="853" t="s">
        <v>92</v>
      </c>
      <c r="R8" s="853"/>
      <c r="T8" s="872"/>
      <c r="U8" s="872"/>
      <c r="V8" s="872"/>
      <c r="W8" s="872"/>
      <c r="X8" s="872"/>
      <c r="Y8" s="872"/>
      <c r="Z8" s="147"/>
      <c r="AA8" s="85"/>
      <c r="AB8" s="106"/>
      <c r="AC8" s="106"/>
      <c r="AD8" s="794"/>
      <c r="AE8" s="794"/>
    </row>
    <row r="9" spans="1:32" ht="44.45" customHeight="1" x14ac:dyDescent="0.25">
      <c r="A9" s="851"/>
      <c r="B9" s="863" t="s">
        <v>93</v>
      </c>
      <c r="C9" s="863"/>
      <c r="D9" s="740"/>
      <c r="E9" s="177"/>
      <c r="F9" s="52"/>
      <c r="G9" s="864" t="s">
        <v>94</v>
      </c>
      <c r="H9" s="864"/>
      <c r="I9" s="864"/>
      <c r="J9" s="864"/>
      <c r="K9" s="193"/>
      <c r="L9" s="193"/>
      <c r="M9" s="85"/>
      <c r="N9" s="865" t="s">
        <v>95</v>
      </c>
      <c r="O9" s="865"/>
      <c r="P9" s="201"/>
      <c r="Q9" s="113"/>
      <c r="R9" s="113"/>
      <c r="T9" s="147"/>
      <c r="U9" s="147"/>
      <c r="V9" s="147"/>
      <c r="W9" s="147"/>
      <c r="X9" s="147"/>
      <c r="Y9" s="147"/>
      <c r="Z9" s="147"/>
      <c r="AA9" s="85"/>
      <c r="AB9" s="106"/>
      <c r="AC9" s="106"/>
      <c r="AD9" s="56"/>
      <c r="AE9" s="56"/>
    </row>
    <row r="10" spans="1:32" ht="27" customHeight="1" x14ac:dyDescent="0.25">
      <c r="A10" s="851"/>
      <c r="B10" s="863"/>
      <c r="C10" s="863"/>
      <c r="D10" s="740"/>
      <c r="E10" s="189"/>
      <c r="G10" s="95" t="s">
        <v>96</v>
      </c>
      <c r="H10" s="95" t="s">
        <v>97</v>
      </c>
      <c r="I10" s="95" t="s">
        <v>98</v>
      </c>
      <c r="J10" s="95" t="s">
        <v>99</v>
      </c>
      <c r="K10" s="148"/>
      <c r="L10" s="148"/>
      <c r="M10" s="148"/>
      <c r="N10" s="95" t="s">
        <v>100</v>
      </c>
      <c r="O10" s="95" t="s">
        <v>101</v>
      </c>
      <c r="P10" s="95"/>
      <c r="Q10" s="6"/>
      <c r="R10" s="6"/>
      <c r="T10" s="95"/>
      <c r="U10" s="95"/>
      <c r="V10" s="95"/>
      <c r="W10" s="95"/>
      <c r="X10" s="95"/>
      <c r="Y10" s="148"/>
      <c r="Z10" s="148"/>
      <c r="AA10" s="148"/>
      <c r="AB10" s="95"/>
      <c r="AC10" s="95"/>
    </row>
    <row r="11" spans="1:32" ht="72.599999999999994" customHeight="1" x14ac:dyDescent="0.3">
      <c r="A11" s="866"/>
      <c r="B11" s="868"/>
      <c r="C11" s="869"/>
      <c r="D11" s="552"/>
      <c r="E11" s="553"/>
      <c r="F11" s="156"/>
      <c r="G11" s="194" t="str">
        <f>IF(G5="Small Residential/Office/Shop", "Based on past experience, is the building expected to remain functional or (sustain minor damage) in case of a heat wave?", "Based on past experience, is the component expected to remain functional or (sustain slight damage) in case of a heat wave?")</f>
        <v>Based on past experience, is the building expected to remain functional or (sustain minor damage) in case of a heat wave?</v>
      </c>
      <c r="H11" s="186" t="str">
        <f>IF(G5="Small Residential/Office/Shop", "Is the building heat resistant by design (i.e., equipped with double-glazed windows, thermally insulated walls etc)?", "Is the component heat-resistant by design? For structural components, this may include double-glazed windows, insulated walls etc. For equipment, consult the manufacturer's specifications?")</f>
        <v>Is the building heat resistant by design (i.e., equipped with double-glazed windows, thermally insulated walls etc)?</v>
      </c>
      <c r="I11" s="186" t="str">
        <f>IF(G5="Small Residential/Office/Shop","If power fails, will the facility continue to work?", "Can the component operate in case of power failure using on-premises power generation?   .")</f>
        <v>If power fails, will the facility continue to work?</v>
      </c>
      <c r="J11" s="186" t="str">
        <f>IF(G5="Small Residential/Office/Shop", "Is the building exterior or interior protected from extreme heat (e.g., shading, ventilation/airconditioning)?", "Is the component protected from heat through applicable measures (e.g. shading, ventilation/airconditioning) ?")</f>
        <v>Is the building exterior or interior protected from extreme heat (e.g., shading, ventilation/airconditioning)?</v>
      </c>
      <c r="K11" s="178" t="s">
        <v>103</v>
      </c>
      <c r="L11" s="179" t="s">
        <v>104</v>
      </c>
      <c r="M11" s="148"/>
      <c r="N11" s="594" t="s">
        <v>105</v>
      </c>
      <c r="O11" s="594" t="str">
        <f>IF(G5="Small Residential/Office/Shop", " ","Will the component be able to manage an increased influx of users?  Or Are there established procedures (e.g. remote learning /working) that could ensure service continuity?")</f>
        <v xml:space="preserve"> </v>
      </c>
      <c r="P11" s="149"/>
      <c r="Q11" s="180" t="s">
        <v>106</v>
      </c>
      <c r="R11" s="181" t="s">
        <v>107</v>
      </c>
      <c r="T11" s="150"/>
      <c r="U11" s="150"/>
      <c r="V11" s="150"/>
      <c r="W11" s="150"/>
      <c r="X11" s="150"/>
      <c r="Y11" s="150"/>
      <c r="Z11" s="49"/>
      <c r="AA11" s="148"/>
      <c r="AB11" s="149"/>
      <c r="AC11" s="149"/>
      <c r="AD11" s="151"/>
      <c r="AE11" s="151"/>
    </row>
    <row r="12" spans="1:32" ht="59.1" customHeight="1" x14ac:dyDescent="0.25">
      <c r="A12" s="867"/>
      <c r="B12" s="870" t="s">
        <v>108</v>
      </c>
      <c r="C12" s="871"/>
      <c r="D12" s="554" t="s">
        <v>109</v>
      </c>
      <c r="E12" s="555" t="s">
        <v>110</v>
      </c>
      <c r="F12" s="156"/>
      <c r="G12" s="182" t="s">
        <v>111</v>
      </c>
      <c r="H12" s="182" t="s">
        <v>111</v>
      </c>
      <c r="I12" s="182" t="s">
        <v>111</v>
      </c>
      <c r="J12" s="182" t="s">
        <v>111</v>
      </c>
      <c r="K12" s="182" t="s">
        <v>112</v>
      </c>
      <c r="L12" s="183" t="s">
        <v>113</v>
      </c>
      <c r="M12" s="107"/>
      <c r="N12" s="195" t="s">
        <v>114</v>
      </c>
      <c r="O12" s="195" t="str">
        <f>IF(F5="Small Residential/Office/Shop", " ","[3: Yes | 2: Most Likely | 1: Likely | 0: No ]")</f>
        <v>[3: Yes | 2: Most Likely | 1: Likely | 0: No ]</v>
      </c>
      <c r="P12" s="153"/>
      <c r="Q12" s="184" t="s">
        <v>14</v>
      </c>
      <c r="R12" s="185" t="s">
        <v>113</v>
      </c>
      <c r="T12" s="154"/>
      <c r="U12" s="154"/>
      <c r="V12" s="155"/>
      <c r="W12" s="154"/>
      <c r="X12" s="154"/>
      <c r="Y12" s="154"/>
      <c r="Z12" s="154"/>
      <c r="AA12" s="107"/>
      <c r="AB12" s="153"/>
      <c r="AC12" s="153"/>
      <c r="AD12" s="154"/>
      <c r="AE12" s="154"/>
    </row>
    <row r="13" spans="1:32" ht="153.6" customHeight="1" x14ac:dyDescent="0.25">
      <c r="A13" s="854"/>
      <c r="B13" s="638"/>
      <c r="C13" s="550" t="str">
        <f>IF($G$5=Φύλλο2!$A$2,Φύλλο2!A3,IF($G$5=Φύλλο2!$A$22,Φύλλο2!A23,IF($G$5=Φύλλο2!$A$42,Φύλλο2!A43, IF($G$5=Φύλλο2!$A$62,Φύλλο2!A63,Φύλλο2!A83))))</f>
        <v>ALL COMPONENTS - Simplified assessment</v>
      </c>
      <c r="D13" s="633" t="str">
        <f>IF(G5="Small Residential/Office/Shop", "Active","N/A")</f>
        <v>Active</v>
      </c>
      <c r="E13" s="551" t="str">
        <f>IF($G$5=Φύλλο2!$A$2,Φύλλο2!E3,IF($G$5=Φύλλο2!$A$22,Φύλλο2!E23,IF($G$5=Φύλλο2!$A$42,Φύλλο2!E43, IF($G$5=Φύλλο2!$A$62,Φύλλο2!E63,Φύλλο2!E83))))</f>
        <v xml:space="preserve">Exterior weathering affecting the building aesthetics (e.g., color change, coating pilling); Lower AC performance when the exterior air temperature is very high; increased energy consumption for air-conditioning; power outages (in case of grid overload); High room temperatures causing discomfort of occupants. Wildfires: damages on the exterior (blackened walls, broken windows, destroyed windows and doors) or total destruction; Occupants exposed to wildfire smoke may experience danagerous health issues; clogging of AC filters causing serious malfunctions; </v>
      </c>
      <c r="F13" s="156"/>
      <c r="G13" s="158"/>
      <c r="H13" s="158"/>
      <c r="I13" s="158"/>
      <c r="J13" s="158"/>
      <c r="K13" s="200" t="e">
        <f>IF(C13="N/A","N/A",IF(D13="N/A","N/A",IF(E13="N/A","N/A",AVERAGE(G13:J13))))</f>
        <v>#DIV/0!</v>
      </c>
      <c r="L13" s="176" t="e">
        <f>IF(K13="N/A","N/A",IF(K13&lt;=1,"Low",IF(K13&lt;=2,"Medium","High")))</f>
        <v>#DIV/0!</v>
      </c>
      <c r="M13" s="107"/>
      <c r="N13" s="758"/>
      <c r="O13" s="160"/>
      <c r="P13" s="153"/>
      <c r="Q13" s="202" t="e">
        <f>IF(K13="N/A","N/A",K13-K13*(N13/3))</f>
        <v>#DIV/0!</v>
      </c>
      <c r="R13" s="176" t="e">
        <f>IF(Q13="N/A","N/A",IF(Q13&lt;=1,"Low",IF(Q13&lt;=2,"Medium","High")))</f>
        <v>#DIV/0!</v>
      </c>
      <c r="T13" s="196"/>
      <c r="U13" s="108"/>
      <c r="V13" s="108"/>
      <c r="W13" s="108"/>
      <c r="X13" s="108"/>
      <c r="Y13" s="108"/>
      <c r="Z13" s="108"/>
      <c r="AA13" s="107"/>
      <c r="AB13" s="108"/>
      <c r="AC13" s="153"/>
      <c r="AD13" s="108"/>
      <c r="AE13" s="108"/>
    </row>
    <row r="14" spans="1:32"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IF($G$5=Φύλλο2!$A$2,Φύλλο2!E4,IF($G$5=Φύλλο2!$A$22,Φύλλο2!E24,IF($G$5=Φύλλο2!$A$42,Φύλλο2!E44, IF($G$5=Φύλλο2!$A$62,Φύλλο2!E64,Φύλλο2!E84))))</f>
        <v>0</v>
      </c>
      <c r="F14" s="162"/>
      <c r="G14" s="158"/>
      <c r="H14" s="158"/>
      <c r="I14" s="158"/>
      <c r="J14" s="158"/>
      <c r="K14" s="200" t="str">
        <f>IF(D14="N/A","N/A",IF(C14=0,"N/A",IF(E14="N/A","N/A",AVERAGE(G14:J14))))</f>
        <v>N/A</v>
      </c>
      <c r="L14" s="176" t="str">
        <f t="shared" ref="L14:L30" si="0">IF(K14="N/A","N/A",IF(K14&lt;=1,"Low",IF(K14&lt;=2,"Medium","High")))</f>
        <v>N/A</v>
      </c>
      <c r="M14" s="111"/>
      <c r="N14" s="758"/>
      <c r="O14" s="160"/>
      <c r="P14" s="164"/>
      <c r="Q14" s="202" t="str">
        <f>IF(K14="N/A","N/A",K14-K14*(AVERAGE(N14)/3))</f>
        <v>N/A</v>
      </c>
      <c r="R14" s="176" t="str">
        <f>IF(Q14="N/A","N/A",IF(Q14&lt;=1,"Low",IF(Q14&lt;=2,"Medium","High")))</f>
        <v>N/A</v>
      </c>
      <c r="T14" s="108"/>
      <c r="U14" s="108"/>
      <c r="V14" s="108"/>
      <c r="W14" s="108"/>
      <c r="X14" s="108"/>
      <c r="Y14" s="108"/>
      <c r="Z14" s="108"/>
      <c r="AB14" s="108"/>
      <c r="AC14" s="111"/>
      <c r="AD14" s="108"/>
      <c r="AE14" s="108"/>
    </row>
    <row r="15" spans="1:32" ht="69.599999999999994"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IF($G$5=Φύλλο2!$A$2,Φύλλο2!E5,IF($G$5=Φύλλο2!$A$22,Φύλλο2!E25,IF($G$5=Φύλλο2!$A$42,Φύλλο2!E45, IF($G$5=Φύλλο2!$A$62,Φύλλο2!E65,Φύλλο2!E85))))</f>
        <v>0</v>
      </c>
      <c r="F15" s="165"/>
      <c r="G15" s="158"/>
      <c r="H15" s="158"/>
      <c r="I15" s="160"/>
      <c r="J15" s="158"/>
      <c r="K15" s="200" t="str">
        <f>IF(D15="N/A","N/A",IF(C15=0,"N/A",IF(E15="N/A","N/A",AVERAGE(G15:H15,J15:J15))))</f>
        <v>N/A</v>
      </c>
      <c r="L15" s="176" t="str">
        <f t="shared" si="0"/>
        <v>N/A</v>
      </c>
      <c r="M15" s="111"/>
      <c r="N15" s="758"/>
      <c r="O15" s="159"/>
      <c r="P15" s="164"/>
      <c r="Q15" s="202" t="str">
        <f>IF(K15="N/A","N/A",K15-K15*(AVERAGE(N15:O15)/3))</f>
        <v>N/A</v>
      </c>
      <c r="R15" s="176" t="str">
        <f t="shared" ref="R15:R30" si="1">IF(Q15="N/A","N/A",IF(Q15&lt;=1,"Low",IF(Q15&lt;=2,"Medium","High")))</f>
        <v>N/A</v>
      </c>
      <c r="T15" s="108"/>
      <c r="U15" s="108"/>
      <c r="V15" s="108"/>
      <c r="W15" s="108"/>
      <c r="X15" s="108"/>
      <c r="Y15" s="108"/>
      <c r="Z15" s="108"/>
      <c r="AB15" s="108"/>
      <c r="AC15" s="111"/>
      <c r="AD15" s="108"/>
      <c r="AE15" s="108"/>
    </row>
    <row r="16" spans="1:32" ht="54.6" customHeight="1" x14ac:dyDescent="0.25">
      <c r="A16" s="197"/>
      <c r="B16" s="856"/>
      <c r="C16" s="544">
        <f>IF($G$5=Φύλλο2!$A$2,Φύλλο2!A6,IF($G$5=Φύλλο2!$A$22,Φύλλο2!A26,IF($G$5=Φύλλο2!$A$42,Φύλλο2!A46, IF($G$5=Φύλλο2!$A$62,Φύλλο2!A66,Φύλλο2!A86))))</f>
        <v>0</v>
      </c>
      <c r="D16" s="634" t="s">
        <v>116</v>
      </c>
      <c r="E16" s="551">
        <f>IF($G$5=Φύλλο2!$A$2,Φύλλο2!E6,IF($G$5=Φύλλο2!$A$22,Φύλλο2!E26,IF($G$5=Φύλλο2!$A$42,Φύλλο2!E46, IF($G$5=Φύλλο2!$A$62,Φύλλο2!E66,Φύλλο2!E86))))</f>
        <v>0</v>
      </c>
      <c r="F16" s="162"/>
      <c r="G16" s="158"/>
      <c r="H16" s="158"/>
      <c r="I16" s="160"/>
      <c r="J16" s="158"/>
      <c r="K16" s="200" t="str">
        <f>IF(D16="N/A","N/A",IF(C16=0,"N/A",IF(E16="N/A","N/A",AVERAGE(G16:H16,J16:J16))))</f>
        <v>N/A</v>
      </c>
      <c r="L16" s="176" t="str">
        <f t="shared" si="0"/>
        <v>N/A</v>
      </c>
      <c r="M16" s="111"/>
      <c r="N16" s="758"/>
      <c r="O16" s="160"/>
      <c r="P16" s="164"/>
      <c r="Q16" s="202" t="str">
        <f>IF(K16="N/A","N/A",K16-K16*(AVERAGE(N16)/3))</f>
        <v>N/A</v>
      </c>
      <c r="R16" s="176" t="str">
        <f t="shared" si="1"/>
        <v>N/A</v>
      </c>
      <c r="T16" s="108"/>
      <c r="U16" s="108"/>
      <c r="V16" s="108"/>
      <c r="W16" s="108"/>
      <c r="X16" s="108"/>
      <c r="Y16" s="108"/>
      <c r="Z16" s="108"/>
      <c r="AB16" s="108"/>
      <c r="AC16" s="111"/>
      <c r="AD16" s="108"/>
      <c r="AE16" s="108"/>
    </row>
    <row r="17" spans="1:31" ht="95.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IF($G$5=Φύλλο2!$A$2,Φύλλο2!E7,IF($G$5=Φύλλο2!$A$22,Φύλλο2!E27,IF($G$5=Φύλλο2!$A$42,Φύλλο2!E47, IF($G$5=Φύλλο2!$A$62,Φύλλο2!E67,Φύλλο2!E87))))</f>
        <v>0</v>
      </c>
      <c r="F17" s="162"/>
      <c r="G17" s="158"/>
      <c r="H17" s="158"/>
      <c r="I17" s="158"/>
      <c r="J17" s="168"/>
      <c r="K17" s="200" t="str">
        <f>IF(D17="N/A","N/A",IF(C17=0,"N/A",IF(E17="N/A","N/A",AVERAGE(G17,H17:I17))))</f>
        <v>N/A</v>
      </c>
      <c r="L17" s="176" t="str">
        <f t="shared" si="0"/>
        <v>N/A</v>
      </c>
      <c r="M17" s="111"/>
      <c r="N17" s="758"/>
      <c r="O17" s="159"/>
      <c r="P17" s="164"/>
      <c r="Q17" s="202" t="str">
        <f>IF(K17="N/A","N/A",K17-K17*(AVERAGE(N17:O17)/3))</f>
        <v>N/A</v>
      </c>
      <c r="R17" s="176" t="str">
        <f t="shared" si="1"/>
        <v>N/A</v>
      </c>
      <c r="T17" s="108"/>
      <c r="U17" s="108"/>
      <c r="V17" s="108"/>
      <c r="W17" s="108"/>
      <c r="X17" s="108"/>
      <c r="Y17" s="108"/>
      <c r="Z17" s="108"/>
      <c r="AB17" s="108"/>
      <c r="AC17" s="111"/>
      <c r="AD17" s="108"/>
      <c r="AE17" s="108"/>
    </row>
    <row r="18" spans="1:31" ht="79.5"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IF($G$5=Φύλλο2!$A$2,Φύλλο2!E8,IF($G$5=Φύλλο2!$A$22,Φύλλο2!E28,IF($G$5=Φύλλο2!$A$42,Φύλλο2!E48, IF($G$5=Φύλλο2!$A$62,Φύλλο2!E68,Φύλλο2!E88))))</f>
        <v>0</v>
      </c>
      <c r="F18" s="162"/>
      <c r="G18" s="158"/>
      <c r="H18" s="158"/>
      <c r="I18" s="158"/>
      <c r="J18" s="158"/>
      <c r="K18" s="200" t="str">
        <f>IF(D18="N/A","N/A",IF(C18=0,"N/A",IF(E18="N/A","N/A",AVERAGE(G18:J18))))</f>
        <v>N/A</v>
      </c>
      <c r="L18" s="176" t="str">
        <f t="shared" si="0"/>
        <v>N/A</v>
      </c>
      <c r="M18" s="111"/>
      <c r="N18" s="758"/>
      <c r="O18" s="159"/>
      <c r="P18" s="164"/>
      <c r="Q18" s="202" t="str">
        <f>IF(K18="N/A","N/A",K18-K18*(AVERAGE(N18:O18)/3))</f>
        <v>N/A</v>
      </c>
      <c r="R18" s="176" t="str">
        <f t="shared" si="1"/>
        <v>N/A</v>
      </c>
      <c r="T18" s="111"/>
      <c r="U18" s="111"/>
      <c r="V18" s="108"/>
      <c r="W18" s="108"/>
      <c r="X18" s="111"/>
      <c r="Y18" s="111"/>
      <c r="Z18" s="103"/>
      <c r="AB18" s="111"/>
      <c r="AC18" s="111"/>
      <c r="AD18" s="62"/>
      <c r="AE18" s="103"/>
    </row>
    <row r="19" spans="1:31"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IF($G$5=Φύλλο2!$A$2,Φύλλο2!E9,IF($G$5=Φύλλο2!$A$22,Φύλλο2!E29,IF($G$5=Φύλλο2!$A$42,Φύλλο2!E49, IF($G$5=Φύλλο2!$A$62,Φύλλο2!E69,Φύλλο2!E89))))</f>
        <v>0</v>
      </c>
      <c r="F19" s="165"/>
      <c r="G19" s="158"/>
      <c r="H19" s="158"/>
      <c r="I19" s="158"/>
      <c r="J19" s="158"/>
      <c r="K19" s="200" t="str">
        <f>IF(D19="N/A","N/A",IF(C19=0,"N/A",IF(E19="N/A","N/A",AVERAGE(G19:J19))))</f>
        <v>N/A</v>
      </c>
      <c r="L19" s="176" t="str">
        <f t="shared" si="0"/>
        <v>N/A</v>
      </c>
      <c r="M19" s="111"/>
      <c r="N19" s="758"/>
      <c r="O19" s="160"/>
      <c r="P19" s="164"/>
      <c r="Q19" s="202" t="str">
        <f>IF(K19="N/A","N/A",K19-K19*(AVERAGE(N19)/3))</f>
        <v>N/A</v>
      </c>
      <c r="R19" s="176" t="str">
        <f t="shared" si="1"/>
        <v>N/A</v>
      </c>
      <c r="T19" s="111"/>
      <c r="U19" s="111"/>
      <c r="V19" s="108"/>
      <c r="W19" s="108"/>
      <c r="X19" s="111"/>
      <c r="Y19" s="111"/>
      <c r="Z19" s="103"/>
      <c r="AB19" s="111"/>
      <c r="AC19" s="111"/>
      <c r="AD19" s="62"/>
      <c r="AE19" s="103"/>
    </row>
    <row r="20" spans="1:31" ht="92.1"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IF($G$5=Φύλλο2!$A$2,Φύλλο2!E10,IF($G$5=Φύλλο2!$A$22,Φύλλο2!E30,IF($G$5=Φύλλο2!$A$42,Φύλλο2!E50, IF($G$5=Φύλλο2!$A$62,Φύλλο2!E70,Φύλλο2!E90))))</f>
        <v>0</v>
      </c>
      <c r="F20" s="162"/>
      <c r="G20" s="158"/>
      <c r="H20" s="158"/>
      <c r="I20" s="158"/>
      <c r="J20" s="168"/>
      <c r="K20" s="200" t="str">
        <f>IF(D20="N/A","N/A",IF(C20=0,"N/A",IF(E20="N/A","N/A",AVERAGE(G20:I20))))</f>
        <v>N/A</v>
      </c>
      <c r="L20" s="176" t="str">
        <f t="shared" si="0"/>
        <v>N/A</v>
      </c>
      <c r="M20" s="111"/>
      <c r="N20" s="758"/>
      <c r="O20" s="159"/>
      <c r="P20" s="164"/>
      <c r="Q20" s="202" t="str">
        <f>IF(K20="N/A","N/A",K20-K20*(AVERAGE(N20:O20)/3))</f>
        <v>N/A</v>
      </c>
      <c r="R20" s="176" t="str">
        <f t="shared" si="1"/>
        <v>N/A</v>
      </c>
      <c r="T20" s="111"/>
      <c r="U20" s="111"/>
      <c r="V20" s="108"/>
      <c r="W20" s="108"/>
      <c r="X20" s="111"/>
      <c r="Y20" s="111"/>
      <c r="Z20" s="103"/>
      <c r="AB20" s="111"/>
      <c r="AC20" s="111"/>
      <c r="AD20" s="62"/>
      <c r="AE20" s="103"/>
    </row>
    <row r="21" spans="1:31" ht="93"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IF($G$5=Φύλλο2!$A$2,Φύλλο2!E11,IF($G$5=Φύλλο2!$A$22,Φύλλο2!E31,IF($G$5=Φύλλο2!$A$42,Φύλλο2!E51, IF($G$5=Φύλλο2!$A$62,Φύλλο2!E71,Φύλλο2!E91))))</f>
        <v>0</v>
      </c>
      <c r="F21" s="162"/>
      <c r="G21" s="158"/>
      <c r="H21" s="158"/>
      <c r="I21" s="158"/>
      <c r="J21" s="168"/>
      <c r="K21" s="200" t="str">
        <f>IF(D21="N/A","N/A",IF(C21=0,"N/A",IF(E21="N/A","N/A",AVERAGE(G21:I21))))</f>
        <v>N/A</v>
      </c>
      <c r="L21" s="176" t="str">
        <f t="shared" si="0"/>
        <v>N/A</v>
      </c>
      <c r="M21" s="111"/>
      <c r="N21" s="758"/>
      <c r="O21" s="159"/>
      <c r="P21" s="164"/>
      <c r="Q21" s="202" t="str">
        <f>IF(K21="N/A","N/A",K21-K21*(AVERAGE(N21:O21)/3))</f>
        <v>N/A</v>
      </c>
      <c r="R21" s="176" t="str">
        <f t="shared" si="1"/>
        <v>N/A</v>
      </c>
      <c r="T21" s="108"/>
      <c r="U21" s="108"/>
      <c r="V21" s="108"/>
      <c r="W21" s="108"/>
      <c r="X21" s="108"/>
      <c r="Y21" s="108"/>
      <c r="Z21" s="108"/>
      <c r="AB21" s="108"/>
      <c r="AC21" s="111"/>
      <c r="AD21" s="108"/>
      <c r="AE21" s="108"/>
    </row>
    <row r="22" spans="1:31" ht="69" customHeight="1" x14ac:dyDescent="0.25">
      <c r="A22" s="198"/>
      <c r="B22" s="857" t="s">
        <v>118</v>
      </c>
      <c r="C22" s="544">
        <f>IF($G$5=Φύλλο2!$A$2,Φύλλο2!A12,IF($G$5=Φύλλο2!$A$22,Φύλλο2!A32,IF($G$5=Φύλλο2!$A$42,Φύλλο2!A52, IF($G$5=Φύλλο2!$A$62,Φύλλο2!A72,Φύλλο2!A92))))</f>
        <v>0</v>
      </c>
      <c r="D22" s="634" t="s">
        <v>116</v>
      </c>
      <c r="E22" s="551">
        <f>IF($G$5=Φύλλο2!$A$2,Φύλλο2!E12,IF($G$5=Φύλλο2!$A$22,Φύλλο2!E32,IF($G$5=Φύλλο2!$A$42,Φύλλο2!E52, IF($G$5=Φύλλο2!$A$62,Φύλλο2!E72,Φύλλο2!E92))))</f>
        <v>0</v>
      </c>
      <c r="F22" s="162"/>
      <c r="G22" s="158"/>
      <c r="H22" s="160"/>
      <c r="I22" s="160"/>
      <c r="J22" s="168"/>
      <c r="K22" s="200" t="str">
        <f>IF(D22="N/A","N/A",IF(C22=0,"N/A",IF(E22="N/A","N/A",G22)))</f>
        <v>N/A</v>
      </c>
      <c r="L22" s="176" t="str">
        <f t="shared" si="0"/>
        <v>N/A</v>
      </c>
      <c r="M22" s="111"/>
      <c r="N22" s="758"/>
      <c r="O22" s="160"/>
      <c r="P22" s="164"/>
      <c r="Q22" s="202" t="str">
        <f>IF(K22="N/A","N/A",K22-K22*(AVERAGE(N22)/3))</f>
        <v>N/A</v>
      </c>
      <c r="R22" s="176" t="str">
        <f t="shared" si="1"/>
        <v>N/A</v>
      </c>
      <c r="T22" s="108"/>
      <c r="U22" s="108"/>
      <c r="V22" s="108"/>
      <c r="W22" s="108"/>
      <c r="X22" s="108"/>
      <c r="Y22" s="108"/>
      <c r="Z22" s="108"/>
      <c r="AB22" s="108"/>
      <c r="AC22" s="111"/>
      <c r="AD22" s="108"/>
      <c r="AE22" s="108"/>
    </row>
    <row r="23" spans="1:31" ht="59.1" customHeight="1" x14ac:dyDescent="0.25">
      <c r="A23" s="198"/>
      <c r="B23" s="858"/>
      <c r="C23" s="544">
        <f>IF($G$5=Φύλλο2!$A$2,Φύλλο2!A13,IF($G$5=Φύλλο2!$A$22,Φύλλο2!A33,IF($G$5=Φύλλο2!$A$42,Φύλλο2!A53, IF($G$5=Φύλλο2!$A$62,Φύλλο2!A73,Φύλλο2!A93))))</f>
        <v>0</v>
      </c>
      <c r="D23" s="634" t="s">
        <v>116</v>
      </c>
      <c r="E23" s="551">
        <f>IF($G$5=Φύλλο2!$A$2,Φύλλο2!E13,IF($G$5=Φύλλο2!$A$22,Φύλλο2!E33,IF($G$5=Φύλλο2!$A$42,Φύλλο2!E53, IF($G$5=Φύλλο2!$A$62,Φύλλο2!E73,Φύλλο2!E93))))</f>
        <v>0</v>
      </c>
      <c r="G23" s="158"/>
      <c r="H23" s="160"/>
      <c r="I23" s="168"/>
      <c r="J23" s="168"/>
      <c r="K23" s="200" t="str">
        <f t="shared" ref="K23:K24" si="2">IF(D23="N/A","N/A",IF(C23=0,"N/A",IF(E23="N/A","N/A",G23)))</f>
        <v>N/A</v>
      </c>
      <c r="L23" s="176" t="str">
        <f t="shared" si="0"/>
        <v>N/A</v>
      </c>
      <c r="N23" s="758"/>
      <c r="O23" s="160"/>
      <c r="Q23" s="202" t="str">
        <f>IF(K23="N/A","N/A",K23-K23*(AVERAGE(N23)/3))</f>
        <v>N/A</v>
      </c>
      <c r="R23" s="176" t="str">
        <f t="shared" si="1"/>
        <v>N/A</v>
      </c>
    </row>
    <row r="24" spans="1:31" ht="51.6" customHeight="1" x14ac:dyDescent="0.25">
      <c r="B24" s="859"/>
      <c r="C24" s="544">
        <f>IF($G$5=Φύλλο2!$A$2,Φύλλο2!A14,IF($G$5=Φύλλο2!$A$22,Φύλλο2!A34,IF($G$5=Φύλλο2!$A$42,Φύλλο2!A54, IF($G$5=Φύλλο2!$A$62,Φύλλο2!A74,Φύλλο2!A94))))</f>
        <v>0</v>
      </c>
      <c r="D24" s="634" t="s">
        <v>116</v>
      </c>
      <c r="E24" s="551">
        <f>IF($G$5=Φύλλο2!$A$2,Φύλλο2!E14,IF($G$5=Φύλλο2!$A$22,Φύλλο2!E34,IF($G$5=Φύλλο2!$A$42,Φύλλο2!E54, IF($G$5=Φύλλο2!$A$62,Φύλλο2!E74,Φύλλο2!E94))))</f>
        <v>0</v>
      </c>
      <c r="G24" s="158"/>
      <c r="H24" s="160"/>
      <c r="I24" s="168"/>
      <c r="J24" s="168"/>
      <c r="K24" s="200" t="str">
        <f t="shared" si="2"/>
        <v>N/A</v>
      </c>
      <c r="L24" s="176" t="str">
        <f t="shared" si="0"/>
        <v>N/A</v>
      </c>
      <c r="N24" s="758"/>
      <c r="O24" s="160"/>
      <c r="Q24" s="202" t="str">
        <f>IF(K24="N/A","N/A",K24-K24*(AVERAGE(N24)/3))</f>
        <v>N/A</v>
      </c>
      <c r="R24" s="176" t="str">
        <f t="shared" si="1"/>
        <v>N/A</v>
      </c>
    </row>
    <row r="25" spans="1:31" ht="89.1" customHeight="1" x14ac:dyDescent="0.25">
      <c r="B25" s="860" t="s">
        <v>119</v>
      </c>
      <c r="C25" s="544">
        <f>IF($G$5=Φύλλο2!$A$2,Φύλλο2!A15,IF($G$5=Φύλλο2!$A$22,Φύλλο2!A35,IF($G$5=Φύλλο2!$A$42,Φύλλο2!A55, IF($G$5=Φύλλο2!$A$62,Φύλλο2!A75,Φύλλο2!A95))))</f>
        <v>0</v>
      </c>
      <c r="D25" s="634" t="s">
        <v>117</v>
      </c>
      <c r="E25" s="551">
        <f>IF($G$5=Φύλλο2!$A$2,Φύλλο2!E15,IF($G$5=Φύλλο2!$A$22,Φύλλο2!E35,IF($G$5=Φύλλο2!$A$42,Φύλλο2!E55, IF($G$5=Φύλλο2!$A$62,Φύλλο2!E75,Φύλλο2!E95))))</f>
        <v>0</v>
      </c>
      <c r="G25" s="158"/>
      <c r="H25" s="158"/>
      <c r="I25" s="158"/>
      <c r="J25" s="159"/>
      <c r="K25" s="200" t="str">
        <f>IF(D25="N/A","N/A",IF(C25=0,"N/A",IF(E25="N/A","N/A",AVERAGE(G25:J25))))</f>
        <v>N/A</v>
      </c>
      <c r="L25" s="176" t="str">
        <f t="shared" si="0"/>
        <v>N/A</v>
      </c>
      <c r="N25" s="758"/>
      <c r="O25" s="159"/>
      <c r="Q25" s="202" t="str">
        <f>IF(K25="N/A","N/A",K25-K25*(AVERAGE(N25:O25)/3))</f>
        <v>N/A</v>
      </c>
      <c r="R25" s="176" t="str">
        <f t="shared" si="1"/>
        <v>N/A</v>
      </c>
    </row>
    <row r="26" spans="1:31" ht="58.5" customHeight="1" x14ac:dyDescent="0.25">
      <c r="B26" s="861"/>
      <c r="C26" s="544">
        <f>IF($G$5=Φύλλο2!$A$2,Φύλλο2!A16,IF($G$5=Φύλλο2!$A$22,Φύλλο2!A36,IF($G$5=Φύλλο2!$A$42,Φύλλο2!A56, IF($G$5=Φύλλο2!$A$62,Φύλλο2!A76,Φύλλο2!A96))))</f>
        <v>0</v>
      </c>
      <c r="D26" s="634" t="s">
        <v>116</v>
      </c>
      <c r="E26" s="551">
        <f>IF($G$5=Φύλλο2!$A$2,Φύλλο2!E16,IF($G$5=Φύλλο2!$A$22,Φύλλο2!E36,IF($G$5=Φύλλο2!$A$42,Φύλλο2!E56, IF($G$5=Φύλλο2!$A$62,Φύλλο2!E76,Φύλλο2!E96))))</f>
        <v>0</v>
      </c>
      <c r="G26" s="158"/>
      <c r="H26" s="158"/>
      <c r="I26" s="158"/>
      <c r="J26" s="158"/>
      <c r="K26" s="200" t="str">
        <f t="shared" ref="K26:K29" si="3">IF(D26="N/A","N/A",IF(C26=0,"N/A",IF(E26="N/A","N/A",AVERAGE(G26:J26))))</f>
        <v>N/A</v>
      </c>
      <c r="L26" s="176" t="str">
        <f t="shared" si="0"/>
        <v>N/A</v>
      </c>
      <c r="N26" s="758"/>
      <c r="O26" s="159"/>
      <c r="Q26" s="202" t="str">
        <f>IF(K26="N/A","N/A",K26-K26*(AVERAGE(N26:O26)/3))</f>
        <v>N/A</v>
      </c>
      <c r="R26" s="176" t="str">
        <f t="shared" si="1"/>
        <v>N/A</v>
      </c>
    </row>
    <row r="27" spans="1:31" ht="51.95" customHeight="1" x14ac:dyDescent="0.25">
      <c r="B27" s="861"/>
      <c r="C27" s="544">
        <f>IF($G$5=Φύλλο2!$A$2,Φύλλο2!A17,IF($G$5=Φύλλο2!$A$22,Φύλλο2!A37,IF($G$5=Φύλλο2!$A$42,Φύλλο2!A57, IF($G$5=Φύλλο2!$A$62,Φύλλο2!A77,Φύλλο2!A97))))</f>
        <v>0</v>
      </c>
      <c r="D27" s="634" t="s">
        <v>116</v>
      </c>
      <c r="E27" s="551">
        <f>IF($G$5=Φύλλο2!$A$2,Φύλλο2!E17,IF($G$5=Φύλλο2!$A$22,Φύλλο2!E37,IF($G$5=Φύλλο2!$A$42,Φύλλο2!E57, IF($G$5=Φύλλο2!$A$62,Φύλλο2!E77,Φύλλο2!E97))))</f>
        <v>0</v>
      </c>
      <c r="G27" s="158"/>
      <c r="H27" s="158"/>
      <c r="I27" s="158"/>
      <c r="J27" s="158"/>
      <c r="K27" s="200" t="str">
        <f t="shared" si="3"/>
        <v>N/A</v>
      </c>
      <c r="L27" s="176" t="str">
        <f t="shared" si="0"/>
        <v>N/A</v>
      </c>
      <c r="N27" s="758"/>
      <c r="O27" s="160"/>
      <c r="Q27" s="202" t="str">
        <f>IF(K27="N/A","N/A",K27-K27*(N27/3))</f>
        <v>N/A</v>
      </c>
      <c r="R27" s="176" t="str">
        <f t="shared" si="1"/>
        <v>N/A</v>
      </c>
    </row>
    <row r="28" spans="1:31" ht="53.45" customHeight="1" x14ac:dyDescent="0.45">
      <c r="B28" s="861"/>
      <c r="C28" s="544">
        <f>IF($G$5=Φύλλο2!$A$2,Φύλλο2!A18,IF($G$5=Φύλλο2!$A$22,Φύλλο2!A38,IF($G$5=Φύλλο2!$A$42,Φύλλο2!A58, IF($G$5=Φύλλο2!$A$62,Φύλλο2!A78,Φύλλο2!A98))))</f>
        <v>0</v>
      </c>
      <c r="D28" s="634" t="s">
        <v>117</v>
      </c>
      <c r="E28" s="551">
        <f>IF($G$5=Φύλλο2!$A$2,Φύλλο2!E18,IF($G$5=Φύλλο2!$A$22,Φύλλο2!E38,IF($G$5=Φύλλο2!$A$42,Φύλλο2!E58, IF($G$5=Φύλλο2!$A$62,Φύλλο2!E78,Φύλλο2!E98))))</f>
        <v>0</v>
      </c>
      <c r="F28" s="188"/>
      <c r="G28" s="158"/>
      <c r="H28" s="158"/>
      <c r="I28" s="158"/>
      <c r="J28" s="158"/>
      <c r="K28" s="200" t="str">
        <f t="shared" si="3"/>
        <v>N/A</v>
      </c>
      <c r="L28" s="176" t="str">
        <f t="shared" si="0"/>
        <v>N/A</v>
      </c>
      <c r="N28" s="758"/>
      <c r="O28" s="160"/>
      <c r="Q28" s="202" t="str">
        <f>IF(K28="N/A","N/A",K28-K28*(N28/3))</f>
        <v>N/A</v>
      </c>
      <c r="R28" s="176" t="str">
        <f t="shared" si="1"/>
        <v>N/A</v>
      </c>
      <c r="S28" s="192" t="e">
        <f>IF(G5="Schools",AVERAGE(Q13:Q25,Q28),IF(G5="Residential Building",AVERAGE(Q13:Q22),AVERAGE(Q12:Q27)))</f>
        <v>#DIV/0!</v>
      </c>
    </row>
    <row r="29" spans="1:31" ht="56.1" customHeight="1" x14ac:dyDescent="0.25">
      <c r="B29" s="861"/>
      <c r="C29" s="544">
        <f>IF($G$5=Φύλλο2!$A$2,Φύλλο2!A19,IF($G$5=Φύλλο2!$A$22,Φύλλο2!A39,IF($G$5=Φύλλο2!$A$42,Φύλλο2!A59, IF($G$5=Φύλλο2!$A$62,Φύλλο2!A79,Φύλλο2!A99))))</f>
        <v>0</v>
      </c>
      <c r="D29" s="634" t="s">
        <v>117</v>
      </c>
      <c r="E29" s="551">
        <f>IF($G$5=Φύλλο2!$A$2,Φύλλο2!E19,IF($G$5=Φύλλο2!$A$22,Φύλλο2!E39,IF($G$5=Φύλλο2!$A$42,Φύλλο2!E59, IF($G$5=Φύλλο2!$A$62,Φύλλο2!E79,Φύλλο2!E99))))</f>
        <v>0</v>
      </c>
      <c r="F29" s="174"/>
      <c r="G29" s="158"/>
      <c r="H29" s="158"/>
      <c r="I29" s="158"/>
      <c r="J29" s="158"/>
      <c r="K29" s="200" t="str">
        <f t="shared" si="3"/>
        <v>N/A</v>
      </c>
      <c r="L29" s="176" t="str">
        <f t="shared" si="0"/>
        <v>N/A</v>
      </c>
      <c r="N29" s="758"/>
      <c r="O29" s="159"/>
      <c r="Q29" s="202" t="str">
        <f>IF(K29="N/A","N/A",K29-K29*(AVERAGE(N29:O29)/3))</f>
        <v>N/A</v>
      </c>
      <c r="R29" s="176" t="str">
        <f t="shared" si="1"/>
        <v>N/A</v>
      </c>
    </row>
    <row r="30" spans="1:31" ht="77.099999999999994" customHeight="1" x14ac:dyDescent="0.25">
      <c r="B30" s="862"/>
      <c r="C30" s="544">
        <f>IF($G$5=Φύλλο2!$A$2,Φύλλο2!A20,IF($G$5=Φύλλο2!$A$22,Φύλλο2!A40,IF($G$5=Φύλλο2!$A$42,Φύλλο2!A60, IF($G$5=Φύλλο2!$A$62,Φύλλο2!A80,Φύλλο2!A100))))</f>
        <v>0</v>
      </c>
      <c r="D30" s="634" t="s">
        <v>117</v>
      </c>
      <c r="E30" s="551">
        <f>IF($G$5=Φύλλο2!$A$2,Φύλλο2!E20,IF($G$5=Φύλλο2!$A$22,Φύλλο2!E40,IF($G$5=Φύλλο2!$A$42,Φύλλο2!E60, IF($G$5=Φύλλο2!$A$62,Φύλλο2!E80,Φύλλο2!E100))))</f>
        <v>0</v>
      </c>
      <c r="F30" s="174"/>
      <c r="G30" s="158"/>
      <c r="H30" s="637"/>
      <c r="I30" s="637"/>
      <c r="J30" s="158"/>
      <c r="K30" s="200" t="str">
        <f>IF(D30="N/A","N/A",IF(C30=0,"N/A",IF(E30="N/A","N/A",AVERAGE(G30,J30))))</f>
        <v>N/A</v>
      </c>
      <c r="L30" s="176" t="str">
        <f t="shared" si="0"/>
        <v>N/A</v>
      </c>
      <c r="N30" s="758"/>
      <c r="O30" s="160"/>
      <c r="Q30" s="202" t="str">
        <f t="shared" ref="Q30" si="4">IF(K30="N/A","N/A",K30-K30*(N30/3))</f>
        <v>N/A</v>
      </c>
      <c r="R30" s="176" t="str">
        <f t="shared" si="1"/>
        <v>N/A</v>
      </c>
    </row>
    <row r="31" spans="1:31" x14ac:dyDescent="0.25">
      <c r="C31" s="190"/>
      <c r="D31" s="173"/>
      <c r="E31" s="174"/>
      <c r="F31" s="174"/>
      <c r="G31" s="174"/>
    </row>
    <row r="33" spans="2:18" ht="16.5" x14ac:dyDescent="0.25">
      <c r="B33" s="12" t="s">
        <v>252</v>
      </c>
    </row>
    <row r="35" spans="2:18" x14ac:dyDescent="0.25">
      <c r="B35" s="543" t="s">
        <v>89</v>
      </c>
      <c r="C35" s="543"/>
      <c r="D35" s="543"/>
      <c r="E35" s="543"/>
      <c r="F35" s="52"/>
      <c r="G35" s="852" t="s">
        <v>253</v>
      </c>
      <c r="H35" s="852"/>
      <c r="I35" s="852"/>
      <c r="J35" s="852"/>
      <c r="K35" s="852"/>
      <c r="L35" s="144"/>
      <c r="M35" s="85"/>
      <c r="N35" s="145"/>
      <c r="O35" s="146"/>
      <c r="P35" s="106"/>
      <c r="Q35" s="853" t="s">
        <v>92</v>
      </c>
      <c r="R35" s="853"/>
    </row>
    <row r="36" spans="2:18" ht="41.1" customHeight="1" x14ac:dyDescent="0.25">
      <c r="B36" s="863" t="s">
        <v>93</v>
      </c>
      <c r="C36" s="863"/>
      <c r="D36" s="740"/>
      <c r="E36" s="177"/>
      <c r="F36" s="52"/>
      <c r="G36" s="864" t="s">
        <v>94</v>
      </c>
      <c r="H36" s="864"/>
      <c r="I36" s="864"/>
      <c r="J36" s="864"/>
      <c r="K36" s="193"/>
      <c r="L36" s="193"/>
      <c r="M36" s="85"/>
      <c r="N36" s="865" t="s">
        <v>95</v>
      </c>
      <c r="O36" s="865"/>
      <c r="P36" s="201"/>
      <c r="Q36" s="113"/>
      <c r="R36" s="113"/>
    </row>
    <row r="37" spans="2:18" ht="34.5" customHeight="1" x14ac:dyDescent="0.3">
      <c r="B37" s="863"/>
      <c r="C37" s="863"/>
      <c r="D37" s="740"/>
      <c r="E37" s="189"/>
      <c r="G37" s="556" t="s">
        <v>102</v>
      </c>
      <c r="H37" s="556" t="s">
        <v>254</v>
      </c>
      <c r="I37" s="556" t="s">
        <v>255</v>
      </c>
      <c r="J37" s="556" t="s">
        <v>256</v>
      </c>
      <c r="K37" s="557"/>
      <c r="L37" s="557"/>
      <c r="M37" s="148"/>
      <c r="N37" s="556" t="s">
        <v>257</v>
      </c>
      <c r="O37" s="556" t="s">
        <v>258</v>
      </c>
      <c r="P37" s="95"/>
      <c r="Q37" s="6"/>
      <c r="R37" s="6"/>
    </row>
    <row r="38" spans="2:18" ht="80.099999999999994" customHeight="1" x14ac:dyDescent="0.3">
      <c r="B38" s="868"/>
      <c r="C38" s="869"/>
      <c r="D38" s="552"/>
      <c r="E38" s="553"/>
      <c r="F38" s="156"/>
      <c r="G38" s="194" t="str">
        <f>IF(G32="Small Residential/Office/Shop", "Based on past experience, is the building expected to remain functional or (sustain minor damage) when exposed to very low temperatures?", "Based on past experience, is the component expected to remain functional (or experience minimal damage) when exposed to very low temperatures? ")</f>
        <v xml:space="preserve">Based on past experience, is the component expected to remain functional (or experience minimal damage) when exposed to very low temperatures? </v>
      </c>
      <c r="H38" s="186" t="str">
        <f>IF(G32="Small Residential/Office/Shop", "Can the building mitigate heat loss or sustain very low-temperatures? (e.g., favorable building orientation; double-glazed windows, insulated roofs/walls)", "Is the component designed to mitigate heat loss or to sustain very low-temperatures? (e.g., optimized building orientation; double-glazed windows, insulated roofs, walls, pipes)")</f>
        <v>Is the component designed to mitigate heat loss or to sustain very low-temperatures? (e.g., optimized building orientation; double-glazed windows, insulated roofs, walls, pipes)</v>
      </c>
      <c r="I38" s="186" t="str">
        <f>IF(G32="Small Residential/Office/Shop"," Can the building exterior withstand excessive snow? ", "Can the component undertake the weight of excessive snow, remain intact/operational if covered by snow, or prevent snow accumulation (applies to outdoor spaces and units)? ")</f>
        <v xml:space="preserve">Can the component undertake the weight of excessive snow, remain intact/operational if covered by snow, or prevent snow accumulation (applies to outdoor spaces and units)? </v>
      </c>
      <c r="J38" s="186" t="str">
        <f>IF(G5="Small Residential/Office/Shop"," If the power fails, will the facility continue to work?", "Can the component operate in case of power failure using on-premises power generation? ")</f>
        <v xml:space="preserve"> If the power fails, will the facility continue to work?</v>
      </c>
      <c r="K38" s="178" t="s">
        <v>103</v>
      </c>
      <c r="L38" s="179" t="s">
        <v>104</v>
      </c>
      <c r="M38" s="148"/>
      <c r="N38" s="594" t="s">
        <v>105</v>
      </c>
      <c r="O38" s="594" t="str">
        <f>IF(G32="Small Residential/Office/Shop", " ","Will the component be able to manage an increased influx of users?  Or Are there established procedures (e.g. remote learning /working) that could ensure service continuity?")</f>
        <v>Will the component be able to manage an increased influx of users?  Or Are there established procedures (e.g. remote learning /working) that could ensure service continuity?</v>
      </c>
      <c r="P38" s="149"/>
      <c r="Q38" s="180" t="s">
        <v>106</v>
      </c>
      <c r="R38" s="181" t="s">
        <v>107</v>
      </c>
    </row>
    <row r="39" spans="2:18" ht="69.599999999999994" customHeight="1" x14ac:dyDescent="0.25">
      <c r="B39" s="870" t="s">
        <v>108</v>
      </c>
      <c r="C39" s="871"/>
      <c r="D39" s="554" t="s">
        <v>109</v>
      </c>
      <c r="E39" s="555" t="s">
        <v>110</v>
      </c>
      <c r="F39" s="156"/>
      <c r="G39" s="182" t="s">
        <v>111</v>
      </c>
      <c r="H39" s="182" t="s">
        <v>111</v>
      </c>
      <c r="I39" s="182" t="s">
        <v>111</v>
      </c>
      <c r="J39" s="182" t="s">
        <v>111</v>
      </c>
      <c r="K39" s="182" t="s">
        <v>112</v>
      </c>
      <c r="L39" s="183" t="s">
        <v>113</v>
      </c>
      <c r="M39" s="107"/>
      <c r="N39" s="195" t="s">
        <v>114</v>
      </c>
      <c r="O39" s="195"/>
      <c r="P39" s="153"/>
      <c r="Q39" s="184" t="s">
        <v>14</v>
      </c>
      <c r="R39" s="185" t="s">
        <v>113</v>
      </c>
    </row>
    <row r="40" spans="2:18" ht="99.95" customHeight="1" x14ac:dyDescent="0.25">
      <c r="B40" s="638"/>
      <c r="C40" s="550" t="str">
        <f>IF($G$5=Φύλλο2!$A$2,Φύλλο2!A3,IF($G$5=Φύλλο2!$A$22,Φύλλο2!A23,IF($G$5=Φύλλο2!$A$42,Φύλλο2!A43, IF($G$5=Φύλλο2!$A$62,Φύλλο2!A63,Φύλλο2!A83))))</f>
        <v>ALL COMPONENTS - Simplified assessment</v>
      </c>
      <c r="D40" s="633"/>
      <c r="E40" s="551" t="str">
        <f>IF($G$5=Φύλλο2!$A$2,Φύλλο2!F3,IF($G$5=Φύλλο2!$A$22,Φύλλο2!F23,IF($G$5=Φύλλο2!$A$42,Φύλλο2!F43, IF($G$5=Φύλλο2!$A$62,Φύλλο2!F63,Φύλλο2!F83))))</f>
        <v>Ice accumulation to walkways, garages, loading ramps, and stairways; risk of accidents; reduced accessibility; Power outages; loss of internet/telephone service; short-circuit damages of electrical equipment (TV, computers); Low indoor temperatures, discomfort for users; Freezing of water mains (if not installed below the frost line), loss of water supply</v>
      </c>
      <c r="F40" s="156"/>
      <c r="G40" s="158"/>
      <c r="H40" s="158"/>
      <c r="I40" s="158"/>
      <c r="J40" s="158"/>
      <c r="K40" s="200" t="e">
        <f>IF(C40="N/A","N/A",IF(D40="N/A","N/A",IF(E40="N/A","N/A",AVERAGE(G40:J40))))</f>
        <v>#DIV/0!</v>
      </c>
      <c r="L40" s="176" t="e">
        <f>IF(K40="N/A","N/A",IF(K40&lt;=1,"Low",IF(K40&lt;=2,"Medium","High")))</f>
        <v>#DIV/0!</v>
      </c>
      <c r="M40" s="107"/>
      <c r="N40" s="758"/>
      <c r="O40" s="168"/>
      <c r="P40" s="153"/>
      <c r="Q40" s="202" t="e">
        <f>IF(K40="N/A","N/A",K40-K40*(N40/3))</f>
        <v>#DIV/0!</v>
      </c>
      <c r="R40" s="176" t="e">
        <f>IF(Q40="N/A","N/A",IF(Q40&lt;=1,"Low",IF(Q40&lt;=2,"Medium","High")))</f>
        <v>#DIV/0!</v>
      </c>
    </row>
    <row r="41" spans="2:18" ht="47.45" customHeight="1" x14ac:dyDescent="0.25">
      <c r="B41" s="855" t="s">
        <v>115</v>
      </c>
      <c r="C41" s="550">
        <f>IF($G$5=Φύλλο2!$A$2,Φύλλο2!A4,IF($G$5=Φύλλο2!$A$22,Φύλλο2!A24,IF($G$5=Φύλλο2!$A$42,Φύλλο2!A44, IF($G$5=Φύλλο2!$A$62,Φύλλο2!A64,Φύλλο2!A84))))</f>
        <v>0</v>
      </c>
      <c r="D41" s="634" t="s">
        <v>116</v>
      </c>
      <c r="E41" s="551">
        <f>IF($G$5=Φύλλο2!$A$2,Φύλλο2!F4,IF($G$5=Φύλλο2!$A$22,Φύλλο2!F24,IF($G$5=Φύλλο2!$A$42,Φύλλο2!F44, IF($G$5=Φύλλο2!$A$62,Φύλλο2!F64,Φύλλο2!F84))))</f>
        <v>0</v>
      </c>
      <c r="F41" s="162"/>
      <c r="G41" s="158"/>
      <c r="H41" s="158"/>
      <c r="I41" s="158"/>
      <c r="J41" s="158"/>
      <c r="K41" s="200" t="str">
        <f>IF(D41="N/A","N/A",IF(C41=0,"N/A",IF(E41="N/A","N/A",AVERAGE(G41:J41))))</f>
        <v>N/A</v>
      </c>
      <c r="L41" s="176" t="str">
        <f t="shared" ref="L41:L57" si="5">IF(K41="N/A","N/A",IF(K41&lt;=1,"Low",IF(K41&lt;=2,"Medium","High")))</f>
        <v>N/A</v>
      </c>
      <c r="M41" s="111"/>
      <c r="N41" s="758"/>
      <c r="O41" s="161"/>
      <c r="P41" s="164"/>
      <c r="Q41" s="202" t="str">
        <f>IF(K41="N/A","N/A",K41-K41*(AVERAGE(N41:O41)/3))</f>
        <v>N/A</v>
      </c>
      <c r="R41" s="176" t="str">
        <f>IF(Q41="N/A","N/A",IF(Q41&lt;=1,"Low",IF(Q41&lt;=2,"Medium","High")))</f>
        <v>N/A</v>
      </c>
    </row>
    <row r="42" spans="2:18" ht="71.099999999999994" customHeight="1" x14ac:dyDescent="0.25">
      <c r="B42" s="856"/>
      <c r="C42" s="550">
        <f>IF($G$5=Φύλλο2!$A$2,Φύλλο2!A5,IF($G$5=Φύλλο2!$A$22,Φύλλο2!A25,IF($G$5=Φύλλο2!$A$42,Φύλλο2!A45, IF($G$5=Φύλλο2!$A$62,Φύλλο2!A65,Φύλλο2!A85))))</f>
        <v>0</v>
      </c>
      <c r="D42" s="634" t="s">
        <v>116</v>
      </c>
      <c r="E42" s="551">
        <f>IF($G$5=Φύλλο2!$A$2,Φύλλο2!F5,IF($G$5=Φύλλο2!$A$22,Φύλλο2!F25,IF($G$5=Φύλλο2!$A$42,Φύλλο2!F45, IF($G$5=Φύλλο2!$A$62,Φύλλο2!F65,Φύλλο2!F85))))</f>
        <v>0</v>
      </c>
      <c r="F42" s="165"/>
      <c r="G42" s="158"/>
      <c r="H42" s="158"/>
      <c r="I42" s="158"/>
      <c r="J42" s="168"/>
      <c r="K42" s="200" t="str">
        <f>IF(D42="N/A","N/A",IF(C42=0,"N/A",IF(E42="N/A","N/A",AVERAGE(G42:I42))))</f>
        <v>N/A</v>
      </c>
      <c r="L42" s="176" t="str">
        <f t="shared" si="5"/>
        <v>N/A</v>
      </c>
      <c r="M42" s="111"/>
      <c r="N42" s="758"/>
      <c r="O42" s="161"/>
      <c r="P42" s="164"/>
      <c r="Q42" s="202" t="str">
        <f>IF(K42="N/A","N/A",K42-K42*(AVERAGE(N42:O42)/3))</f>
        <v>N/A</v>
      </c>
      <c r="R42" s="176" t="str">
        <f t="shared" ref="R42:R57" si="6">IF(Q42="N/A","N/A",IF(Q42&lt;=1,"Low",IF(Q42&lt;=2,"Medium","High")))</f>
        <v>N/A</v>
      </c>
    </row>
    <row r="43" spans="2:18" ht="47.45" customHeight="1" x14ac:dyDescent="0.25">
      <c r="B43" s="856"/>
      <c r="C43" s="550">
        <f>IF($G$5=Φύλλο2!$A$2,Φύλλο2!A6,IF($G$5=Φύλλο2!$A$22,Φύλλο2!A26,IF($G$5=Φύλλο2!$A$42,Φύλλο2!A46, IF($G$5=Φύλλο2!$A$62,Φύλλο2!A66,Φύλλο2!A86))))</f>
        <v>0</v>
      </c>
      <c r="D43" s="634" t="s">
        <v>116</v>
      </c>
      <c r="E43" s="551">
        <f>IF($G$5=Φύλλο2!$A$2,Φύλλο2!F6,IF($G$5=Φύλλο2!$A$22,Φύλλο2!F26,IF($G$5=Φύλλο2!$A$42,Φύλλο2!F46, IF($G$5=Φύλλο2!$A$62,Φύλλο2!F66,Φύλλο2!F86))))</f>
        <v>0</v>
      </c>
      <c r="F43" s="162"/>
      <c r="G43" s="158"/>
      <c r="H43" s="158"/>
      <c r="I43" s="158"/>
      <c r="J43" s="168"/>
      <c r="K43" s="200" t="str">
        <f t="shared" ref="K43:K44" si="7">IF(D43="N/A","N/A",IF(C43=0,"N/A",IF(E43="N/A","N/A",AVERAGE(G43:I43))))</f>
        <v>N/A</v>
      </c>
      <c r="L43" s="176" t="str">
        <f t="shared" si="5"/>
        <v>N/A</v>
      </c>
      <c r="M43" s="111"/>
      <c r="N43" s="758"/>
      <c r="O43" s="163"/>
      <c r="P43" s="164"/>
      <c r="Q43" s="202" t="str">
        <f>IF(K43="N/A","N/A",K43-K43*(N43/3))</f>
        <v>N/A</v>
      </c>
      <c r="R43" s="176" t="str">
        <f t="shared" si="6"/>
        <v>N/A</v>
      </c>
    </row>
    <row r="44" spans="2:18" ht="47.45" customHeight="1" x14ac:dyDescent="0.25">
      <c r="B44" s="856"/>
      <c r="C44" s="550">
        <f>IF($G$5=Φύλλο2!$A$2,Φύλλο2!A7,IF($G$5=Φύλλο2!$A$22,Φύλλο2!A27,IF($G$5=Φύλλο2!$A$42,Φύλλο2!A47, IF($G$5=Φύλλο2!$A$62,Φύλλο2!A67,Φύλλο2!A87))))</f>
        <v>0</v>
      </c>
      <c r="D44" s="634" t="s">
        <v>116</v>
      </c>
      <c r="E44" s="551">
        <f>IF($G$5=Φύλλο2!$A$2,Φύλλο2!F7,IF($G$5=Φύλλο2!$A$22,Φύλλο2!F27,IF($G$5=Φύλλο2!$A$42,Φύλλο2!F47, IF($G$5=Φύλλο2!$A$62,Φύλλο2!F67,Φύλλο2!F87))))</f>
        <v>0</v>
      </c>
      <c r="F44" s="162"/>
      <c r="G44" s="158"/>
      <c r="H44" s="158"/>
      <c r="I44" s="158"/>
      <c r="J44" s="168"/>
      <c r="K44" s="200" t="str">
        <f t="shared" si="7"/>
        <v>N/A</v>
      </c>
      <c r="L44" s="176" t="str">
        <f t="shared" si="5"/>
        <v>N/A</v>
      </c>
      <c r="M44" s="111"/>
      <c r="N44" s="758"/>
      <c r="O44" s="163"/>
      <c r="P44" s="164"/>
      <c r="Q44" s="202" t="str">
        <f>IF(K44="N/A","N/A",K44-K44*(N44/3))</f>
        <v>N/A</v>
      </c>
      <c r="R44" s="176" t="str">
        <f t="shared" si="6"/>
        <v>N/A</v>
      </c>
    </row>
    <row r="45" spans="2:18" ht="47.45" customHeight="1" x14ac:dyDescent="0.25">
      <c r="B45" s="856"/>
      <c r="C45" s="550">
        <f>IF($G$5=Φύλλο2!$A$2,Φύλλο2!A8,IF($G$5=Φύλλο2!$A$22,Φύλλο2!A28,IF($G$5=Φύλλο2!$A$42,Φύλλο2!A48, IF($G$5=Φύλλο2!$A$62,Φύλλο2!A68,Φύλλο2!A88))))</f>
        <v>0</v>
      </c>
      <c r="D45" s="634" t="s">
        <v>116</v>
      </c>
      <c r="E45" s="551">
        <f>IF($G$5=Φύλλο2!$A$2,Φύλλο2!F8,IF($G$5=Φύλλο2!$A$22,Φύλλο2!F28,IF($G$5=Φύλλο2!$A$42,Φύλλο2!F48, IF($G$5=Φύλλο2!$A$62,Φύλλο2!F68,Φύλλο2!F88))))</f>
        <v>0</v>
      </c>
      <c r="F45" s="162"/>
      <c r="G45" s="158"/>
      <c r="H45" s="158"/>
      <c r="I45" s="168"/>
      <c r="J45" s="158"/>
      <c r="K45" s="200" t="str">
        <f>IF(D45="N/A","N/A",IF(C45=0,"N/A",IF(E45="N/A","N/A",AVERAGE(G45:H45,J45))))</f>
        <v>N/A</v>
      </c>
      <c r="L45" s="176" t="str">
        <f t="shared" si="5"/>
        <v>N/A</v>
      </c>
      <c r="M45" s="111"/>
      <c r="N45" s="758"/>
      <c r="O45" s="163"/>
      <c r="P45" s="164"/>
      <c r="Q45" s="202" t="str">
        <f t="shared" ref="Q45:Q57" si="8">IF(K45="N/A","N/A",K45-K45*(N45/3))</f>
        <v>N/A</v>
      </c>
      <c r="R45" s="176" t="str">
        <f t="shared" si="6"/>
        <v>N/A</v>
      </c>
    </row>
    <row r="46" spans="2:18" ht="47.45" customHeight="1" x14ac:dyDescent="0.25">
      <c r="B46" s="856"/>
      <c r="C46" s="550">
        <f>IF($G$5=Φύλλο2!$A$2,Φύλλο2!A9,IF($G$5=Φύλλο2!$A$22,Φύλλο2!A29,IF($G$5=Φύλλο2!$A$42,Φύλλο2!A49, IF($G$5=Φύλλο2!$A$62,Φύλλο2!A69,Φύλλο2!A89))))</f>
        <v>0</v>
      </c>
      <c r="D46" s="634" t="s">
        <v>116</v>
      </c>
      <c r="E46" s="551">
        <f>IF($G$5=Φύλλο2!$A$2,Φύλλο2!F9,IF($G$5=Φύλλο2!$A$22,Φύλλο2!F29,IF($G$5=Φύλλο2!$A$42,Φύλλο2!F49, IF($G$5=Φύλλο2!$A$62,Φύλλο2!F69,Φύλλο2!F89))))</f>
        <v>0</v>
      </c>
      <c r="F46" s="165"/>
      <c r="G46" s="158"/>
      <c r="H46" s="158"/>
      <c r="I46" s="168"/>
      <c r="J46" s="158"/>
      <c r="K46" s="200" t="str">
        <f>IF(D46="N/A","N/A",IF(C46=0,"N/A",IF(E46="N/A","N/A",AVERAGE(G46:H46,J46))))</f>
        <v>N/A</v>
      </c>
      <c r="L46" s="176" t="str">
        <f t="shared" si="5"/>
        <v>N/A</v>
      </c>
      <c r="M46" s="111"/>
      <c r="N46" s="758"/>
      <c r="O46" s="163"/>
      <c r="P46" s="164"/>
      <c r="Q46" s="202" t="str">
        <f t="shared" si="8"/>
        <v>N/A</v>
      </c>
      <c r="R46" s="176" t="str">
        <f t="shared" si="6"/>
        <v>N/A</v>
      </c>
    </row>
    <row r="47" spans="2:18" ht="84" customHeight="1" x14ac:dyDescent="0.25">
      <c r="B47" s="856"/>
      <c r="C47" s="550">
        <f>IF($G$5=Φύλλο2!$A$2,Φύλλο2!A10,IF($G$5=Φύλλο2!$A$22,Φύλλο2!A30,IF($G$5=Φύλλο2!$A$42,Φύλλο2!A50, IF($G$5=Φύλλο2!$A$62,Φύλλο2!A70,Φύλλο2!A90))))</f>
        <v>0</v>
      </c>
      <c r="D47" s="634" t="s">
        <v>116</v>
      </c>
      <c r="E47" s="551">
        <f>IF($G$5=Φύλλο2!$A$2,Φύλλο2!F10,IF($G$5=Φύλλο2!$A$22,Φύλλο2!F30,IF($G$5=Φύλλο2!$A$42,Φύλλο2!F50, IF($G$5=Φύλλο2!$A$62,Φύλλο2!F70,Φύλλο2!F90))))</f>
        <v>0</v>
      </c>
      <c r="F47" s="162"/>
      <c r="G47" s="158"/>
      <c r="H47" s="158"/>
      <c r="I47" s="158"/>
      <c r="J47" s="168"/>
      <c r="K47" s="200" t="str">
        <f>IF(D47="N/A","N/A",IF(C47=0,"N/A",IF(E47="N/A","N/A",AVERAGE(G47:I47))))</f>
        <v>N/A</v>
      </c>
      <c r="L47" s="176" t="str">
        <f t="shared" si="5"/>
        <v>N/A</v>
      </c>
      <c r="M47" s="111"/>
      <c r="N47" s="758"/>
      <c r="O47" s="163"/>
      <c r="P47" s="164"/>
      <c r="Q47" s="202" t="str">
        <f t="shared" si="8"/>
        <v>N/A</v>
      </c>
      <c r="R47" s="176" t="str">
        <f t="shared" si="6"/>
        <v>N/A</v>
      </c>
    </row>
    <row r="48" spans="2:18" ht="66.599999999999994" customHeight="1" x14ac:dyDescent="0.25">
      <c r="B48" s="856"/>
      <c r="C48" s="550">
        <f>IF($G$5=Φύλλο2!$A$2,Φύλλο2!A11,IF($G$5=Φύλλο2!$A$22,Φύλλο2!A31,IF($G$5=Φύλλο2!$A$42,Φύλλο2!A51, IF($G$5=Φύλλο2!$A$62,Φύλλο2!A71,Φύλλο2!A91))))</f>
        <v>0</v>
      </c>
      <c r="D48" s="634" t="s">
        <v>116</v>
      </c>
      <c r="E48" s="551">
        <f>IF($G$5=Φύλλο2!$A$2,Φύλλο2!F11,IF($G$5=Φύλλο2!$A$22,Φύλλο2!F31,IF($G$5=Φύλλο2!$A$42,Φύλλο2!F51, IF($G$5=Φύλλο2!$A$62,Φύλλο2!F71,Φύλλο2!F91))))</f>
        <v>0</v>
      </c>
      <c r="F48" s="162"/>
      <c r="G48" s="158"/>
      <c r="H48" s="158"/>
      <c r="I48" s="158"/>
      <c r="J48" s="168"/>
      <c r="K48" s="200" t="str">
        <f>IF(D48="N/A","N/A",IF(C48=0,"N/A",IF(E48="N/A","N/A",AVERAGE(G48:I48))))</f>
        <v>N/A</v>
      </c>
      <c r="L48" s="176" t="str">
        <f t="shared" si="5"/>
        <v>N/A</v>
      </c>
      <c r="M48" s="111"/>
      <c r="N48" s="758"/>
      <c r="O48" s="163"/>
      <c r="P48" s="164"/>
      <c r="Q48" s="202" t="str">
        <f t="shared" si="8"/>
        <v>N/A</v>
      </c>
      <c r="R48" s="176" t="str">
        <f t="shared" si="6"/>
        <v>N/A</v>
      </c>
    </row>
    <row r="49" spans="2:18" ht="47.45" customHeight="1" x14ac:dyDescent="0.25">
      <c r="B49" s="857" t="s">
        <v>118</v>
      </c>
      <c r="C49" s="550">
        <f>IF($G$5=Φύλλο2!$A$2,Φύλλο2!A12,IF($G$5=Φύλλο2!$A$22,Φύλλο2!A32,IF($G$5=Φύλλο2!$A$42,Φύλλο2!A52, IF($G$5=Φύλλο2!$A$62,Φύλλο2!A72,Φύλλο2!A92))))</f>
        <v>0</v>
      </c>
      <c r="D49" s="634" t="s">
        <v>116</v>
      </c>
      <c r="E49" s="551">
        <f>IF($G$5=Φύλλο2!$A$2,Φύλλο2!F12,IF($G$5=Φύλλο2!$A$22,Φύλλο2!F32,IF($G$5=Φύλλο2!$A$42,Φύλλο2!F52, IF($G$5=Φύλλο2!$A$62,Φύλλο2!F72,Φύλλο2!F92))))</f>
        <v>0</v>
      </c>
      <c r="F49" s="162"/>
      <c r="G49" s="158"/>
      <c r="H49" s="160"/>
      <c r="I49" s="160"/>
      <c r="J49" s="168"/>
      <c r="K49" s="200" t="str">
        <f>IF(D49="N/A","N/A",IF(C49=0,"N/A",IF(E49="N/A","N/A",AVERAGE(G49:J49))))</f>
        <v>N/A</v>
      </c>
      <c r="L49" s="176" t="str">
        <f t="shared" si="5"/>
        <v>N/A</v>
      </c>
      <c r="M49" s="111"/>
      <c r="N49" s="758"/>
      <c r="O49" s="163"/>
      <c r="P49" s="164"/>
      <c r="Q49" s="202" t="str">
        <f t="shared" si="8"/>
        <v>N/A</v>
      </c>
      <c r="R49" s="176" t="str">
        <f t="shared" si="6"/>
        <v>N/A</v>
      </c>
    </row>
    <row r="50" spans="2:18" ht="47.45" customHeight="1" x14ac:dyDescent="0.25">
      <c r="B50" s="858"/>
      <c r="C50" s="550">
        <f>IF($G$5=Φύλλο2!$A$2,Φύλλο2!A13,IF($G$5=Φύλλο2!$A$22,Φύλλο2!A33,IF($G$5=Φύλλο2!$A$42,Φύλλο2!A53, IF($G$5=Φύλλο2!$A$62,Φύλλο2!A73,Φύλλο2!A93))))</f>
        <v>0</v>
      </c>
      <c r="D50" s="634" t="s">
        <v>116</v>
      </c>
      <c r="E50" s="551">
        <f>IF($G$5=Φύλλο2!$A$2,Φύλλο2!F13,IF($G$5=Φύλλο2!$A$22,Φύλλο2!F33,IF($G$5=Φύλλο2!$A$42,Φύλλο2!F53, IF($G$5=Φύλλο2!$A$62,Φύλλο2!F73,Φύλλο2!F93))))</f>
        <v>0</v>
      </c>
      <c r="G50" s="158"/>
      <c r="H50" s="160"/>
      <c r="I50" s="168"/>
      <c r="J50" s="168"/>
      <c r="K50" s="200" t="str">
        <f t="shared" ref="K50:K51" si="9">IF(D50="N/A","N/A",IF(C50=0,"N/A",IF(E50="N/A","N/A",AVERAGE(G50:J50))))</f>
        <v>N/A</v>
      </c>
      <c r="L50" s="176" t="str">
        <f t="shared" si="5"/>
        <v>N/A</v>
      </c>
      <c r="N50" s="758"/>
      <c r="O50" s="163"/>
      <c r="Q50" s="202" t="str">
        <f t="shared" si="8"/>
        <v>N/A</v>
      </c>
      <c r="R50" s="176" t="str">
        <f t="shared" si="6"/>
        <v>N/A</v>
      </c>
    </row>
    <row r="51" spans="2:18" ht="47.45" customHeight="1" x14ac:dyDescent="0.25">
      <c r="B51" s="859"/>
      <c r="C51" s="550">
        <f>IF($G$5=Φύλλο2!$A$2,Φύλλο2!A14,IF($G$5=Φύλλο2!$A$22,Φύλλο2!A34,IF($G$5=Φύλλο2!$A$42,Φύλλο2!A54, IF($G$5=Φύλλο2!$A$62,Φύλλο2!A74,Φύλλο2!A94))))</f>
        <v>0</v>
      </c>
      <c r="D51" s="634" t="s">
        <v>116</v>
      </c>
      <c r="E51" s="551">
        <f>IF($G$5=Φύλλο2!$A$2,Φύλλο2!F14,IF($G$5=Φύλλο2!$A$22,Φύλλο2!F34,IF($G$5=Φύλλο2!$A$42,Φύλλο2!F54, IF($G$5=Φύλλο2!$A$62,Φύλλο2!F74,Φύλλο2!F94))))</f>
        <v>0</v>
      </c>
      <c r="G51" s="158"/>
      <c r="H51" s="160"/>
      <c r="I51" s="168"/>
      <c r="J51" s="168"/>
      <c r="K51" s="200" t="str">
        <f t="shared" si="9"/>
        <v>N/A</v>
      </c>
      <c r="L51" s="176" t="str">
        <f t="shared" si="5"/>
        <v>N/A</v>
      </c>
      <c r="N51" s="758"/>
      <c r="O51" s="163"/>
      <c r="Q51" s="202" t="str">
        <f t="shared" si="8"/>
        <v>N/A</v>
      </c>
      <c r="R51" s="176" t="str">
        <f t="shared" si="6"/>
        <v>N/A</v>
      </c>
    </row>
    <row r="52" spans="2:18" ht="47.45" customHeight="1" x14ac:dyDescent="0.25">
      <c r="B52" s="860" t="s">
        <v>119</v>
      </c>
      <c r="C52" s="550">
        <f>IF($G$5=Φύλλο2!$A$2,Φύλλο2!A15,IF($G$5=Φύλλο2!$A$22,Φύλλο2!A35,IF($G$5=Φύλλο2!$A$42,Φύλλο2!A55, IF($G$5=Φύλλο2!$A$62,Φύλλο2!A75,Φύλλο2!A95))))</f>
        <v>0</v>
      </c>
      <c r="D52" s="634" t="s">
        <v>116</v>
      </c>
      <c r="E52" s="551">
        <f>IF($G$5=Φύλλο2!$A$2,Φύλλο2!F15,IF($G$5=Φύλλο2!$A$22,Φύλλο2!F35,IF($G$5=Φύλλο2!$A$42,Φύλλο2!F55, IF($G$5=Φύλλο2!$A$62,Φύλλο2!F75,Φύλλο2!F95))))</f>
        <v>0</v>
      </c>
      <c r="G52" s="158"/>
      <c r="H52" s="158"/>
      <c r="I52" s="160"/>
      <c r="J52" s="158"/>
      <c r="K52" s="200" t="str">
        <f>IF(D52="N/A","N/A",IF(C52=0,"N/A",IF(E52="N/A","N/A",AVERAGE(G52:H52,J52))))</f>
        <v>N/A</v>
      </c>
      <c r="L52" s="176" t="str">
        <f t="shared" si="5"/>
        <v>N/A</v>
      </c>
      <c r="N52" s="758"/>
      <c r="O52" s="161"/>
      <c r="Q52" s="202" t="str">
        <f>IF(K52="N/A","N/A",K52-K52*(AVERAGE(N52:O52)/3))</f>
        <v>N/A</v>
      </c>
      <c r="R52" s="176" t="str">
        <f t="shared" si="6"/>
        <v>N/A</v>
      </c>
    </row>
    <row r="53" spans="2:18" ht="47.45" customHeight="1" x14ac:dyDescent="0.25">
      <c r="B53" s="861"/>
      <c r="C53" s="550">
        <f>IF($G$5=Φύλλο2!$A$2,Φύλλο2!A16,IF($G$5=Φύλλο2!$A$22,Φύλλο2!A36,IF($G$5=Φύλλο2!$A$42,Φύλλο2!A56, IF($G$5=Φύλλο2!$A$62,Φύλλο2!A76,Φύλλο2!A96))))</f>
        <v>0</v>
      </c>
      <c r="D53" s="634" t="s">
        <v>116</v>
      </c>
      <c r="E53" s="551">
        <f>IF($G$5=Φύλλο2!$A$2,Φύλλο2!F16,IF($G$5=Φύλλο2!$A$22,Φύλλο2!F36,IF($G$5=Φύλλο2!$A$42,Φύλλο2!F56, IF($G$5=Φύλλο2!$A$62,Φύλλο2!F76,Φύλλο2!F96))))</f>
        <v>0</v>
      </c>
      <c r="G53" s="158"/>
      <c r="H53" s="158"/>
      <c r="I53" s="160"/>
      <c r="J53" s="158"/>
      <c r="K53" s="200" t="str">
        <f t="shared" ref="K53:K56" si="10">IF(D53="N/A","N/A",IF(C53=0,"N/A",IF(E53="N/A","N/A",AVERAGE(G53:H53,J53))))</f>
        <v>N/A</v>
      </c>
      <c r="L53" s="176" t="str">
        <f t="shared" si="5"/>
        <v>N/A</v>
      </c>
      <c r="N53" s="758"/>
      <c r="O53" s="161"/>
      <c r="Q53" s="202" t="str">
        <f>IF(K53="N/A","N/A",K53-K53*(AVERAGE(N53:O53)/3))</f>
        <v>N/A</v>
      </c>
      <c r="R53" s="176" t="str">
        <f t="shared" si="6"/>
        <v>N/A</v>
      </c>
    </row>
    <row r="54" spans="2:18" ht="47.45" customHeight="1" x14ac:dyDescent="0.25">
      <c r="B54" s="861"/>
      <c r="C54" s="550">
        <f>IF($G$5=Φύλλο2!$A$2,Φύλλο2!A17,IF($G$5=Φύλλο2!$A$22,Φύλλο2!A37,IF($G$5=Φύλλο2!$A$42,Φύλλο2!A57, IF($G$5=Φύλλο2!$A$62,Φύλλο2!A77,Φύλλο2!A97))))</f>
        <v>0</v>
      </c>
      <c r="D54" s="634" t="s">
        <v>116</v>
      </c>
      <c r="E54" s="551">
        <f>IF($G$5=Φύλλο2!$A$2,Φύλλο2!F17,IF($G$5=Φύλλο2!$A$22,Φύλλο2!F37,IF($G$5=Φύλλο2!$A$42,Φύλλο2!F57, IF($G$5=Φύλλο2!$A$62,Φύλλο2!F77,Φύλλο2!F97))))</f>
        <v>0</v>
      </c>
      <c r="G54" s="158"/>
      <c r="H54" s="158"/>
      <c r="I54" s="160"/>
      <c r="J54" s="158"/>
      <c r="K54" s="200" t="str">
        <f t="shared" si="10"/>
        <v>N/A</v>
      </c>
      <c r="L54" s="176" t="str">
        <f t="shared" si="5"/>
        <v>N/A</v>
      </c>
      <c r="N54" s="758"/>
      <c r="O54" s="163"/>
      <c r="Q54" s="202" t="str">
        <f>IF(K54="N/A","N/A",K54-K54*(N54/3))</f>
        <v>N/A</v>
      </c>
      <c r="R54" s="176" t="str">
        <f t="shared" si="6"/>
        <v>N/A</v>
      </c>
    </row>
    <row r="55" spans="2:18" ht="47.45" customHeight="1" x14ac:dyDescent="0.25">
      <c r="B55" s="861"/>
      <c r="C55" s="550">
        <f>IF($G$5=Φύλλο2!$A$2,Φύλλο2!A18,IF($G$5=Φύλλο2!$A$22,Φύλλο2!A38,IF($G$5=Φύλλο2!$A$42,Φύλλο2!A58, IF($G$5=Φύλλο2!$A$62,Φύλλο2!A78,Φύλλο2!A98))))</f>
        <v>0</v>
      </c>
      <c r="D55" s="634" t="s">
        <v>116</v>
      </c>
      <c r="E55" s="551">
        <f>IF($G$5=Φύλλο2!$A$2,Φύλλο2!F18,IF($G$5=Φύλλο2!$A$22,Φύλλο2!F38,IF($G$5=Φύλλο2!$A$42,Φύλλο2!F58, IF($G$5=Φύλλο2!$A$62,Φύλλο2!F78,Φύλλο2!F98))))</f>
        <v>0</v>
      </c>
      <c r="F55" s="188"/>
      <c r="G55" s="158"/>
      <c r="H55" s="158"/>
      <c r="I55" s="160"/>
      <c r="J55" s="158"/>
      <c r="K55" s="200" t="str">
        <f t="shared" si="10"/>
        <v>N/A</v>
      </c>
      <c r="L55" s="176" t="str">
        <f t="shared" si="5"/>
        <v>N/A</v>
      </c>
      <c r="N55" s="758"/>
      <c r="O55" s="425"/>
      <c r="Q55" s="202" t="str">
        <f>IF(K55="N/A","N/A",K55-K55*(N55/3))</f>
        <v>N/A</v>
      </c>
      <c r="R55" s="176" t="str">
        <f t="shared" si="6"/>
        <v>N/A</v>
      </c>
    </row>
    <row r="56" spans="2:18" ht="47.45" customHeight="1" x14ac:dyDescent="0.25">
      <c r="B56" s="861"/>
      <c r="C56" s="550">
        <f>IF($G$5=Φύλλο2!$A$2,Φύλλο2!A19,IF($G$5=Φύλλο2!$A$22,Φύλλο2!A39,IF($G$5=Φύλλο2!$A$42,Φύλλο2!A59, IF($G$5=Φύλλο2!$A$62,Φύλλο2!A79,Φύλλο2!A99))))</f>
        <v>0</v>
      </c>
      <c r="D56" s="634" t="s">
        <v>116</v>
      </c>
      <c r="E56" s="551">
        <f>IF($G$5=Φύλλο2!$A$2,Φύλλο2!F19,IF($G$5=Φύλλο2!$A$22,Φύλλο2!F39,IF($G$5=Φύλλο2!$A$42,Φύλλο2!F59, IF($G$5=Φύλλο2!$A$62,Φύλλο2!F79,Φύλλο2!F99))))</f>
        <v>0</v>
      </c>
      <c r="F56" s="174"/>
      <c r="G56" s="158"/>
      <c r="H56" s="158"/>
      <c r="I56" s="160"/>
      <c r="J56" s="158"/>
      <c r="K56" s="200" t="str">
        <f t="shared" si="10"/>
        <v>N/A</v>
      </c>
      <c r="L56" s="176" t="str">
        <f t="shared" si="5"/>
        <v>N/A</v>
      </c>
      <c r="N56" s="758"/>
      <c r="O56" s="425"/>
      <c r="Q56" s="202" t="str">
        <f>IF(K56="N/A","N/A",K56-K56*(N56/3))</f>
        <v>N/A</v>
      </c>
      <c r="R56" s="176" t="str">
        <f t="shared" si="6"/>
        <v>N/A</v>
      </c>
    </row>
    <row r="57" spans="2:18" ht="47.45" customHeight="1" x14ac:dyDescent="0.25">
      <c r="B57" s="862"/>
      <c r="C57" s="550">
        <f>IF($G$5=Φύλλο2!$A$2,Φύλλο2!A20,IF($G$5=Φύλλο2!$A$22,Φύλλο2!A40,IF($G$5=Φύλλο2!$A$42,Φύλλο2!A60, IF($G$5=Φύλλο2!$A$62,Φύλλο2!A80,Φύλλο2!A100))))</f>
        <v>0</v>
      </c>
      <c r="D57" s="634" t="s">
        <v>116</v>
      </c>
      <c r="E57" s="551">
        <f>IF($G$5=Φύλλο2!$A$2,Φύλλο2!F20,IF($G$5=Φύλλο2!$A$22,Φύλλο2!F40,IF($G$5=Φύλλο2!$A$42,Φύλλο2!F60, IF($G$5=Φύλλο2!$A$62,Φύλλο2!F80,Φύλλο2!F100))))</f>
        <v>0</v>
      </c>
      <c r="F57" s="174"/>
      <c r="G57" s="158"/>
      <c r="H57" s="158"/>
      <c r="I57" s="158"/>
      <c r="J57" s="160"/>
      <c r="K57" s="200" t="str">
        <f>IF(D57="N/A","N/A",IF(C57=0,"N/A",IF(E57="N/A","N/A",AVERAGE(G57:I57))))</f>
        <v>N/A</v>
      </c>
      <c r="L57" s="176" t="str">
        <f t="shared" si="5"/>
        <v>N/A</v>
      </c>
      <c r="N57" s="758"/>
      <c r="O57" s="425"/>
      <c r="Q57" s="202" t="str">
        <f t="shared" si="8"/>
        <v>N/A</v>
      </c>
      <c r="R57" s="176" t="str">
        <f t="shared" si="6"/>
        <v>N/A</v>
      </c>
    </row>
  </sheetData>
  <sheetProtection algorithmName="SHA-512" hashValue="f/1i62BNwKOsM+w5oaMmvqg55K7GNCgxh/92h8k1N3AM1KahsahoxE8CuVe5XXBnV+5gnN7lXzGMz5tWzbXljg==" saltValue="kxAVT/xpo8giiDDl4V7rlg==" spinCount="100000" sheet="1" selectLockedCells="1"/>
  <mergeCells count="27">
    <mergeCell ref="B52:B57"/>
    <mergeCell ref="Q35:R35"/>
    <mergeCell ref="B36:C37"/>
    <mergeCell ref="B39:C39"/>
    <mergeCell ref="A13:A15"/>
    <mergeCell ref="B14:B21"/>
    <mergeCell ref="B22:B24"/>
    <mergeCell ref="B25:B30"/>
    <mergeCell ref="G35:K35"/>
    <mergeCell ref="G36:J36"/>
    <mergeCell ref="N36:O36"/>
    <mergeCell ref="B38:C38"/>
    <mergeCell ref="B41:B48"/>
    <mergeCell ref="B49:B51"/>
    <mergeCell ref="AD8:AE8"/>
    <mergeCell ref="B9:C10"/>
    <mergeCell ref="G9:J9"/>
    <mergeCell ref="N9:O9"/>
    <mergeCell ref="A11:A12"/>
    <mergeCell ref="B11:C11"/>
    <mergeCell ref="B12:C12"/>
    <mergeCell ref="T8:Y8"/>
    <mergeCell ref="B2:E2"/>
    <mergeCell ref="H5:I5"/>
    <mergeCell ref="A6:A10"/>
    <mergeCell ref="G8:K8"/>
    <mergeCell ref="Q8:R8"/>
  </mergeCells>
  <conditionalFormatting sqref="C13:C30">
    <cfRule type="cellIs" dxfId="160" priority="58" operator="equal">
      <formula>0</formula>
    </cfRule>
  </conditionalFormatting>
  <conditionalFormatting sqref="C40:C57">
    <cfRule type="cellIs" dxfId="159" priority="28" operator="equal">
      <formula>0</formula>
    </cfRule>
  </conditionalFormatting>
  <conditionalFormatting sqref="E13:E30">
    <cfRule type="cellIs" dxfId="158" priority="57" operator="equal">
      <formula>0</formula>
    </cfRule>
  </conditionalFormatting>
  <conditionalFormatting sqref="E40:E57">
    <cfRule type="cellIs" dxfId="157" priority="27" operator="equal">
      <formula>0</formula>
    </cfRule>
  </conditionalFormatting>
  <conditionalFormatting sqref="K13:K30">
    <cfRule type="cellIs" dxfId="156" priority="14" operator="equal">
      <formula>"N/A"</formula>
    </cfRule>
  </conditionalFormatting>
  <conditionalFormatting sqref="K40:K57">
    <cfRule type="cellIs" dxfId="155" priority="13" operator="equal">
      <formula>"N/A"</formula>
    </cfRule>
  </conditionalFormatting>
  <conditionalFormatting sqref="L13:L30">
    <cfRule type="cellIs" dxfId="154" priority="61" operator="equal">
      <formula>"N/A"</formula>
    </cfRule>
    <cfRule type="cellIs" dxfId="153" priority="63" operator="equal">
      <formula>"Low"</formula>
    </cfRule>
    <cfRule type="cellIs" dxfId="152" priority="64" operator="equal">
      <formula>"Medium"</formula>
    </cfRule>
    <cfRule type="cellIs" dxfId="151" priority="65" operator="equal">
      <formula>"High"</formula>
    </cfRule>
  </conditionalFormatting>
  <conditionalFormatting sqref="L40:L57">
    <cfRule type="cellIs" dxfId="150" priority="31" operator="equal">
      <formula>"N/A"</formula>
    </cfRule>
    <cfRule type="cellIs" dxfId="149" priority="33" operator="equal">
      <formula>"Low"</formula>
    </cfRule>
    <cfRule type="cellIs" dxfId="148" priority="34" operator="equal">
      <formula>"Medium"</formula>
    </cfRule>
    <cfRule type="cellIs" dxfId="147" priority="35" operator="equal">
      <formula>"High"</formula>
    </cfRule>
  </conditionalFormatting>
  <conditionalFormatting sqref="N13:N30">
    <cfRule type="cellIs" dxfId="146" priority="55" operator="equal">
      <formula>"N/A"</formula>
    </cfRule>
  </conditionalFormatting>
  <conditionalFormatting sqref="N40:N57">
    <cfRule type="cellIs" dxfId="145" priority="1" operator="equal">
      <formula>"N/A"</formula>
    </cfRule>
  </conditionalFormatting>
  <conditionalFormatting sqref="Q13:R30">
    <cfRule type="cellIs" dxfId="144" priority="46" operator="equal">
      <formula>"N/A"</formula>
    </cfRule>
    <cfRule type="cellIs" dxfId="143" priority="49" operator="equal">
      <formula>"High"</formula>
    </cfRule>
  </conditionalFormatting>
  <conditionalFormatting sqref="Q40:R57">
    <cfRule type="cellIs" dxfId="142" priority="16" operator="equal">
      <formula>"N/A"</formula>
    </cfRule>
    <cfRule type="cellIs" dxfId="141" priority="19" operator="equal">
      <formula>"High"</formula>
    </cfRule>
  </conditionalFormatting>
  <conditionalFormatting sqref="R13:R30">
    <cfRule type="cellIs" dxfId="140" priority="47" operator="equal">
      <formula>"Low"</formula>
    </cfRule>
    <cfRule type="cellIs" dxfId="139" priority="48" operator="equal">
      <formula>"Medium"</formula>
    </cfRule>
  </conditionalFormatting>
  <conditionalFormatting sqref="R40:R57">
    <cfRule type="cellIs" dxfId="138" priority="17" operator="equal">
      <formula>"Low"</formula>
    </cfRule>
    <cfRule type="cellIs" dxfId="137" priority="18" operator="equal">
      <formula>"Medium"</formula>
    </cfRule>
  </conditionalFormatting>
  <conditionalFormatting sqref="Z18:Z20">
    <cfRule type="cellIs" dxfId="136" priority="71" operator="equal">
      <formula>"Low"</formula>
    </cfRule>
    <cfRule type="cellIs" dxfId="135" priority="72" operator="equal">
      <formula>"Medium"</formula>
    </cfRule>
    <cfRule type="cellIs" dxfId="134" priority="73" operator="equal">
      <formula>"High"</formula>
    </cfRule>
  </conditionalFormatting>
  <conditionalFormatting sqref="AD18:AD20">
    <cfRule type="cellIs" dxfId="133" priority="69" operator="equal">
      <formula>"""Medium"""</formula>
    </cfRule>
    <cfRule type="cellIs" dxfId="132" priority="70" operator="equal">
      <formula>"Low"</formula>
    </cfRule>
  </conditionalFormatting>
  <conditionalFormatting sqref="AD18:AE20">
    <cfRule type="cellIs" dxfId="131" priority="68" operator="equal">
      <formula>"High"</formula>
    </cfRule>
  </conditionalFormatting>
  <conditionalFormatting sqref="AE18:AE20">
    <cfRule type="cellIs" dxfId="130" priority="66" operator="equal">
      <formula>"Low"</formula>
    </cfRule>
    <cfRule type="cellIs" dxfId="129" priority="67" operator="equal">
      <formula>"Medium"</formula>
    </cfRule>
  </conditionalFormatting>
  <dataValidations count="5">
    <dataValidation type="list" allowBlank="1" showInputMessage="1" showErrorMessage="1" sqref="D41:D57 D14:D30" xr:uid="{FBC304CD-9549-4FFD-A2CF-1E2A4B1D762D}">
      <formula1>"Active, N/A"</formula1>
    </dataValidation>
    <dataValidation type="list" allowBlank="1" showInputMessage="1" showErrorMessage="1" sqref="H21:I21 I17:I18 H25:I25 H14:H18" xr:uid="{5B94CFF6-D379-46EB-9AF3-0C48AEBC740A}">
      <formula1>"0,1,2,3,--"</formula1>
    </dataValidation>
    <dataValidation type="list" allowBlank="1" showInputMessage="1" showErrorMessage="1" sqref="J18:J19 H13:J13 I14:J14 J15:J16 H19:I20 H26:J29 G13:G30 J30 G40:J40" xr:uid="{59F58683-04EB-4325-8C20-7BE0709C57FD}">
      <formula1>"0,3,--"</formula1>
    </dataValidation>
    <dataValidation type="list" allowBlank="1" showInputMessage="1" showErrorMessage="1" sqref="N13:N30 N40:N57 O15 O17:O18 O20:O21 O25:O26 O29" xr:uid="{96B4E09A-AF5D-472E-86B1-260112540C18}">
      <formula1>"0,1,2,3"</formula1>
    </dataValidation>
    <dataValidation type="list" allowBlank="1" showInputMessage="1" showErrorMessage="1" sqref="G41:J41 G42:I44 J45:J46 I47:I48 G45:H48 G49:G57 H52:H57 J52:J56 I57 O41:O42 O52:O53" xr:uid="{92FCC185-3262-4B4D-BF21-040E335C3E52}">
      <formula1>"0,3"</formula1>
    </dataValidation>
  </dataValidations>
  <pageMargins left="0.7" right="0.7" top="0.75" bottom="0.75" header="0.3" footer="0.3"/>
  <headerFooter>
    <oddHeader>&amp;C&amp;"Calibri"&amp;10&amp;K808080 Corporate Use&amp;1#_x000D_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DFC-3D1A-457F-8E4A-7FC3C5462C61}">
  <sheetPr codeName="Sheet8">
    <tabColor rgb="FF990033"/>
  </sheetPr>
  <dimension ref="A2:Y89"/>
  <sheetViews>
    <sheetView zoomScale="70" zoomScaleNormal="70" workbookViewId="0">
      <selection activeCell="M28" sqref="M28"/>
    </sheetView>
  </sheetViews>
  <sheetFormatPr defaultColWidth="9.140625" defaultRowHeight="15" x14ac:dyDescent="0.25"/>
  <cols>
    <col min="1" max="1" width="41.5703125" style="29" customWidth="1"/>
    <col min="2" max="3" width="6" style="29" customWidth="1"/>
    <col min="4" max="4" width="41.5703125" style="141" customWidth="1"/>
    <col min="5" max="5" width="21.5703125" style="29" customWidth="1"/>
    <col min="6" max="6" width="36.140625" style="29" customWidth="1"/>
    <col min="7" max="7" width="22.85546875" style="29" customWidth="1"/>
    <col min="8" max="8" width="19" style="29" customWidth="1"/>
    <col min="9" max="9" width="34.140625" style="29" customWidth="1"/>
    <col min="10" max="10" width="32.140625" style="29" customWidth="1"/>
    <col min="11" max="11" width="22.28515625" style="29" customWidth="1"/>
    <col min="12" max="12" width="23.28515625" style="29" customWidth="1"/>
    <col min="13" max="14" width="38.140625" style="29" customWidth="1"/>
    <col min="15" max="15" width="23.140625" style="29" customWidth="1"/>
    <col min="16" max="16" width="17.28515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2" spans="1:17" ht="36.75" customHeight="1" x14ac:dyDescent="0.3">
      <c r="A2" s="30"/>
      <c r="B2" s="30"/>
      <c r="C2" s="91" t="s">
        <v>259</v>
      </c>
      <c r="D2" s="91"/>
      <c r="E2" s="91"/>
      <c r="M2" s="6"/>
    </row>
    <row r="3" spans="1:17" ht="41.45" customHeight="1" thickBot="1" x14ac:dyDescent="0.5">
      <c r="A3" s="30"/>
      <c r="B3" s="30"/>
      <c r="C3" s="436" t="s">
        <v>260</v>
      </c>
      <c r="D3" s="204"/>
      <c r="E3" s="205"/>
      <c r="F3" s="205"/>
      <c r="G3" s="205"/>
      <c r="H3" s="205"/>
      <c r="I3" s="205"/>
      <c r="J3" s="205"/>
      <c r="K3" s="205"/>
      <c r="L3" s="205"/>
      <c r="M3" s="19"/>
      <c r="N3" s="191"/>
      <c r="O3" s="191"/>
      <c r="P3" s="191"/>
      <c r="Q3" s="191"/>
    </row>
    <row r="4" spans="1:17" ht="37.5" customHeight="1" thickTop="1" x14ac:dyDescent="0.3">
      <c r="A4" s="30"/>
      <c r="B4" s="30"/>
      <c r="C4" s="975" t="s">
        <v>122</v>
      </c>
      <c r="D4" s="975"/>
      <c r="E4" s="975"/>
      <c r="F4" s="975"/>
      <c r="G4" s="975"/>
      <c r="H4" s="975"/>
      <c r="I4" s="975"/>
      <c r="J4" s="975"/>
      <c r="K4" s="975"/>
      <c r="L4" s="975"/>
      <c r="M4" s="19"/>
      <c r="N4" s="191"/>
      <c r="O4" s="191"/>
      <c r="P4" s="191"/>
      <c r="Q4" s="191"/>
    </row>
    <row r="5" spans="1:17" ht="37.5" customHeight="1" x14ac:dyDescent="0.3">
      <c r="A5" s="30"/>
      <c r="B5" s="30"/>
      <c r="C5" s="591"/>
      <c r="D5" s="591"/>
      <c r="E5" s="762">
        <f>IFERROR(AVERAGE(E11:E27),0)</f>
        <v>0</v>
      </c>
      <c r="F5" s="763"/>
      <c r="G5" s="762">
        <f>IFERROR(AVERAGE(G11:G27),0)</f>
        <v>0</v>
      </c>
      <c r="H5" s="763"/>
      <c r="I5" s="762">
        <f>IFERROR(AVERAGE(I11:I27),0)</f>
        <v>0</v>
      </c>
      <c r="J5" s="763"/>
      <c r="L5" s="757"/>
      <c r="M5" s="759"/>
      <c r="N5" s="437"/>
      <c r="O5" s="437"/>
      <c r="P5" s="191"/>
      <c r="Q5" s="191"/>
    </row>
    <row r="6" spans="1:17" ht="26.1" customHeight="1" thickBot="1" x14ac:dyDescent="0.35">
      <c r="A6" s="140"/>
      <c r="C6" s="592"/>
      <c r="D6" s="592"/>
      <c r="E6" s="976" t="s">
        <v>261</v>
      </c>
      <c r="F6" s="976"/>
      <c r="G6" s="976"/>
      <c r="H6" s="976"/>
      <c r="I6" s="977" t="s">
        <v>262</v>
      </c>
      <c r="J6" s="977"/>
      <c r="K6" s="977"/>
      <c r="L6" s="977"/>
      <c r="M6" s="760" t="s">
        <v>263</v>
      </c>
      <c r="N6" s="438" t="s">
        <v>264</v>
      </c>
      <c r="O6" s="437" t="s">
        <v>265</v>
      </c>
      <c r="P6" s="191"/>
      <c r="Q6" s="191"/>
    </row>
    <row r="7" spans="1:17" ht="59.25" customHeight="1" x14ac:dyDescent="0.3">
      <c r="A7" s="851"/>
      <c r="B7" s="30"/>
      <c r="C7" s="978"/>
      <c r="D7" s="980" t="s">
        <v>125</v>
      </c>
      <c r="E7" s="593" t="s">
        <v>266</v>
      </c>
      <c r="F7" s="593" t="s">
        <v>127</v>
      </c>
      <c r="G7" s="987" t="s">
        <v>128</v>
      </c>
      <c r="H7" s="987"/>
      <c r="I7" s="593" t="s">
        <v>267</v>
      </c>
      <c r="J7" s="593" t="s">
        <v>268</v>
      </c>
      <c r="K7" s="982" t="s">
        <v>128</v>
      </c>
      <c r="L7" s="983"/>
      <c r="M7" s="437"/>
      <c r="N7" s="437"/>
      <c r="O7" s="437"/>
      <c r="P7" s="191"/>
      <c r="Q7" s="191"/>
    </row>
    <row r="8" spans="1:17" ht="29.25" customHeight="1" x14ac:dyDescent="0.3">
      <c r="A8" s="851"/>
      <c r="B8" s="30"/>
      <c r="C8" s="979"/>
      <c r="D8" s="981"/>
      <c r="E8" s="565" t="s">
        <v>14</v>
      </c>
      <c r="F8" s="566" t="s">
        <v>14</v>
      </c>
      <c r="G8" s="567" t="s">
        <v>129</v>
      </c>
      <c r="H8" s="567" t="s">
        <v>113</v>
      </c>
      <c r="I8" s="565" t="s">
        <v>14</v>
      </c>
      <c r="J8" s="566" t="s">
        <v>14</v>
      </c>
      <c r="K8" s="567" t="s">
        <v>129</v>
      </c>
      <c r="L8" s="568" t="s">
        <v>113</v>
      </c>
      <c r="M8" s="437"/>
      <c r="N8" s="437"/>
      <c r="O8" s="437"/>
      <c r="P8" s="191"/>
      <c r="Q8" s="191"/>
    </row>
    <row r="9" spans="1:17" ht="21.6" customHeight="1" x14ac:dyDescent="0.3">
      <c r="A9" s="150"/>
      <c r="B9" s="36"/>
      <c r="C9" s="234"/>
      <c r="D9" s="235"/>
      <c r="E9" s="241" t="s">
        <v>130</v>
      </c>
      <c r="F9" s="241" t="s">
        <v>131</v>
      </c>
      <c r="G9" s="984" t="s">
        <v>269</v>
      </c>
      <c r="H9" s="985"/>
      <c r="I9" s="241" t="s">
        <v>130</v>
      </c>
      <c r="J9" s="241" t="s">
        <v>131</v>
      </c>
      <c r="K9" s="985" t="s">
        <v>269</v>
      </c>
      <c r="L9" s="986"/>
      <c r="M9" s="437"/>
      <c r="N9" s="437"/>
      <c r="O9" s="437"/>
      <c r="P9" s="191"/>
      <c r="Q9" s="191"/>
    </row>
    <row r="10" spans="1:17" ht="36.6" customHeight="1" x14ac:dyDescent="0.3">
      <c r="A10" s="854"/>
      <c r="B10" s="36"/>
      <c r="C10" s="625"/>
      <c r="D10" s="626" t="str">
        <f>'Temperature-Step 2'!C13</f>
        <v>ALL COMPONENTS - Simplified assessment</v>
      </c>
      <c r="E10" s="640" t="e">
        <f>'Temperature-Step 2'!Q13</f>
        <v>#DIV/0!</v>
      </c>
      <c r="F10" s="628" t="e">
        <f>IF(D10=0,"N/A",MAX(MAX('Temperature-Step 1'!$Q$52,'Temperature-Step 1'!$Q$17),MAX('Temperature-Step 1'!$Q$19,'Temperature-Step 1'!$Q$57)))</f>
        <v>#DIV/0!</v>
      </c>
      <c r="G10" s="641" t="e">
        <f>IF(D10=0,"N/A",IF(E10="N/A", "N/A", E10*F10))</f>
        <v>#DIV/0!</v>
      </c>
      <c r="H10" s="629" t="e">
        <f t="shared" ref="H10:H27" si="0">IF(G10="N/A","N/A",IF(G10&lt;3,"Low",IF(G10&gt;=6,"High","Medium")))</f>
        <v>#DIV/0!</v>
      </c>
      <c r="I10" s="640" t="e">
        <f>'Temperature-Step 2'!Q40</f>
        <v>#DIV/0!</v>
      </c>
      <c r="J10" s="642">
        <f>IF(D10=0,"N/A",MAX('Temperature-Step 1'!$Q$34,'Temperature-Step 1'!$Q$62))</f>
        <v>0</v>
      </c>
      <c r="K10" s="641" t="e">
        <f>IF(D10=0,"N/A",IF(I10="N/A", "N/A", I10*J10))</f>
        <v>#DIV/0!</v>
      </c>
      <c r="L10" s="643" t="e">
        <f>IF(K10="N/A","N/A",IF(K10&lt;3,"Low",IF(K10&gt;=6,"High","Medium")))</f>
        <v>#DIV/0!</v>
      </c>
      <c r="M10" s="761" t="e">
        <f>IF(D10="N/A",E5*'Temperature-Step 1'!$S$52,'Temperature-Step 3'!E10*'Temperature-Step 1'!$S$52)</f>
        <v>#DIV/0!</v>
      </c>
      <c r="N10" s="761" t="e">
        <f>IF(D10="N/A",$I$5*'Temperature-Step 1'!$S$62,'Temperature-Step 3'!I10*'Temperature-Step 1'!$S$62)</f>
        <v>#DIV/0!</v>
      </c>
      <c r="O10" s="761" t="e">
        <f>IF(D10="N/A",E5*'Temperature-Step 1'!$S$57,E10*'Temperature-Step 1'!$S$57)</f>
        <v>#DIV/0!</v>
      </c>
      <c r="P10" s="191" t="s">
        <v>133</v>
      </c>
      <c r="Q10" s="191"/>
    </row>
    <row r="11" spans="1:17" ht="46.5" customHeight="1" x14ac:dyDescent="0.25">
      <c r="A11" s="854"/>
      <c r="B11" s="50"/>
      <c r="C11" s="855" t="s">
        <v>115</v>
      </c>
      <c r="D11" s="626" cm="1">
        <f t="array" ref="D11:D13">_xlfn._xlws.FILTER('Temperature-Step 2'!C14:C21,'Temperature-Step 2'!D14:D21="Active")</f>
        <v>0</v>
      </c>
      <c r="E11" s="640" t="str" cm="1">
        <f t="array" ref="E11:E13">_xlfn._xlws.FILTER('Temperature-Step 2'!Q14:Q21,'Temperature-Step 2'!D14:D21="Active")</f>
        <v>N/A</v>
      </c>
      <c r="F11" s="628" t="str">
        <f>IF(D11=0,"N/A",MAX(MAX('Temperature-Step 1'!$Q$52,'Temperature-Step 1'!$Q$17),MAX('Temperature-Step 1'!$Q$19,'Temperature-Step 1'!$Q$57)))</f>
        <v>N/A</v>
      </c>
      <c r="G11" s="641" t="str">
        <f t="shared" ref="G11:G27" si="1">IF(D11=0,"N/A",IF(E11="N/A", "N/A", E11*F11))</f>
        <v>N/A</v>
      </c>
      <c r="H11" s="629" t="str">
        <f t="shared" si="0"/>
        <v>N/A</v>
      </c>
      <c r="I11" s="644" t="str" cm="1">
        <f t="array" ref="I11:I18">_xlfn._xlws.FILTER('Temperature-Step 2'!Q41:Q48,'Temperature-Step 2'!D41:D48="Active")</f>
        <v>N/A</v>
      </c>
      <c r="J11" s="642" t="str">
        <f>IF(D11=0,"N/A",MAX('Temperature-Step 1'!$Q$34,'Temperature-Step 1'!$Q$62))</f>
        <v>N/A</v>
      </c>
      <c r="K11" s="641" t="str">
        <f t="shared" ref="K11:K27" si="2">IF(D11=0,"N/A",IF(I11="N/A", "N/A", I11*J11))</f>
        <v>N/A</v>
      </c>
      <c r="L11" s="643" t="str">
        <f t="shared" ref="L11:L27" si="3">IF(K11="N/A","N/A",IF(K11&lt;3,"Low",IF(K11&gt;=6,"High","Medium")))</f>
        <v>N/A</v>
      </c>
      <c r="M11" s="761" t="e">
        <f>IF(D10="N/A",E29*'Temperature-Step 1'!$S$52,E10*'Temperature-Step 1'!$S$52)</f>
        <v>#DIV/0!</v>
      </c>
      <c r="N11" s="761" t="e">
        <f>IF(D10="N/A",I29*'Temperature-Step 1'!$S$62,I10*'Temperature-Step 1'!$S$62)</f>
        <v>#DIV/0!</v>
      </c>
      <c r="O11" s="761" t="e">
        <f>IF(D10="N/A",E29*'Temperature-Step 1'!$S$57,E10*'Temperature-Step 1'!$S$57)</f>
        <v>#DIV/0!</v>
      </c>
      <c r="P11" s="191" t="s">
        <v>134</v>
      </c>
      <c r="Q11" s="191"/>
    </row>
    <row r="12" spans="1:17" ht="55.5" customHeight="1" x14ac:dyDescent="0.25">
      <c r="A12" s="50"/>
      <c r="B12" s="50"/>
      <c r="C12" s="855"/>
      <c r="D12" s="626">
        <v>0</v>
      </c>
      <c r="E12" s="640" t="str">
        <v>N/A</v>
      </c>
      <c r="F12" s="628" t="str">
        <f>IF(D12=0,"N/A",MAX(MAX('Temperature-Step 1'!$Q$52,'Temperature-Step 1'!$Q$17),MAX('Temperature-Step 1'!$Q$19,'Temperature-Step 1'!$Q$57)))</f>
        <v>N/A</v>
      </c>
      <c r="G12" s="641" t="str">
        <f t="shared" si="1"/>
        <v>N/A</v>
      </c>
      <c r="H12" s="629" t="str">
        <f t="shared" si="0"/>
        <v>N/A</v>
      </c>
      <c r="I12" s="644" t="str">
        <v>N/A</v>
      </c>
      <c r="J12" s="642" t="str">
        <f>IF(D12=0,"N/A",MAX('Temperature-Step 1'!$Q$34,'Temperature-Step 1'!$Q$62))</f>
        <v>N/A</v>
      </c>
      <c r="K12" s="641" t="str">
        <f t="shared" si="2"/>
        <v>N/A</v>
      </c>
      <c r="L12" s="643" t="str">
        <f t="shared" si="3"/>
        <v>N/A</v>
      </c>
      <c r="M12" s="437"/>
      <c r="N12" s="437"/>
      <c r="O12" s="437"/>
      <c r="P12" s="191"/>
      <c r="Q12" s="191"/>
    </row>
    <row r="13" spans="1:17" ht="51.6" customHeight="1" x14ac:dyDescent="0.25">
      <c r="A13" s="166"/>
      <c r="B13" s="50"/>
      <c r="C13" s="855"/>
      <c r="D13" s="626">
        <v>0</v>
      </c>
      <c r="E13" s="640" t="str">
        <v>N/A</v>
      </c>
      <c r="F13" s="628" t="str">
        <f>IF(D13=0,"N/A",MAX(MAX('Temperature-Step 1'!$Q$52,'Temperature-Step 1'!$Q$17),MAX('Temperature-Step 1'!$Q$19,'Temperature-Step 1'!$Q$57)))</f>
        <v>N/A</v>
      </c>
      <c r="G13" s="641" t="str">
        <f t="shared" si="1"/>
        <v>N/A</v>
      </c>
      <c r="H13" s="629" t="str">
        <f t="shared" si="0"/>
        <v>N/A</v>
      </c>
      <c r="I13" s="644" t="str">
        <v>N/A</v>
      </c>
      <c r="J13" s="642" t="str">
        <f>IF(D13=0,"N/A",MAX('Temperature-Step 1'!$Q$34,'Temperature-Step 1'!$Q$62))</f>
        <v>N/A</v>
      </c>
      <c r="K13" s="641" t="str">
        <f t="shared" si="2"/>
        <v>N/A</v>
      </c>
      <c r="L13" s="643" t="str">
        <f t="shared" si="3"/>
        <v>N/A</v>
      </c>
      <c r="M13" s="437"/>
      <c r="N13" s="437"/>
      <c r="O13" s="437"/>
      <c r="P13" s="191"/>
      <c r="Q13" s="191"/>
    </row>
    <row r="14" spans="1:17" ht="44.1" customHeight="1" x14ac:dyDescent="0.25">
      <c r="A14" s="206"/>
      <c r="B14" s="50"/>
      <c r="C14" s="855"/>
      <c r="D14" s="626"/>
      <c r="E14" s="640"/>
      <c r="F14" s="628" t="str">
        <f>IF(D14=0,"N/A",MAX(MAX('Temperature-Step 1'!$Q$52,'Temperature-Step 1'!$Q$17),MAX('Temperature-Step 1'!$Q$19,'Temperature-Step 1'!$Q$57)))</f>
        <v>N/A</v>
      </c>
      <c r="G14" s="641" t="str">
        <f t="shared" si="1"/>
        <v>N/A</v>
      </c>
      <c r="H14" s="629" t="str">
        <f t="shared" si="0"/>
        <v>N/A</v>
      </c>
      <c r="I14" s="644" t="str">
        <v>N/A</v>
      </c>
      <c r="J14" s="642" t="str">
        <f>IF(D14=0,"N/A",MAX('Temperature-Step 1'!$Q$34,'Temperature-Step 1'!$Q$62))</f>
        <v>N/A</v>
      </c>
      <c r="K14" s="641" t="str">
        <f t="shared" si="2"/>
        <v>N/A</v>
      </c>
      <c r="L14" s="643" t="str">
        <f t="shared" si="3"/>
        <v>N/A</v>
      </c>
      <c r="M14" s="437"/>
      <c r="N14" s="437"/>
      <c r="O14" s="437"/>
      <c r="P14" s="191"/>
      <c r="Q14" s="191"/>
    </row>
    <row r="15" spans="1:17" ht="60" customHeight="1" x14ac:dyDescent="0.25">
      <c r="A15" s="207"/>
      <c r="B15" s="53"/>
      <c r="C15" s="855"/>
      <c r="D15" s="626"/>
      <c r="E15" s="640"/>
      <c r="F15" s="628" t="str">
        <f>IF(D15=0,"N/A",MAX(MAX('Temperature-Step 1'!$Q$52,'Temperature-Step 1'!$Q$17),MAX('Temperature-Step 1'!$Q$19,'Temperature-Step 1'!$Q$57)))</f>
        <v>N/A</v>
      </c>
      <c r="G15" s="641" t="str">
        <f t="shared" si="1"/>
        <v>N/A</v>
      </c>
      <c r="H15" s="629" t="str">
        <f t="shared" si="0"/>
        <v>N/A</v>
      </c>
      <c r="I15" s="644" t="str">
        <v>N/A</v>
      </c>
      <c r="J15" s="642" t="str">
        <f>IF(D15=0,"N/A",MAX('Temperature-Step 1'!$Q$34,'Temperature-Step 1'!$Q$62))</f>
        <v>N/A</v>
      </c>
      <c r="K15" s="641" t="str">
        <f t="shared" si="2"/>
        <v>N/A</v>
      </c>
      <c r="L15" s="643" t="str">
        <f t="shared" si="3"/>
        <v>N/A</v>
      </c>
      <c r="M15" s="19"/>
      <c r="N15" s="191"/>
      <c r="O15" s="191"/>
      <c r="P15" s="191"/>
      <c r="Q15" s="191"/>
    </row>
    <row r="16" spans="1:17" ht="70.5" customHeight="1" x14ac:dyDescent="0.25">
      <c r="A16" s="208"/>
      <c r="B16" s="53"/>
      <c r="C16" s="855"/>
      <c r="D16" s="626"/>
      <c r="E16" s="640"/>
      <c r="F16" s="628" t="str">
        <f>IF(D16=0,"N/A",MAX(MAX('Temperature-Step 1'!$Q$52,'Temperature-Step 1'!$Q$17),MAX('Temperature-Step 1'!$Q$19,'Temperature-Step 1'!$Q$57)))</f>
        <v>N/A</v>
      </c>
      <c r="G16" s="641" t="str">
        <f t="shared" si="1"/>
        <v>N/A</v>
      </c>
      <c r="H16" s="629" t="str">
        <f t="shared" si="0"/>
        <v>N/A</v>
      </c>
      <c r="I16" s="644" t="str">
        <v>N/A</v>
      </c>
      <c r="J16" s="642" t="str">
        <f>IF(D16=0,"N/A",MAX('Temperature-Step 1'!$Q$34,'Temperature-Step 1'!$Q$62))</f>
        <v>N/A</v>
      </c>
      <c r="K16" s="641" t="str">
        <f t="shared" si="2"/>
        <v>N/A</v>
      </c>
      <c r="L16" s="643" t="str">
        <f t="shared" si="3"/>
        <v>N/A</v>
      </c>
      <c r="M16" s="6"/>
    </row>
    <row r="17" spans="1:15" ht="63.6" customHeight="1" x14ac:dyDescent="0.25">
      <c r="A17" s="207"/>
      <c r="B17" s="209"/>
      <c r="C17" s="855"/>
      <c r="D17" s="626"/>
      <c r="E17" s="640"/>
      <c r="F17" s="628" t="str">
        <f>IF(D17=0,"N/A",MAX(MAX('Temperature-Step 1'!$Q$52,'Temperature-Step 1'!$Q$17),MAX('Temperature-Step 1'!$Q$19,'Temperature-Step 1'!$Q$57)))</f>
        <v>N/A</v>
      </c>
      <c r="G17" s="641" t="str">
        <f t="shared" si="1"/>
        <v>N/A</v>
      </c>
      <c r="H17" s="629" t="str">
        <f t="shared" si="0"/>
        <v>N/A</v>
      </c>
      <c r="I17" s="644" t="str">
        <v>N/A</v>
      </c>
      <c r="J17" s="642" t="str">
        <f>IF(D17=0,"N/A",MAX('Temperature-Step 1'!$Q$34,'Temperature-Step 1'!$Q$62))</f>
        <v>N/A</v>
      </c>
      <c r="K17" s="641" t="str">
        <f t="shared" si="2"/>
        <v>N/A</v>
      </c>
      <c r="L17" s="643" t="str">
        <f t="shared" si="3"/>
        <v>N/A</v>
      </c>
      <c r="M17" s="6"/>
    </row>
    <row r="18" spans="1:15" ht="63.6" customHeight="1" x14ac:dyDescent="0.25">
      <c r="A18" s="207"/>
      <c r="B18" s="209"/>
      <c r="C18" s="855"/>
      <c r="D18" s="626"/>
      <c r="E18" s="640"/>
      <c r="F18" s="628" t="str">
        <f>IF(D18=0,"N/A",MAX(MAX('Temperature-Step 1'!$Q$52,'Temperature-Step 1'!$Q$17),MAX('Temperature-Step 1'!$Q$19,'Temperature-Step 1'!$Q$57)))</f>
        <v>N/A</v>
      </c>
      <c r="G18" s="641" t="str">
        <f t="shared" si="1"/>
        <v>N/A</v>
      </c>
      <c r="H18" s="629" t="str">
        <f t="shared" si="0"/>
        <v>N/A</v>
      </c>
      <c r="I18" s="644" t="str">
        <v>N/A</v>
      </c>
      <c r="J18" s="642" t="str">
        <f>IF(D18=0,"N/A",MAX('Temperature-Step 1'!$Q$34,'Temperature-Step 1'!$Q$62))</f>
        <v>N/A</v>
      </c>
      <c r="K18" s="641" t="str">
        <f t="shared" si="2"/>
        <v>N/A</v>
      </c>
      <c r="L18" s="643" t="str">
        <f t="shared" si="3"/>
        <v>N/A</v>
      </c>
      <c r="M18" s="6"/>
    </row>
    <row r="19" spans="1:15" ht="55.5" customHeight="1" x14ac:dyDescent="0.25">
      <c r="A19" s="210"/>
      <c r="B19" s="66"/>
      <c r="C19" s="898" t="s">
        <v>118</v>
      </c>
      <c r="D19" s="626" cm="1">
        <f t="array" ref="D19:D21">_xlfn._xlws.FILTER('Temperature-Step 2'!C22:C24,'Temperature-Step 2'!D22:D24="Active")</f>
        <v>0</v>
      </c>
      <c r="E19" s="640" t="str" cm="1">
        <f t="array" ref="E19:E21">_xlfn._xlws.FILTER('Temperature-Step 2'!Q22:Q24,'Temperature-Step 2'!D22:D24="Active")</f>
        <v>N/A</v>
      </c>
      <c r="F19" s="628" t="str">
        <f>IF(D19=0,"N/A",MAX(MAX('Temperature-Step 1'!$Q$52,'Temperature-Step 1'!$Q$17),MAX('Temperature-Step 1'!$Q$19,'Temperature-Step 1'!$Q$59)))</f>
        <v>N/A</v>
      </c>
      <c r="G19" s="641" t="str">
        <f t="shared" si="1"/>
        <v>N/A</v>
      </c>
      <c r="H19" s="629" t="str">
        <f t="shared" si="0"/>
        <v>N/A</v>
      </c>
      <c r="I19" s="645" t="str" cm="1">
        <f t="array" ref="I19:I21">_xlfn._xlws.FILTER('Temperature-Step 2'!Q49:Q51,'Temperature-Step 2'!D49:D51="Active")</f>
        <v>N/A</v>
      </c>
      <c r="J19" s="642" t="str">
        <f>IF(D19=0,"N/A",MAX('Temperature-Step 1'!$Q$34,'Temperature-Step 1'!$Q$62))</f>
        <v>N/A</v>
      </c>
      <c r="K19" s="641" t="str">
        <f t="shared" si="2"/>
        <v>N/A</v>
      </c>
      <c r="L19" s="643" t="str">
        <f t="shared" si="3"/>
        <v>N/A</v>
      </c>
      <c r="M19" s="6"/>
    </row>
    <row r="20" spans="1:15" ht="48.95" customHeight="1" x14ac:dyDescent="0.25">
      <c r="A20" s="198"/>
      <c r="B20" s="211"/>
      <c r="C20" s="898"/>
      <c r="D20" s="626">
        <v>0</v>
      </c>
      <c r="E20" s="640" t="str">
        <v>N/A</v>
      </c>
      <c r="F20" s="628" t="str">
        <f>IF(D20=0,"N/A",MAX(MAX('Temperature-Step 1'!$Q$52,'Temperature-Step 1'!$Q$17),MAX('Temperature-Step 1'!$Q$19,'Temperature-Step 1'!$Q$59)))</f>
        <v>N/A</v>
      </c>
      <c r="G20" s="641" t="str">
        <f t="shared" si="1"/>
        <v>N/A</v>
      </c>
      <c r="H20" s="629" t="str">
        <f t="shared" si="0"/>
        <v>N/A</v>
      </c>
      <c r="I20" s="645" t="str">
        <v>N/A</v>
      </c>
      <c r="J20" s="642" t="str">
        <f>IF(D20=0,"N/A",MAX('Temperature-Step 1'!$Q$34,'Temperature-Step 1'!$Q$62))</f>
        <v>N/A</v>
      </c>
      <c r="K20" s="641" t="str">
        <f t="shared" si="2"/>
        <v>N/A</v>
      </c>
      <c r="L20" s="643" t="str">
        <f t="shared" si="3"/>
        <v>N/A</v>
      </c>
      <c r="M20" s="6"/>
    </row>
    <row r="21" spans="1:15" ht="39" customHeight="1" x14ac:dyDescent="0.25">
      <c r="A21" s="198"/>
      <c r="B21" s="212"/>
      <c r="C21" s="898"/>
      <c r="D21" s="626">
        <v>0</v>
      </c>
      <c r="E21" s="640" t="str">
        <v>N/A</v>
      </c>
      <c r="F21" s="628" t="str">
        <f>IF(D21=0,"N/A",MAX(MAX('Temperature-Step 1'!$Q$52,'Temperature-Step 1'!$Q$17),MAX('Temperature-Step 1'!$Q$19,'Temperature-Step 1'!$Q$59)))</f>
        <v>N/A</v>
      </c>
      <c r="G21" s="641" t="str">
        <f t="shared" si="1"/>
        <v>N/A</v>
      </c>
      <c r="H21" s="629" t="str">
        <f t="shared" si="0"/>
        <v>N/A</v>
      </c>
      <c r="I21" s="645" t="str">
        <v>N/A</v>
      </c>
      <c r="J21" s="642" t="str">
        <f>IF(D21=0,"N/A",MAX('Temperature-Step 1'!$Q$34,'Temperature-Step 1'!$Q$62))</f>
        <v>N/A</v>
      </c>
      <c r="K21" s="641" t="str">
        <f t="shared" si="2"/>
        <v>N/A</v>
      </c>
      <c r="L21" s="643" t="str">
        <f t="shared" si="3"/>
        <v>N/A</v>
      </c>
      <c r="M21" s="6"/>
    </row>
    <row r="22" spans="1:15" ht="36.6" customHeight="1" x14ac:dyDescent="0.25">
      <c r="B22" s="213"/>
      <c r="C22" s="899" t="s">
        <v>119</v>
      </c>
      <c r="D22" s="626" cm="1">
        <f t="array" ref="D22:D23">_xlfn._xlws.FILTER('Temperature-Step 2'!C25:C30,'Temperature-Step 2'!D25:D30="Active")</f>
        <v>0</v>
      </c>
      <c r="E22" s="640" t="str" cm="1">
        <f t="array" ref="E22:E23">_xlfn._xlws.FILTER('Temperature-Step 2'!Q25:Q30,'Temperature-Step 2'!D25:D30="Active")</f>
        <v>N/A</v>
      </c>
      <c r="F22" s="628" t="str">
        <f>IF(D22=0,"N/A",MAX(MAX('Temperature-Step 1'!$Q$52,'Temperature-Step 1'!$Q$17),MAX('Temperature-Step 1'!$Q$19,'Temperature-Step 1'!$Q$59)))</f>
        <v>N/A</v>
      </c>
      <c r="G22" s="641" t="str">
        <f t="shared" si="1"/>
        <v>N/A</v>
      </c>
      <c r="H22" s="629" t="str">
        <f t="shared" si="0"/>
        <v>N/A</v>
      </c>
      <c r="I22" s="642" t="str" cm="1">
        <f t="array" ref="I22:I27">_xlfn._xlws.FILTER('Temperature-Step 2'!Q52:Q57,'Temperature-Step 2'!D52:D57="Active")</f>
        <v>N/A</v>
      </c>
      <c r="J22" s="642" t="str">
        <f>IF(D22=0,"N/A",MAX('Temperature-Step 1'!$Q$34,'Temperature-Step 1'!$Q$62))</f>
        <v>N/A</v>
      </c>
      <c r="K22" s="641" t="str">
        <f t="shared" si="2"/>
        <v>N/A</v>
      </c>
      <c r="L22" s="643" t="str">
        <f t="shared" si="3"/>
        <v>N/A</v>
      </c>
      <c r="M22" s="6"/>
    </row>
    <row r="23" spans="1:15" ht="36.950000000000003" customHeight="1" x14ac:dyDescent="0.25">
      <c r="B23" s="213"/>
      <c r="C23" s="899"/>
      <c r="D23" s="626">
        <v>0</v>
      </c>
      <c r="E23" s="640" t="str">
        <v>N/A</v>
      </c>
      <c r="F23" s="628" t="str">
        <f>IF(D23=0,"N/A",MAX(MAX('Temperature-Step 1'!$Q$52,'Temperature-Step 1'!$Q$17),MAX('Temperature-Step 1'!$Q$19,'Temperature-Step 1'!$Q$59)))</f>
        <v>N/A</v>
      </c>
      <c r="G23" s="641" t="str">
        <f t="shared" si="1"/>
        <v>N/A</v>
      </c>
      <c r="H23" s="629" t="str">
        <f t="shared" si="0"/>
        <v>N/A</v>
      </c>
      <c r="I23" s="645" t="str">
        <v>N/A</v>
      </c>
      <c r="J23" s="642" t="str">
        <f>IF(D23=0,"N/A",MAX('Temperature-Step 1'!$Q$34,'Temperature-Step 1'!$Q$62))</f>
        <v>N/A</v>
      </c>
      <c r="K23" s="641" t="str">
        <f t="shared" si="2"/>
        <v>N/A</v>
      </c>
      <c r="L23" s="643" t="str">
        <f t="shared" si="3"/>
        <v>N/A</v>
      </c>
      <c r="M23" s="6"/>
    </row>
    <row r="24" spans="1:15" ht="46.5" customHeight="1" x14ac:dyDescent="0.25">
      <c r="B24" s="213"/>
      <c r="C24" s="899"/>
      <c r="D24" s="626"/>
      <c r="E24" s="640"/>
      <c r="F24" s="628" t="str">
        <f>IF(D24=0,"N/A",MAX(MAX('Temperature-Step 1'!$Q$52,'Temperature-Step 1'!$Q$17),MAX('Temperature-Step 1'!$Q$19,'Temperature-Step 1'!$Q$59)))</f>
        <v>N/A</v>
      </c>
      <c r="G24" s="641" t="str">
        <f t="shared" si="1"/>
        <v>N/A</v>
      </c>
      <c r="H24" s="629" t="str">
        <f t="shared" si="0"/>
        <v>N/A</v>
      </c>
      <c r="I24" s="645" t="str">
        <v>N/A</v>
      </c>
      <c r="J24" s="642" t="str">
        <f>IF(D24=0,"N/A",MAX('Temperature-Step 1'!$Q$34,'Temperature-Step 1'!$Q$62))</f>
        <v>N/A</v>
      </c>
      <c r="K24" s="641" t="str">
        <f t="shared" si="2"/>
        <v>N/A</v>
      </c>
      <c r="L24" s="643" t="str">
        <f t="shared" si="3"/>
        <v>N/A</v>
      </c>
      <c r="M24" s="6"/>
    </row>
    <row r="25" spans="1:15" ht="51" customHeight="1" x14ac:dyDescent="0.25">
      <c r="C25" s="899"/>
      <c r="D25" s="626"/>
      <c r="E25" s="640"/>
      <c r="F25" s="628" t="str">
        <f>IF(D25=0,"N/A",MAX(MAX('Temperature-Step 1'!$Q$52,'Temperature-Step 1'!$Q$17),MAX('Temperature-Step 1'!$Q$19,'Temperature-Step 1'!$Q$59)))</f>
        <v>N/A</v>
      </c>
      <c r="G25" s="641" t="str">
        <f t="shared" si="1"/>
        <v>N/A</v>
      </c>
      <c r="H25" s="629" t="str">
        <f t="shared" si="0"/>
        <v>N/A</v>
      </c>
      <c r="I25" s="645" t="str">
        <v>N/A</v>
      </c>
      <c r="J25" s="642" t="str">
        <f>IF(D25=0,"N/A",MAX('Temperature-Step 1'!$Q$34,'Temperature-Step 1'!$Q$62))</f>
        <v>N/A</v>
      </c>
      <c r="K25" s="641" t="str">
        <f t="shared" si="2"/>
        <v>N/A</v>
      </c>
      <c r="L25" s="643" t="str">
        <f t="shared" si="3"/>
        <v>N/A</v>
      </c>
      <c r="M25" s="6"/>
    </row>
    <row r="26" spans="1:15" ht="56.1" customHeight="1" x14ac:dyDescent="0.25">
      <c r="C26" s="899"/>
      <c r="D26" s="626"/>
      <c r="E26" s="640"/>
      <c r="F26" s="628" t="str">
        <f>IF(D26=0,"N/A",MAX(MAX('Temperature-Step 1'!$Q$52,'Temperature-Step 1'!$Q$17),MAX('Temperature-Step 1'!$Q$19,'Temperature-Step 1'!$Q$59)))</f>
        <v>N/A</v>
      </c>
      <c r="G26" s="641" t="str">
        <f t="shared" si="1"/>
        <v>N/A</v>
      </c>
      <c r="H26" s="629" t="str">
        <f t="shared" si="0"/>
        <v>N/A</v>
      </c>
      <c r="I26" s="645" t="str">
        <v>N/A</v>
      </c>
      <c r="J26" s="642" t="str">
        <f>IF(D26=0,"N/A",MAX('Temperature-Step 1'!$Q$34,'Temperature-Step 1'!$Q$62))</f>
        <v>N/A</v>
      </c>
      <c r="K26" s="641" t="str">
        <f t="shared" si="2"/>
        <v>N/A</v>
      </c>
      <c r="L26" s="643" t="str">
        <f t="shared" si="3"/>
        <v>N/A</v>
      </c>
      <c r="M26" s="6"/>
    </row>
    <row r="27" spans="1:15" ht="48.95" customHeight="1" x14ac:dyDescent="0.25">
      <c r="B27" s="209"/>
      <c r="C27" s="860"/>
      <c r="D27" s="646"/>
      <c r="E27" s="647"/>
      <c r="F27" s="648" t="str">
        <f>IF(D27=0,"N/A",MAX(MAX('Temperature-Step 1'!$Q$52,'Temperature-Step 1'!$Q$17),MAX('Temperature-Step 1'!$Q$19,'Temperature-Step 1'!$Q$59)))</f>
        <v>N/A</v>
      </c>
      <c r="G27" s="641" t="str">
        <f t="shared" si="1"/>
        <v>N/A</v>
      </c>
      <c r="H27" s="649" t="str">
        <f t="shared" si="0"/>
        <v>N/A</v>
      </c>
      <c r="I27" s="650" t="str">
        <v>N/A</v>
      </c>
      <c r="J27" s="642" t="str">
        <f>IF(D27=0,"N/A",MAX('Temperature-Step 1'!$Q$34,'Temperature-Step 1'!$Q$62))</f>
        <v>N/A</v>
      </c>
      <c r="K27" s="641" t="str">
        <f t="shared" si="2"/>
        <v>N/A</v>
      </c>
      <c r="L27" s="651" t="str">
        <f t="shared" si="3"/>
        <v>N/A</v>
      </c>
      <c r="M27" s="6"/>
    </row>
    <row r="28" spans="1:15" ht="29.45" customHeight="1" x14ac:dyDescent="0.25">
      <c r="A28" s="52"/>
      <c r="B28" s="211"/>
      <c r="C28" s="639"/>
      <c r="D28" s="620"/>
      <c r="E28" s="621"/>
      <c r="F28" s="622"/>
      <c r="G28" s="621"/>
      <c r="H28" s="621"/>
      <c r="I28" s="19"/>
      <c r="J28" s="772"/>
      <c r="K28" s="621"/>
      <c r="L28" s="19"/>
      <c r="M28" s="754"/>
      <c r="N28" s="754"/>
      <c r="O28" s="754"/>
    </row>
    <row r="29" spans="1:15" ht="24.6" customHeight="1" x14ac:dyDescent="0.25">
      <c r="A29" s="211"/>
      <c r="B29" s="212"/>
      <c r="C29" s="887"/>
      <c r="D29" s="620"/>
      <c r="E29" s="762">
        <f>IFERROR(MAX(E11:E27),0)</f>
        <v>0</v>
      </c>
      <c r="F29" s="764"/>
      <c r="G29" s="765" t="e">
        <f>IF($D$10="N/A",MAX(G11:G18,G22:G27),G10)</f>
        <v>#DIV/0!</v>
      </c>
      <c r="H29" s="765"/>
      <c r="I29" s="762"/>
      <c r="J29" s="779"/>
      <c r="K29" s="765" t="e">
        <f>IF(D10="N/A",MAX(K11:K18,K22:K27),K10)</f>
        <v>#DIV/0!</v>
      </c>
      <c r="L29" s="437"/>
      <c r="M29" s="754"/>
      <c r="N29" s="754"/>
      <c r="O29" s="754"/>
    </row>
    <row r="30" spans="1:15" ht="18.600000000000001" customHeight="1" x14ac:dyDescent="0.25">
      <c r="A30" s="217"/>
      <c r="B30" s="213"/>
      <c r="C30" s="887"/>
      <c r="D30" s="620"/>
      <c r="E30" s="621"/>
      <c r="F30" s="622"/>
      <c r="G30" s="765" t="str">
        <f>IF(D10="N/A",MAX(G19:G21),"N/A")</f>
        <v>N/A</v>
      </c>
      <c r="H30" s="621"/>
      <c r="I30" s="19"/>
      <c r="J30" s="772"/>
      <c r="K30" s="765" t="str">
        <f>IF(D10="N/A",MAX(K19:K21),"N/A")</f>
        <v>N/A</v>
      </c>
      <c r="L30" s="19"/>
      <c r="M30" s="754"/>
      <c r="N30" s="754"/>
      <c r="O30" s="754"/>
    </row>
    <row r="31" spans="1:15" ht="36.6" customHeight="1" x14ac:dyDescent="0.25">
      <c r="C31" s="887"/>
      <c r="D31" s="620"/>
      <c r="E31" s="621"/>
      <c r="F31" s="622"/>
      <c r="G31" s="621"/>
      <c r="H31" s="621"/>
      <c r="I31" s="19"/>
      <c r="J31" s="772"/>
      <c r="K31" s="621"/>
      <c r="L31" s="19"/>
      <c r="M31" s="754"/>
      <c r="N31" s="754"/>
      <c r="O31" s="754"/>
    </row>
    <row r="32" spans="1:15" ht="38.1" customHeight="1" x14ac:dyDescent="0.25">
      <c r="C32" s="887"/>
      <c r="D32" s="623"/>
      <c r="E32" s="624"/>
      <c r="F32" s="622"/>
      <c r="G32" s="621"/>
      <c r="H32" s="624"/>
      <c r="I32" s="19"/>
      <c r="J32" s="772"/>
      <c r="K32" s="621"/>
      <c r="L32" s="19"/>
      <c r="M32" s="754"/>
      <c r="N32" s="754"/>
      <c r="O32" s="754"/>
    </row>
    <row r="33" spans="1:25" x14ac:dyDescent="0.25">
      <c r="B33" s="220"/>
      <c r="C33" s="754"/>
      <c r="D33" s="780"/>
      <c r="E33" s="754"/>
      <c r="F33" s="754"/>
      <c r="G33" s="754"/>
      <c r="H33" s="754"/>
      <c r="I33" s="754"/>
      <c r="J33" s="754"/>
      <c r="K33" s="754"/>
      <c r="L33" s="754"/>
      <c r="M33" s="754"/>
      <c r="N33" s="754"/>
      <c r="O33" s="754"/>
    </row>
    <row r="34" spans="1:25" ht="16.5" x14ac:dyDescent="0.25">
      <c r="B34" s="220"/>
      <c r="C34" s="781"/>
      <c r="D34" s="780"/>
      <c r="E34" s="754"/>
      <c r="F34" s="754"/>
      <c r="G34" s="754"/>
      <c r="H34" s="754"/>
      <c r="I34" s="754"/>
      <c r="J34" s="754"/>
      <c r="K34" s="754"/>
      <c r="L34" s="754"/>
      <c r="M34" s="754"/>
      <c r="N34" s="754"/>
      <c r="O34" s="754"/>
    </row>
    <row r="35" spans="1:25" ht="14.45" customHeight="1" x14ac:dyDescent="0.25">
      <c r="B35" s="64"/>
      <c r="C35" s="880"/>
      <c r="D35" s="880"/>
      <c r="E35" s="880"/>
      <c r="F35" s="880"/>
      <c r="G35" s="880"/>
      <c r="H35" s="880"/>
      <c r="I35" s="754"/>
      <c r="J35" s="880"/>
      <c r="K35" s="880"/>
      <c r="L35" s="880"/>
      <c r="M35" s="880"/>
      <c r="N35" s="880"/>
      <c r="O35" s="880"/>
      <c r="Q35" s="873"/>
      <c r="R35" s="873"/>
      <c r="S35" s="873"/>
      <c r="T35" s="873"/>
      <c r="U35" s="136"/>
      <c r="V35" s="873"/>
      <c r="W35" s="873"/>
      <c r="X35" s="873"/>
      <c r="Y35" s="873"/>
    </row>
    <row r="36" spans="1:25" ht="42" customHeight="1" x14ac:dyDescent="0.25">
      <c r="B36" s="64"/>
      <c r="C36" s="754"/>
      <c r="D36" s="780"/>
      <c r="E36" s="754"/>
      <c r="F36" s="754"/>
      <c r="G36" s="754"/>
      <c r="H36" s="754"/>
      <c r="I36" s="782"/>
      <c r="J36" s="782"/>
      <c r="K36" s="783"/>
      <c r="L36" s="783"/>
      <c r="M36" s="783"/>
      <c r="N36" s="783"/>
      <c r="O36" s="784"/>
      <c r="Q36" s="95"/>
      <c r="R36" s="95"/>
      <c r="S36" s="95"/>
      <c r="V36" s="58"/>
      <c r="W36" s="58"/>
      <c r="X36" s="58"/>
      <c r="Y36" s="58"/>
    </row>
    <row r="37" spans="1:25" ht="66.95" customHeight="1" x14ac:dyDescent="0.25">
      <c r="B37" s="64"/>
      <c r="C37" s="221"/>
      <c r="D37" s="29"/>
      <c r="J37" s="52"/>
      <c r="K37" s="150"/>
      <c r="L37" s="150"/>
      <c r="M37" s="150"/>
      <c r="N37" s="49"/>
      <c r="O37" s="223"/>
      <c r="Q37" s="49"/>
      <c r="R37" s="49"/>
      <c r="S37" s="150"/>
      <c r="T37" s="223"/>
      <c r="U37" s="150"/>
      <c r="V37" s="224"/>
      <c r="W37" s="224"/>
      <c r="X37" s="224"/>
      <c r="Y37" s="224"/>
    </row>
    <row r="38" spans="1:25" ht="21.95" customHeight="1" x14ac:dyDescent="0.25">
      <c r="B38" s="64"/>
      <c r="C38" s="874"/>
      <c r="D38" s="875"/>
      <c r="E38" s="119"/>
      <c r="F38" s="119"/>
      <c r="G38" s="119"/>
      <c r="H38" s="119"/>
      <c r="J38" s="876"/>
      <c r="K38" s="225"/>
      <c r="L38" s="225"/>
      <c r="M38" s="225"/>
      <c r="N38" s="225"/>
      <c r="O38" s="154"/>
      <c r="Q38" s="225"/>
      <c r="R38" s="225"/>
      <c r="S38" s="225"/>
      <c r="T38" s="154"/>
      <c r="U38" s="154"/>
      <c r="V38" s="154"/>
      <c r="W38" s="154"/>
      <c r="X38" s="154"/>
      <c r="Y38" s="154"/>
    </row>
    <row r="39" spans="1:25" ht="21.95" customHeight="1" x14ac:dyDescent="0.25">
      <c r="B39" s="64"/>
      <c r="C39" s="874"/>
      <c r="D39" s="875"/>
      <c r="E39" s="226"/>
      <c r="F39" s="226"/>
      <c r="G39" s="226"/>
      <c r="H39" s="226"/>
      <c r="J39" s="876"/>
      <c r="K39" s="227"/>
      <c r="L39" s="227"/>
      <c r="M39" s="227"/>
      <c r="N39" s="227"/>
      <c r="O39" s="227"/>
      <c r="Q39" s="103"/>
      <c r="R39" s="103"/>
      <c r="S39" s="103"/>
      <c r="T39" s="111"/>
      <c r="U39" s="154"/>
      <c r="V39" s="111"/>
      <c r="W39" s="103"/>
      <c r="X39" s="227"/>
      <c r="Y39" s="103"/>
    </row>
    <row r="40" spans="1:25" ht="26.1" customHeight="1" x14ac:dyDescent="0.25">
      <c r="B40" s="64"/>
      <c r="C40" s="191"/>
      <c r="D40" s="172"/>
      <c r="E40" s="228"/>
      <c r="F40" s="228"/>
      <c r="G40" s="228"/>
      <c r="H40" s="228"/>
      <c r="J40" s="876"/>
      <c r="K40" s="103"/>
      <c r="L40" s="103"/>
      <c r="M40" s="103"/>
      <c r="N40" s="103"/>
      <c r="O40" s="103"/>
      <c r="P40" s="136"/>
      <c r="U40" s="136"/>
      <c r="V40" s="111"/>
      <c r="W40" s="103"/>
      <c r="X40" s="111"/>
      <c r="Y40" s="103"/>
    </row>
    <row r="41" spans="1:25" ht="21.6" customHeight="1" x14ac:dyDescent="0.25">
      <c r="B41" s="64"/>
      <c r="C41" s="191"/>
      <c r="D41" s="229"/>
      <c r="E41" s="230"/>
      <c r="F41" s="230"/>
      <c r="G41" s="103"/>
      <c r="H41" s="230"/>
      <c r="J41" s="83"/>
      <c r="K41" s="103"/>
      <c r="L41" s="103"/>
      <c r="M41" s="103"/>
      <c r="N41" s="103"/>
      <c r="O41" s="103"/>
      <c r="P41" s="136"/>
      <c r="Q41" s="136"/>
      <c r="R41" s="136"/>
      <c r="S41" s="136"/>
      <c r="T41" s="136"/>
      <c r="U41" s="136"/>
      <c r="V41" s="111"/>
      <c r="W41" s="103"/>
      <c r="X41" s="111"/>
      <c r="Y41" s="103"/>
    </row>
    <row r="42" spans="1:25" ht="18" customHeight="1" x14ac:dyDescent="0.25">
      <c r="A42" s="877"/>
      <c r="C42" s="878"/>
      <c r="D42" s="216"/>
      <c r="E42" s="103"/>
      <c r="F42" s="103"/>
      <c r="G42" s="103"/>
      <c r="H42" s="103"/>
      <c r="J42" s="83"/>
      <c r="K42" s="103"/>
      <c r="L42" s="103"/>
      <c r="M42" s="103"/>
      <c r="N42" s="103"/>
      <c r="O42" s="103"/>
      <c r="P42" s="136"/>
      <c r="Q42" s="136"/>
      <c r="R42" s="136"/>
      <c r="S42" s="136"/>
      <c r="T42" s="136"/>
      <c r="U42" s="136"/>
      <c r="V42" s="103"/>
      <c r="W42" s="103"/>
      <c r="X42" s="103"/>
      <c r="Y42" s="103"/>
    </row>
    <row r="43" spans="1:25" x14ac:dyDescent="0.25">
      <c r="A43" s="877"/>
      <c r="C43" s="879"/>
      <c r="D43" s="216"/>
      <c r="E43" s="103"/>
      <c r="F43" s="103"/>
      <c r="G43" s="103"/>
      <c r="H43" s="103"/>
      <c r="K43" s="103"/>
      <c r="L43" s="103"/>
      <c r="M43" s="103"/>
      <c r="N43" s="103"/>
      <c r="O43" s="103"/>
      <c r="P43" s="136"/>
      <c r="Q43" s="103"/>
      <c r="R43" s="103"/>
      <c r="S43" s="103"/>
      <c r="T43" s="111"/>
      <c r="U43" s="219"/>
      <c r="V43" s="103"/>
      <c r="W43" s="103"/>
      <c r="X43" s="103"/>
      <c r="Y43" s="103"/>
    </row>
    <row r="44" spans="1:25" x14ac:dyDescent="0.25">
      <c r="C44" s="879"/>
      <c r="D44" s="232"/>
      <c r="E44" s="103"/>
      <c r="F44" s="103"/>
      <c r="G44" s="103"/>
      <c r="H44" s="103"/>
      <c r="K44" s="103"/>
      <c r="L44" s="103"/>
      <c r="M44" s="103"/>
      <c r="N44" s="103"/>
      <c r="O44" s="103"/>
      <c r="P44" s="136"/>
      <c r="Q44" s="103"/>
      <c r="R44" s="103"/>
      <c r="S44" s="103"/>
      <c r="T44" s="111"/>
      <c r="U44" s="219"/>
      <c r="V44" s="103"/>
      <c r="W44" s="103"/>
      <c r="X44" s="103"/>
      <c r="Y44" s="103"/>
    </row>
    <row r="45" spans="1:25" x14ac:dyDescent="0.25">
      <c r="C45" s="879"/>
      <c r="D45" s="216"/>
      <c r="E45" s="103"/>
      <c r="F45" s="103"/>
      <c r="G45" s="103"/>
      <c r="H45" s="103"/>
      <c r="K45" s="103"/>
      <c r="L45" s="103"/>
      <c r="M45" s="103"/>
      <c r="N45" s="103"/>
      <c r="O45" s="103"/>
      <c r="P45" s="136"/>
      <c r="Q45" s="103"/>
      <c r="R45" s="103"/>
      <c r="S45" s="103"/>
      <c r="T45" s="111"/>
      <c r="U45" s="103"/>
      <c r="V45" s="103"/>
      <c r="W45" s="103"/>
      <c r="X45" s="103"/>
      <c r="Y45" s="103"/>
    </row>
    <row r="46" spans="1:25" x14ac:dyDescent="0.25">
      <c r="C46" s="879"/>
      <c r="D46" s="216"/>
      <c r="E46" s="103"/>
      <c r="F46" s="103"/>
      <c r="G46" s="103"/>
      <c r="H46" s="103"/>
      <c r="K46" s="103"/>
      <c r="L46" s="103"/>
      <c r="M46" s="103"/>
      <c r="N46" s="103"/>
      <c r="O46" s="103"/>
      <c r="P46" s="136"/>
      <c r="Q46" s="103"/>
      <c r="R46" s="103"/>
      <c r="S46" s="103"/>
      <c r="T46" s="111"/>
      <c r="U46" s="219"/>
      <c r="V46" s="103"/>
      <c r="W46" s="103"/>
      <c r="X46" s="103"/>
      <c r="Y46" s="103"/>
    </row>
    <row r="47" spans="1:25" x14ac:dyDescent="0.25">
      <c r="C47" s="878"/>
      <c r="D47" s="216"/>
      <c r="E47" s="103"/>
      <c r="F47" s="103"/>
      <c r="G47" s="103"/>
      <c r="H47" s="103"/>
      <c r="K47" s="103"/>
      <c r="L47" s="103"/>
      <c r="M47" s="103"/>
      <c r="N47" s="103"/>
      <c r="O47" s="103"/>
      <c r="P47" s="136"/>
      <c r="Q47" s="103"/>
      <c r="R47" s="103"/>
      <c r="S47" s="103"/>
      <c r="T47" s="111"/>
      <c r="U47" s="219"/>
      <c r="V47" s="103"/>
      <c r="W47" s="103"/>
      <c r="X47" s="103"/>
      <c r="Y47" s="103"/>
    </row>
    <row r="48" spans="1:25" x14ac:dyDescent="0.25">
      <c r="C48" s="879"/>
      <c r="D48" s="216"/>
      <c r="E48" s="103"/>
      <c r="F48" s="103"/>
      <c r="G48" s="103"/>
      <c r="H48" s="103"/>
      <c r="K48" s="103"/>
      <c r="L48" s="103"/>
      <c r="M48" s="103"/>
      <c r="N48" s="103"/>
      <c r="O48" s="103"/>
      <c r="P48" s="136"/>
      <c r="Q48" s="103"/>
      <c r="R48" s="103"/>
      <c r="S48" s="103"/>
      <c r="T48" s="111"/>
      <c r="U48" s="219"/>
      <c r="V48" s="103"/>
      <c r="W48" s="103"/>
      <c r="X48" s="103"/>
      <c r="Y48" s="103"/>
    </row>
    <row r="49" spans="3:25" x14ac:dyDescent="0.25">
      <c r="C49" s="879"/>
      <c r="D49" s="216"/>
      <c r="E49" s="103"/>
      <c r="F49" s="103"/>
      <c r="G49" s="103"/>
      <c r="H49" s="103"/>
      <c r="K49" s="103"/>
      <c r="L49" s="103"/>
      <c r="M49" s="103"/>
      <c r="N49" s="103"/>
      <c r="O49" s="103"/>
      <c r="P49" s="136"/>
      <c r="Q49" s="103"/>
      <c r="R49" s="103"/>
      <c r="S49" s="103"/>
      <c r="T49" s="111"/>
      <c r="U49" s="219"/>
      <c r="V49" s="103"/>
      <c r="W49" s="103"/>
      <c r="X49" s="103"/>
      <c r="Y49" s="103"/>
    </row>
    <row r="50" spans="3:25" x14ac:dyDescent="0.25">
      <c r="C50" s="882"/>
      <c r="D50" s="216"/>
      <c r="E50" s="103"/>
      <c r="F50" s="103"/>
      <c r="G50" s="103"/>
      <c r="H50" s="103"/>
      <c r="K50" s="103"/>
      <c r="L50" s="103"/>
      <c r="M50" s="103"/>
      <c r="N50" s="103"/>
      <c r="O50" s="103"/>
      <c r="P50" s="136"/>
      <c r="Q50" s="103"/>
      <c r="R50" s="103"/>
      <c r="S50" s="103"/>
      <c r="T50" s="111"/>
      <c r="U50" s="219"/>
      <c r="V50" s="103"/>
      <c r="W50" s="103"/>
      <c r="X50" s="103"/>
      <c r="Y50" s="103"/>
    </row>
    <row r="51" spans="3:25" x14ac:dyDescent="0.25">
      <c r="C51" s="882"/>
      <c r="D51" s="216"/>
      <c r="E51" s="103"/>
      <c r="F51" s="103"/>
      <c r="G51" s="103"/>
      <c r="H51" s="103"/>
      <c r="K51" s="103"/>
      <c r="L51" s="103"/>
      <c r="M51" s="103"/>
      <c r="N51" s="103"/>
      <c r="O51" s="103"/>
      <c r="P51" s="136"/>
      <c r="Q51" s="103"/>
      <c r="R51" s="103"/>
      <c r="S51" s="103"/>
      <c r="T51" s="111"/>
      <c r="U51" s="219"/>
      <c r="V51" s="103"/>
      <c r="W51" s="103"/>
      <c r="X51" s="103"/>
      <c r="Y51" s="103"/>
    </row>
    <row r="52" spans="3:25" x14ac:dyDescent="0.25">
      <c r="C52" s="882"/>
      <c r="D52" s="215"/>
      <c r="E52" s="103"/>
      <c r="F52" s="103"/>
      <c r="G52" s="103"/>
      <c r="H52" s="103"/>
      <c r="K52" s="103"/>
      <c r="L52" s="103"/>
      <c r="M52" s="103"/>
      <c r="N52" s="103"/>
      <c r="O52" s="103"/>
      <c r="P52" s="136"/>
      <c r="Q52" s="103"/>
      <c r="R52" s="103"/>
      <c r="S52" s="103"/>
      <c r="T52" s="111"/>
      <c r="U52" s="219"/>
      <c r="V52" s="103"/>
      <c r="W52" s="103"/>
      <c r="X52" s="103"/>
      <c r="Y52" s="103"/>
    </row>
    <row r="53" spans="3:25" x14ac:dyDescent="0.25">
      <c r="C53" s="879"/>
      <c r="D53" s="215"/>
      <c r="E53" s="103"/>
      <c r="F53" s="103"/>
      <c r="G53" s="103"/>
      <c r="H53" s="103"/>
      <c r="K53" s="103"/>
      <c r="L53" s="103"/>
      <c r="M53" s="103"/>
      <c r="N53" s="103"/>
      <c r="O53" s="103"/>
      <c r="P53" s="136"/>
      <c r="Q53" s="103"/>
      <c r="R53" s="103"/>
      <c r="S53" s="103"/>
      <c r="T53" s="111"/>
      <c r="U53" s="219"/>
      <c r="V53" s="103"/>
      <c r="W53" s="103"/>
      <c r="X53" s="103"/>
      <c r="Y53" s="103"/>
    </row>
    <row r="54" spans="3:25" x14ac:dyDescent="0.25">
      <c r="C54" s="879"/>
      <c r="D54" s="232"/>
      <c r="E54" s="103"/>
      <c r="F54" s="103"/>
      <c r="G54" s="103"/>
      <c r="H54" s="103"/>
      <c r="K54" s="103"/>
      <c r="L54" s="103"/>
      <c r="M54" s="103"/>
      <c r="N54" s="103"/>
      <c r="O54" s="103"/>
      <c r="P54" s="136"/>
      <c r="Q54" s="103"/>
      <c r="R54" s="103"/>
      <c r="S54" s="103"/>
      <c r="T54" s="111"/>
      <c r="U54" s="219"/>
      <c r="V54" s="103"/>
      <c r="W54" s="103"/>
      <c r="X54" s="103"/>
      <c r="Y54" s="103"/>
    </row>
    <row r="55" spans="3:25" x14ac:dyDescent="0.25">
      <c r="C55" s="879"/>
      <c r="D55" s="216"/>
      <c r="E55" s="103"/>
      <c r="F55" s="103"/>
      <c r="G55" s="103"/>
      <c r="H55" s="103"/>
      <c r="K55" s="103"/>
      <c r="L55" s="103"/>
      <c r="M55" s="103"/>
      <c r="N55" s="103"/>
      <c r="O55" s="103"/>
      <c r="P55" s="136"/>
      <c r="Q55" s="103"/>
      <c r="R55" s="103"/>
      <c r="S55" s="103"/>
      <c r="T55" s="111"/>
      <c r="U55" s="219"/>
      <c r="V55" s="103"/>
      <c r="W55" s="103"/>
      <c r="X55" s="103"/>
      <c r="Y55" s="103"/>
    </row>
    <row r="56" spans="3:25" x14ac:dyDescent="0.25">
      <c r="C56" s="879"/>
      <c r="D56" s="215"/>
      <c r="E56" s="103"/>
      <c r="F56" s="103"/>
      <c r="G56" s="103"/>
      <c r="H56" s="103"/>
      <c r="K56" s="103"/>
      <c r="L56" s="103"/>
      <c r="M56" s="103"/>
      <c r="N56" s="103"/>
      <c r="O56" s="103"/>
      <c r="P56" s="136"/>
      <c r="Q56" s="103"/>
      <c r="R56" s="103"/>
      <c r="S56" s="103"/>
      <c r="T56" s="111"/>
      <c r="U56" s="219"/>
      <c r="V56" s="103"/>
      <c r="W56" s="103"/>
      <c r="X56" s="103"/>
      <c r="Y56" s="103"/>
    </row>
    <row r="57" spans="3:25" ht="30.6" customHeight="1" x14ac:dyDescent="0.25">
      <c r="C57" s="879"/>
      <c r="D57" s="216"/>
      <c r="E57" s="103"/>
      <c r="F57" s="103"/>
      <c r="G57" s="103"/>
      <c r="H57" s="103"/>
      <c r="K57" s="103"/>
      <c r="L57" s="103"/>
      <c r="M57" s="103"/>
      <c r="N57" s="103"/>
      <c r="O57" s="103"/>
      <c r="P57" s="136"/>
      <c r="Q57" s="103"/>
      <c r="R57" s="103"/>
      <c r="S57" s="103"/>
      <c r="T57" s="111"/>
      <c r="U57" s="219"/>
      <c r="V57" s="103"/>
      <c r="W57" s="103"/>
      <c r="X57" s="103"/>
      <c r="Y57" s="103"/>
    </row>
    <row r="58" spans="3:25" ht="23.45" customHeight="1" thickBot="1" x14ac:dyDescent="0.3">
      <c r="C58" s="879"/>
      <c r="D58" s="215"/>
      <c r="E58" s="103"/>
      <c r="F58" s="103"/>
      <c r="G58" s="103"/>
      <c r="H58" s="103"/>
      <c r="K58" s="103"/>
      <c r="L58" s="103"/>
      <c r="M58" s="103"/>
      <c r="N58" s="103"/>
      <c r="O58" s="103"/>
      <c r="P58" s="136"/>
      <c r="Q58" s="103"/>
      <c r="R58" s="103"/>
      <c r="S58" s="103"/>
      <c r="T58" s="111"/>
      <c r="U58" s="219"/>
      <c r="V58" s="103"/>
      <c r="W58" s="103"/>
      <c r="X58" s="103"/>
      <c r="Y58" s="103"/>
    </row>
    <row r="59" spans="3:25" x14ac:dyDescent="0.25">
      <c r="C59" s="989"/>
      <c r="D59" s="216"/>
      <c r="E59" s="103"/>
      <c r="F59" s="103"/>
      <c r="G59" s="103"/>
      <c r="H59" s="103"/>
      <c r="K59" s="103"/>
      <c r="L59" s="103"/>
      <c r="M59" s="103"/>
      <c r="N59" s="103"/>
      <c r="O59" s="103"/>
      <c r="P59" s="136"/>
      <c r="Q59" s="103"/>
      <c r="R59" s="103"/>
      <c r="S59" s="103"/>
      <c r="T59" s="111"/>
      <c r="U59" s="219"/>
      <c r="V59" s="103"/>
      <c r="W59" s="103"/>
      <c r="X59" s="103"/>
      <c r="Y59" s="103"/>
    </row>
    <row r="60" spans="3:25" ht="36.6" customHeight="1" x14ac:dyDescent="0.25">
      <c r="C60" s="882"/>
      <c r="D60" s="216"/>
      <c r="E60" s="103"/>
      <c r="F60" s="103"/>
      <c r="G60" s="103"/>
      <c r="H60" s="103"/>
      <c r="K60" s="219"/>
      <c r="L60" s="219"/>
      <c r="M60" s="219"/>
      <c r="N60" s="219"/>
      <c r="O60" s="219"/>
      <c r="P60" s="136"/>
      <c r="Q60" s="103"/>
      <c r="R60" s="103"/>
      <c r="S60" s="103"/>
      <c r="T60" s="111"/>
      <c r="U60" s="219"/>
      <c r="V60" s="219"/>
      <c r="W60" s="219"/>
      <c r="X60" s="219"/>
      <c r="Y60" s="219"/>
    </row>
    <row r="61" spans="3:25" x14ac:dyDescent="0.25">
      <c r="C61" s="893"/>
      <c r="D61" s="216"/>
      <c r="E61" s="103"/>
      <c r="F61" s="103"/>
      <c r="G61" s="103"/>
      <c r="H61" s="103"/>
      <c r="Q61" s="885"/>
      <c r="R61" s="885"/>
      <c r="S61" s="233"/>
      <c r="T61" s="886"/>
      <c r="U61" s="222"/>
    </row>
    <row r="62" spans="3:25" ht="15.75" thickBot="1" x14ac:dyDescent="0.3">
      <c r="C62" s="894"/>
      <c r="D62" s="218"/>
      <c r="E62" s="103"/>
      <c r="F62" s="103"/>
      <c r="G62" s="103"/>
      <c r="H62" s="103"/>
      <c r="K62" s="222"/>
      <c r="L62" s="222"/>
      <c r="M62" s="222"/>
      <c r="N62" s="222"/>
      <c r="O62" s="219"/>
      <c r="Q62" s="885"/>
      <c r="R62" s="885"/>
      <c r="S62" s="233"/>
      <c r="T62" s="886"/>
      <c r="U62" s="222"/>
      <c r="V62" s="222"/>
      <c r="W62" s="222"/>
      <c r="X62" s="222"/>
      <c r="Y62" s="222"/>
    </row>
    <row r="63" spans="3:25" ht="15.75" thickBot="1" x14ac:dyDescent="0.3">
      <c r="C63" s="214"/>
      <c r="D63" s="218"/>
      <c r="E63" s="219"/>
      <c r="F63" s="219"/>
      <c r="G63" s="219"/>
      <c r="H63" s="219"/>
      <c r="K63" s="52"/>
      <c r="L63" s="52"/>
      <c r="M63" s="52"/>
    </row>
    <row r="64" spans="3:25" ht="13.5" customHeight="1" x14ac:dyDescent="0.25">
      <c r="C64" s="988"/>
      <c r="D64" s="875"/>
      <c r="E64" s="119"/>
      <c r="F64" s="119"/>
      <c r="G64" s="119"/>
      <c r="H64" s="119"/>
      <c r="J64" s="876"/>
    </row>
    <row r="65" spans="3:10" ht="0.6" customHeight="1" x14ac:dyDescent="0.25">
      <c r="C65" s="874"/>
      <c r="D65" s="875"/>
      <c r="E65" s="226"/>
      <c r="F65" s="226"/>
      <c r="G65" s="226"/>
      <c r="H65" s="226"/>
      <c r="J65" s="876"/>
    </row>
    <row r="66" spans="3:10" ht="14.45" customHeight="1" x14ac:dyDescent="0.25">
      <c r="C66" s="191"/>
      <c r="D66" s="172"/>
      <c r="E66" s="228"/>
      <c r="F66" s="228"/>
      <c r="G66" s="228"/>
      <c r="H66" s="228"/>
      <c r="J66" s="876"/>
    </row>
    <row r="67" spans="3:10" x14ac:dyDescent="0.25">
      <c r="C67" s="191"/>
      <c r="D67" s="229"/>
      <c r="E67" s="230"/>
      <c r="F67" s="230"/>
      <c r="G67" s="103"/>
      <c r="H67" s="230"/>
      <c r="J67" s="83"/>
    </row>
    <row r="68" spans="3:10" x14ac:dyDescent="0.25">
      <c r="C68" s="878"/>
      <c r="D68" s="216"/>
      <c r="E68" s="103"/>
      <c r="F68" s="103"/>
      <c r="G68" s="103"/>
      <c r="H68" s="103"/>
      <c r="J68" s="83"/>
    </row>
    <row r="69" spans="3:10" x14ac:dyDescent="0.25">
      <c r="C69" s="879"/>
      <c r="D69" s="216"/>
      <c r="E69" s="103"/>
      <c r="F69" s="103"/>
      <c r="G69" s="103"/>
      <c r="H69" s="103"/>
    </row>
    <row r="70" spans="3:10" x14ac:dyDescent="0.25">
      <c r="C70" s="879"/>
      <c r="D70" s="232"/>
      <c r="E70" s="103"/>
      <c r="F70" s="103"/>
      <c r="G70" s="103"/>
      <c r="H70" s="103"/>
    </row>
    <row r="71" spans="3:10" x14ac:dyDescent="0.25">
      <c r="C71" s="879"/>
      <c r="D71" s="216"/>
      <c r="E71" s="103"/>
      <c r="F71" s="103"/>
      <c r="G71" s="103"/>
      <c r="H71" s="103"/>
    </row>
    <row r="72" spans="3:10" x14ac:dyDescent="0.25">
      <c r="C72" s="879"/>
      <c r="D72" s="216"/>
      <c r="E72" s="103"/>
      <c r="F72" s="103"/>
      <c r="G72" s="103"/>
      <c r="H72" s="103"/>
    </row>
    <row r="73" spans="3:10" x14ac:dyDescent="0.25">
      <c r="C73" s="878"/>
      <c r="D73" s="216"/>
      <c r="E73" s="103"/>
      <c r="F73" s="103"/>
      <c r="G73" s="103"/>
      <c r="H73" s="103"/>
    </row>
    <row r="74" spans="3:10" x14ac:dyDescent="0.25">
      <c r="C74" s="879"/>
      <c r="D74" s="216"/>
      <c r="E74" s="103"/>
      <c r="F74" s="103"/>
      <c r="G74" s="103"/>
      <c r="H74" s="103"/>
    </row>
    <row r="75" spans="3:10" x14ac:dyDescent="0.25">
      <c r="C75" s="879"/>
      <c r="D75" s="216"/>
      <c r="E75" s="103"/>
      <c r="F75" s="103"/>
      <c r="G75" s="103"/>
      <c r="H75" s="103"/>
    </row>
    <row r="76" spans="3:10" x14ac:dyDescent="0.25">
      <c r="C76" s="882"/>
      <c r="D76" s="216"/>
      <c r="E76" s="103"/>
      <c r="F76" s="103"/>
      <c r="G76" s="103"/>
      <c r="H76" s="103"/>
    </row>
    <row r="77" spans="3:10" x14ac:dyDescent="0.25">
      <c r="C77" s="882"/>
      <c r="D77" s="216"/>
      <c r="E77" s="103"/>
      <c r="F77" s="103"/>
      <c r="G77" s="103"/>
      <c r="H77" s="103"/>
    </row>
    <row r="78" spans="3:10" x14ac:dyDescent="0.25">
      <c r="C78" s="882"/>
      <c r="D78" s="215"/>
      <c r="E78" s="103"/>
      <c r="F78" s="103"/>
      <c r="G78" s="103"/>
      <c r="H78" s="103"/>
    </row>
    <row r="79" spans="3:10" x14ac:dyDescent="0.25">
      <c r="C79" s="879"/>
      <c r="D79" s="215"/>
      <c r="E79" s="103"/>
      <c r="F79" s="103"/>
      <c r="G79" s="103"/>
      <c r="H79" s="103"/>
    </row>
    <row r="80" spans="3:10" x14ac:dyDescent="0.25">
      <c r="C80" s="879"/>
      <c r="D80" s="232"/>
      <c r="E80" s="103"/>
      <c r="F80" s="103"/>
      <c r="G80" s="103"/>
      <c r="H80" s="103"/>
    </row>
    <row r="81" spans="3:8" x14ac:dyDescent="0.25">
      <c r="C81" s="879"/>
      <c r="D81" s="216"/>
      <c r="E81" s="103"/>
      <c r="F81" s="103"/>
      <c r="G81" s="103"/>
      <c r="H81" s="103"/>
    </row>
    <row r="82" spans="3:8" x14ac:dyDescent="0.25">
      <c r="C82" s="879"/>
      <c r="D82" s="215"/>
      <c r="E82" s="103"/>
      <c r="F82" s="103"/>
      <c r="G82" s="103"/>
      <c r="H82" s="103"/>
    </row>
    <row r="83" spans="3:8" x14ac:dyDescent="0.25">
      <c r="C83" s="879"/>
      <c r="D83" s="216"/>
      <c r="E83" s="103"/>
      <c r="F83" s="103"/>
      <c r="G83" s="103"/>
      <c r="H83" s="103"/>
    </row>
    <row r="84" spans="3:8" ht="15.75" thickBot="1" x14ac:dyDescent="0.3">
      <c r="C84" s="879"/>
      <c r="D84" s="215"/>
      <c r="E84" s="103"/>
      <c r="F84" s="103"/>
      <c r="G84" s="103"/>
      <c r="H84" s="103"/>
    </row>
    <row r="85" spans="3:8" ht="21.95" customHeight="1" x14ac:dyDescent="0.25">
      <c r="C85" s="989"/>
      <c r="D85" s="216"/>
      <c r="E85" s="103"/>
      <c r="F85" s="103"/>
      <c r="G85" s="103"/>
      <c r="H85" s="103"/>
    </row>
    <row r="86" spans="3:8" ht="22.5" customHeight="1" x14ac:dyDescent="0.25">
      <c r="C86" s="882"/>
      <c r="D86" s="216"/>
      <c r="E86" s="103"/>
      <c r="F86" s="103"/>
      <c r="G86" s="103"/>
      <c r="H86" s="103"/>
    </row>
    <row r="87" spans="3:8" ht="28.5" customHeight="1" x14ac:dyDescent="0.25">
      <c r="C87" s="893"/>
      <c r="D87" s="216"/>
      <c r="E87" s="103"/>
      <c r="F87" s="103"/>
      <c r="G87" s="103"/>
      <c r="H87" s="103"/>
    </row>
    <row r="88" spans="3:8" ht="27.6" customHeight="1" thickBot="1" x14ac:dyDescent="0.3">
      <c r="C88" s="894"/>
      <c r="D88" s="218"/>
      <c r="E88" s="103"/>
      <c r="F88" s="103"/>
      <c r="G88" s="103"/>
      <c r="H88" s="103"/>
    </row>
    <row r="89" spans="3:8" x14ac:dyDescent="0.25">
      <c r="C89" s="214"/>
      <c r="D89" s="218"/>
      <c r="E89" s="219"/>
      <c r="F89" s="219"/>
      <c r="G89" s="219"/>
      <c r="H89" s="219"/>
    </row>
  </sheetData>
  <sheetProtection algorithmName="SHA-512" hashValue="+OQFh37X1l1BnjrYovo0p6qmFmPvr2DPB6nd9yRvraIWHNofo8J0hx8qxkujKifNL6iD9qa7XfMFkU/SWBZHkw==" saltValue="9OUiPEs7m5Qr/KQysizGeQ==" spinCount="100000" sheet="1" selectLockedCells="1"/>
  <mergeCells count="41">
    <mergeCell ref="C59:C60"/>
    <mergeCell ref="C35:H35"/>
    <mergeCell ref="J35:O35"/>
    <mergeCell ref="C19:C21"/>
    <mergeCell ref="C22:C27"/>
    <mergeCell ref="C29:C32"/>
    <mergeCell ref="C76:C78"/>
    <mergeCell ref="C79:C84"/>
    <mergeCell ref="C85:C86"/>
    <mergeCell ref="C87:C88"/>
    <mergeCell ref="C61:C62"/>
    <mergeCell ref="C68:C72"/>
    <mergeCell ref="C73:C75"/>
    <mergeCell ref="Q61:Q62"/>
    <mergeCell ref="R61:R62"/>
    <mergeCell ref="T61:T62"/>
    <mergeCell ref="C64:C65"/>
    <mergeCell ref="D64:D65"/>
    <mergeCell ref="J64:J66"/>
    <mergeCell ref="A42:A43"/>
    <mergeCell ref="C42:C46"/>
    <mergeCell ref="C47:C49"/>
    <mergeCell ref="C50:C52"/>
    <mergeCell ref="C53:C58"/>
    <mergeCell ref="Q35:T35"/>
    <mergeCell ref="V35:Y35"/>
    <mergeCell ref="C38:C39"/>
    <mergeCell ref="D38:D39"/>
    <mergeCell ref="J38:J40"/>
    <mergeCell ref="C4:L4"/>
    <mergeCell ref="E6:H6"/>
    <mergeCell ref="I6:L6"/>
    <mergeCell ref="A10:A11"/>
    <mergeCell ref="A7:A8"/>
    <mergeCell ref="C7:C8"/>
    <mergeCell ref="D7:D8"/>
    <mergeCell ref="K7:L7"/>
    <mergeCell ref="G9:H9"/>
    <mergeCell ref="K9:L9"/>
    <mergeCell ref="G7:H7"/>
    <mergeCell ref="C11:C18"/>
  </mergeCells>
  <conditionalFormatting sqref="D10:D27">
    <cfRule type="cellIs" dxfId="128" priority="12" operator="equal">
      <formula>0</formula>
    </cfRule>
  </conditionalFormatting>
  <conditionalFormatting sqref="E10:F27">
    <cfRule type="cellIs" dxfId="127" priority="4" operator="equal">
      <formula>"N/A"</formula>
    </cfRule>
    <cfRule type="containsBlanks" dxfId="126" priority="39">
      <formula>LEN(TRIM(E10))=0</formula>
    </cfRule>
  </conditionalFormatting>
  <conditionalFormatting sqref="G10:H27">
    <cfRule type="cellIs" dxfId="125" priority="23" operator="equal">
      <formula>"N/A"</formula>
    </cfRule>
  </conditionalFormatting>
  <conditionalFormatting sqref="H10:H27">
    <cfRule type="cellIs" dxfId="124" priority="24" operator="equal">
      <formula>"Low"</formula>
    </cfRule>
    <cfRule type="cellIs" dxfId="123" priority="25" operator="equal">
      <formula>"Medium"</formula>
    </cfRule>
    <cfRule type="cellIs" dxfId="122" priority="26" operator="equal">
      <formula>"High"</formula>
    </cfRule>
  </conditionalFormatting>
  <conditionalFormatting sqref="I10:J27">
    <cfRule type="cellIs" dxfId="121" priority="3" operator="equal">
      <formula>"N/A"</formula>
    </cfRule>
    <cfRule type="containsBlanks" dxfId="120" priority="40">
      <formula>LEN(TRIM(I10))=0</formula>
    </cfRule>
  </conditionalFormatting>
  <conditionalFormatting sqref="K28 K31:K32">
    <cfRule type="cellIs" dxfId="119" priority="18" operator="equal">
      <formula>"Low"</formula>
    </cfRule>
    <cfRule type="cellIs" dxfId="118" priority="19" operator="equal">
      <formula>"Medium"</formula>
    </cfRule>
    <cfRule type="cellIs" dxfId="117" priority="20" operator="equal">
      <formula>"High"</formula>
    </cfRule>
  </conditionalFormatting>
  <conditionalFormatting sqref="K10:L27">
    <cfRule type="cellIs" dxfId="116" priority="1" operator="equal">
      <formula>"N/A"</formula>
    </cfRule>
  </conditionalFormatting>
  <conditionalFormatting sqref="L10:L27">
    <cfRule type="cellIs" dxfId="115" priority="15" operator="equal">
      <formula>"Low"</formula>
    </cfRule>
    <cfRule type="cellIs" dxfId="114" priority="16" operator="equal">
      <formula>"Medium"</formula>
    </cfRule>
    <cfRule type="cellIs" dxfId="113" priority="17" operator="equal">
      <formula>"High"</formula>
    </cfRule>
  </conditionalFormatting>
  <conditionalFormatting sqref="W39:W41">
    <cfRule type="cellIs" dxfId="112" priority="36" operator="equal">
      <formula>"Low"</formula>
    </cfRule>
    <cfRule type="cellIs" dxfId="111" priority="37" operator="equal">
      <formula>"Medium"</formula>
    </cfRule>
    <cfRule type="cellIs" dxfId="110" priority="38" operator="equal">
      <formula>"High"</formula>
    </cfRule>
  </conditionalFormatting>
  <conditionalFormatting sqref="Y39:Y41">
    <cfRule type="cellIs" dxfId="109" priority="33" operator="equal">
      <formula>"Low"</formula>
    </cfRule>
    <cfRule type="cellIs" dxfId="108" priority="34" operator="equal">
      <formula>"Medium"</formula>
    </cfRule>
    <cfRule type="cellIs" dxfId="107" priority="35"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283-E3C6-4528-9462-9B6083166CE4}">
  <sheetPr codeName="Sheet9">
    <tabColor rgb="FF990033"/>
  </sheetPr>
  <dimension ref="A2:AV105"/>
  <sheetViews>
    <sheetView zoomScale="60" zoomScaleNormal="60" workbookViewId="0">
      <selection activeCell="AG41" sqref="AG41"/>
    </sheetView>
  </sheetViews>
  <sheetFormatPr defaultColWidth="9.140625" defaultRowHeight="15" x14ac:dyDescent="0.25"/>
  <cols>
    <col min="1" max="1" width="41.5703125" style="29" customWidth="1"/>
    <col min="2" max="2" width="3.7109375" style="191" customWidth="1"/>
    <col min="3" max="3" width="9.7109375" style="29" customWidth="1"/>
    <col min="4" max="4" width="50.85546875" style="29" customWidth="1"/>
    <col min="5" max="22" width="23.5703125" style="29" customWidth="1"/>
    <col min="23" max="23" width="1.85546875" style="29" customWidth="1"/>
    <col min="24" max="24" width="27.85546875" style="29" customWidth="1"/>
    <col min="25" max="25" width="6.140625" style="29" customWidth="1"/>
    <col min="26" max="26" width="27.140625" style="29" customWidth="1"/>
    <col min="27" max="48" width="9.140625" style="426"/>
    <col min="49" max="16384" width="9.140625" style="29"/>
  </cols>
  <sheetData>
    <row r="2" spans="1:33" ht="35.25" customHeight="1" x14ac:dyDescent="0.3">
      <c r="D2" s="135" t="s">
        <v>259</v>
      </c>
      <c r="E2" s="135"/>
      <c r="F2" s="135"/>
      <c r="G2" s="135"/>
      <c r="H2" s="141"/>
      <c r="I2" s="141"/>
      <c r="J2" s="141"/>
      <c r="K2" s="141"/>
    </row>
    <row r="3" spans="1:33" ht="41.45" customHeight="1" thickBot="1" x14ac:dyDescent="0.5">
      <c r="D3" s="242" t="s">
        <v>136</v>
      </c>
      <c r="E3" s="242"/>
      <c r="F3" s="242"/>
      <c r="G3" s="242"/>
      <c r="H3" s="242"/>
      <c r="I3" s="205"/>
      <c r="J3" s="205"/>
      <c r="K3" s="205"/>
      <c r="L3" s="205"/>
      <c r="M3" s="205"/>
      <c r="N3" s="205"/>
      <c r="O3" s="205"/>
      <c r="P3" s="205"/>
      <c r="Q3" s="205"/>
      <c r="R3" s="205"/>
      <c r="S3" s="205"/>
      <c r="T3" s="205"/>
      <c r="U3" s="205"/>
      <c r="V3" s="205"/>
    </row>
    <row r="4" spans="1:33" ht="24" customHeight="1" thickTop="1" x14ac:dyDescent="0.45">
      <c r="B4" s="36"/>
      <c r="D4" s="73"/>
      <c r="E4" s="35"/>
      <c r="F4" s="35"/>
      <c r="G4" s="35"/>
      <c r="H4" s="35"/>
    </row>
    <row r="5" spans="1:33" ht="24" customHeight="1" x14ac:dyDescent="0.45">
      <c r="A5" s="244" t="s">
        <v>9</v>
      </c>
      <c r="B5" s="96"/>
      <c r="C5" s="37"/>
      <c r="E5" s="35"/>
      <c r="F5" s="35"/>
      <c r="G5" s="35"/>
      <c r="H5" s="35"/>
    </row>
    <row r="6" spans="1:33" ht="17.45" customHeight="1" x14ac:dyDescent="0.45">
      <c r="A6" s="854" t="s">
        <v>270</v>
      </c>
      <c r="B6" s="96"/>
      <c r="C6" s="37"/>
      <c r="D6" s="243"/>
      <c r="E6" s="35"/>
      <c r="F6" s="35"/>
      <c r="G6" s="35"/>
      <c r="H6" s="35"/>
      <c r="Q6" s="907" t="s">
        <v>137</v>
      </c>
      <c r="R6" s="907"/>
      <c r="S6" s="907"/>
      <c r="T6" s="907"/>
      <c r="U6" s="907"/>
      <c r="V6" s="907"/>
    </row>
    <row r="7" spans="1:33" ht="31.5" customHeight="1" x14ac:dyDescent="0.45">
      <c r="A7" s="854"/>
      <c r="B7" s="96"/>
      <c r="C7" s="37"/>
      <c r="D7" s="291" t="s">
        <v>138</v>
      </c>
      <c r="E7" s="292"/>
      <c r="F7" s="292"/>
      <c r="G7" s="292"/>
      <c r="H7" s="292"/>
      <c r="I7" s="6"/>
      <c r="J7" s="6"/>
      <c r="K7" s="6"/>
      <c r="L7" s="6"/>
      <c r="M7" s="6"/>
      <c r="N7" s="6"/>
      <c r="O7" s="6"/>
      <c r="P7" s="6"/>
      <c r="Q7" s="990" t="str">
        <f>'Temperature-Step 2'!G5</f>
        <v>Small Residential/Office/Shop</v>
      </c>
      <c r="R7" s="990"/>
      <c r="S7" s="990"/>
      <c r="T7" s="990"/>
      <c r="U7" s="990"/>
      <c r="V7" s="990"/>
    </row>
    <row r="8" spans="1:33" ht="6.6" customHeight="1" x14ac:dyDescent="0.45">
      <c r="A8" s="854"/>
      <c r="B8" s="96"/>
      <c r="C8" s="37"/>
      <c r="D8" s="291"/>
      <c r="E8" s="292"/>
      <c r="F8" s="292"/>
      <c r="G8" s="292"/>
      <c r="H8" s="292"/>
      <c r="I8" s="6"/>
      <c r="J8" s="6"/>
      <c r="K8" s="6"/>
      <c r="L8" s="6"/>
      <c r="M8" s="6"/>
      <c r="N8" s="6"/>
      <c r="O8" s="6"/>
      <c r="P8" s="6"/>
      <c r="Q8" s="585"/>
      <c r="R8" s="909"/>
      <c r="S8" s="909"/>
      <c r="T8" s="909"/>
      <c r="U8" s="909"/>
      <c r="V8" s="909"/>
    </row>
    <row r="9" spans="1:33" ht="27.75" customHeight="1" x14ac:dyDescent="0.25">
      <c r="A9" s="854"/>
      <c r="B9" s="96"/>
      <c r="D9" s="419"/>
      <c r="E9" s="588" t="s">
        <v>271</v>
      </c>
      <c r="F9" s="1003" t="s">
        <v>115</v>
      </c>
      <c r="G9" s="1004"/>
      <c r="H9" s="1004"/>
      <c r="I9" s="1004"/>
      <c r="J9" s="1004"/>
      <c r="K9" s="1004"/>
      <c r="L9" s="1004"/>
      <c r="M9" s="1005"/>
      <c r="N9" s="900" t="s">
        <v>118</v>
      </c>
      <c r="O9" s="901"/>
      <c r="P9" s="914"/>
      <c r="Q9" s="900" t="s">
        <v>119</v>
      </c>
      <c r="R9" s="901"/>
      <c r="S9" s="901"/>
      <c r="T9" s="901"/>
      <c r="U9" s="901"/>
      <c r="V9" s="901"/>
      <c r="W9" s="78"/>
    </row>
    <row r="10" spans="1:33" ht="54.95" customHeight="1" thickBot="1" x14ac:dyDescent="0.3">
      <c r="A10" s="854"/>
      <c r="B10" s="245"/>
      <c r="D10" s="420" t="s">
        <v>272</v>
      </c>
      <c r="E10" s="293" t="str" cm="1">
        <f t="array" ref="E10:V10">TRANSPOSE('Temperature-Step 3'!D10:D27)</f>
        <v>ALL COMPONENTS - Simplified assessment</v>
      </c>
      <c r="F10" s="293">
        <v>0</v>
      </c>
      <c r="G10" s="293">
        <v>0</v>
      </c>
      <c r="H10" s="293">
        <v>0</v>
      </c>
      <c r="I10" s="293">
        <v>0</v>
      </c>
      <c r="J10" s="293">
        <v>0</v>
      </c>
      <c r="K10" s="293">
        <v>0</v>
      </c>
      <c r="L10" s="293">
        <v>0</v>
      </c>
      <c r="M10" s="293">
        <v>0</v>
      </c>
      <c r="N10" s="293">
        <v>0</v>
      </c>
      <c r="O10" s="293">
        <v>0</v>
      </c>
      <c r="P10" s="293">
        <v>0</v>
      </c>
      <c r="Q10" s="293">
        <v>0</v>
      </c>
      <c r="R10" s="293">
        <v>0</v>
      </c>
      <c r="S10" s="293">
        <v>0</v>
      </c>
      <c r="T10" s="293">
        <v>0</v>
      </c>
      <c r="U10" s="293">
        <v>0</v>
      </c>
      <c r="V10" s="293">
        <v>0</v>
      </c>
      <c r="W10" s="78"/>
      <c r="X10" s="191"/>
    </row>
    <row r="11" spans="1:33" ht="48.6" customHeight="1" thickBot="1" x14ac:dyDescent="0.3">
      <c r="A11" s="854" t="s">
        <v>273</v>
      </c>
      <c r="B11" s="246"/>
      <c r="C11" s="247" t="s">
        <v>274</v>
      </c>
      <c r="D11" s="294" t="s">
        <v>275</v>
      </c>
      <c r="E11" s="295" t="e" cm="1">
        <f t="array" ref="E11:V11">TRANSPOSE('Temperature-Step 3'!H10:H27)</f>
        <v>#DIV/0!</v>
      </c>
      <c r="F11" s="295" t="str">
        <v>N/A</v>
      </c>
      <c r="G11" s="295" t="str">
        <v>N/A</v>
      </c>
      <c r="H11" s="295" t="str">
        <v>N/A</v>
      </c>
      <c r="I11" s="295" t="str">
        <v>N/A</v>
      </c>
      <c r="J11" s="295" t="str">
        <v>N/A</v>
      </c>
      <c r="K11" s="296" t="str">
        <v>N/A</v>
      </c>
      <c r="L11" s="296" t="str">
        <v>N/A</v>
      </c>
      <c r="M11" s="296" t="str">
        <v>N/A</v>
      </c>
      <c r="N11" s="295" t="str">
        <v>N/A</v>
      </c>
      <c r="O11" s="296" t="str">
        <v>N/A</v>
      </c>
      <c r="P11" s="296" t="str">
        <v>N/A</v>
      </c>
      <c r="Q11" s="295" t="str">
        <v>N/A</v>
      </c>
      <c r="R11" s="296" t="str">
        <v>N/A</v>
      </c>
      <c r="S11" s="296" t="str">
        <v>N/A</v>
      </c>
      <c r="T11" s="296" t="str">
        <v>N/A</v>
      </c>
      <c r="U11" s="296" t="str">
        <v>N/A</v>
      </c>
      <c r="V11" s="296" t="str">
        <v>N/A</v>
      </c>
      <c r="W11" s="78"/>
      <c r="X11" s="437" t="s">
        <v>142</v>
      </c>
      <c r="Y11" s="437"/>
      <c r="Z11" s="437"/>
    </row>
    <row r="12" spans="1:33" ht="29.45" customHeight="1" x14ac:dyDescent="0.3">
      <c r="A12" s="1002"/>
      <c r="B12" s="249"/>
      <c r="C12" s="331" t="s">
        <v>276</v>
      </c>
      <c r="D12" s="1006" t="s">
        <v>277</v>
      </c>
      <c r="E12" s="1006"/>
      <c r="F12" s="1006"/>
      <c r="G12" s="1006"/>
      <c r="H12" s="1006"/>
      <c r="I12" s="1006"/>
      <c r="J12" s="1006"/>
      <c r="K12" s="1006"/>
      <c r="L12" s="1006"/>
      <c r="M12" s="1006"/>
      <c r="N12" s="1006"/>
      <c r="O12" s="1006"/>
      <c r="P12" s="1006"/>
      <c r="Q12" s="1006"/>
      <c r="R12" s="1006"/>
      <c r="S12" s="1006"/>
      <c r="T12" s="1006"/>
      <c r="U12" s="1006"/>
      <c r="V12" s="1007"/>
      <c r="X12" s="437"/>
      <c r="Y12" s="437"/>
      <c r="Z12" s="437"/>
    </row>
    <row r="13" spans="1:33" ht="21" customHeight="1" x14ac:dyDescent="0.3">
      <c r="A13" s="1002"/>
      <c r="C13" s="331"/>
      <c r="D13" s="741" t="s">
        <v>278</v>
      </c>
      <c r="E13" s="345"/>
      <c r="F13" s="345"/>
      <c r="G13" s="345"/>
      <c r="H13" s="345"/>
      <c r="I13" s="345"/>
      <c r="J13" s="345"/>
      <c r="K13" s="345"/>
      <c r="L13" s="345"/>
      <c r="M13" s="345"/>
      <c r="N13" s="345"/>
      <c r="O13" s="345"/>
      <c r="P13" s="345"/>
      <c r="Q13" s="345"/>
      <c r="R13" s="345"/>
      <c r="S13" s="345"/>
      <c r="T13" s="345"/>
      <c r="U13" s="345"/>
      <c r="V13" s="345"/>
      <c r="X13" s="752"/>
      <c r="Y13" s="752"/>
      <c r="Z13" s="752"/>
      <c r="AA13" s="754"/>
      <c r="AB13" s="754"/>
      <c r="AC13" s="754"/>
      <c r="AD13" s="754"/>
      <c r="AE13" s="754"/>
      <c r="AF13" s="754"/>
    </row>
    <row r="14" spans="1:33" ht="17.100000000000001" customHeight="1" x14ac:dyDescent="0.25">
      <c r="A14" s="1002"/>
      <c r="B14" s="253"/>
      <c r="D14" s="254"/>
      <c r="E14" s="255"/>
      <c r="F14" s="255"/>
      <c r="G14" s="255"/>
      <c r="H14" s="255"/>
      <c r="I14" s="255"/>
      <c r="J14" s="255"/>
      <c r="K14" s="255"/>
      <c r="L14" s="256"/>
      <c r="M14" s="257"/>
      <c r="N14" s="255"/>
      <c r="O14" s="255"/>
      <c r="P14" s="255"/>
      <c r="Q14" s="255"/>
      <c r="R14" s="255"/>
      <c r="S14" s="255"/>
      <c r="T14" s="255"/>
      <c r="U14" s="255"/>
      <c r="V14" s="255"/>
      <c r="X14" s="752"/>
      <c r="Y14" s="752"/>
      <c r="Z14" s="752"/>
      <c r="AA14" s="754"/>
      <c r="AB14" s="754"/>
      <c r="AC14" s="754"/>
      <c r="AD14" s="754"/>
      <c r="AE14" s="754"/>
      <c r="AF14" s="754"/>
    </row>
    <row r="15" spans="1:33" ht="16.5" customHeight="1" x14ac:dyDescent="0.25">
      <c r="A15" s="854" t="s">
        <v>279</v>
      </c>
      <c r="B15" s="246"/>
      <c r="D15" s="254"/>
      <c r="E15" s="255"/>
      <c r="F15" s="255"/>
      <c r="G15" s="255"/>
      <c r="H15" s="255"/>
      <c r="I15" s="255"/>
      <c r="J15" s="255"/>
      <c r="K15" s="255"/>
      <c r="L15" s="258"/>
      <c r="M15" s="259"/>
      <c r="N15" s="255"/>
      <c r="O15" s="255"/>
      <c r="P15" s="255"/>
      <c r="Q15" s="255"/>
      <c r="R15" s="255"/>
      <c r="S15" s="255"/>
      <c r="T15" s="255"/>
      <c r="U15" s="255"/>
      <c r="V15" s="255"/>
      <c r="X15" s="437"/>
      <c r="Y15" s="437"/>
      <c r="Z15" s="437"/>
      <c r="AA15" s="191"/>
      <c r="AB15" s="191"/>
      <c r="AC15" s="191"/>
      <c r="AD15" s="754"/>
      <c r="AE15" s="754"/>
      <c r="AF15" s="754"/>
    </row>
    <row r="16" spans="1:33" ht="20.100000000000001" customHeight="1" x14ac:dyDescent="0.25">
      <c r="A16" s="854"/>
      <c r="B16" s="260"/>
      <c r="D16" s="254"/>
      <c r="E16" s="255"/>
      <c r="F16" s="255"/>
      <c r="G16" s="255"/>
      <c r="H16" s="255"/>
      <c r="I16" s="255"/>
      <c r="J16" s="255"/>
      <c r="K16" s="255"/>
      <c r="L16" s="258"/>
      <c r="M16" s="258"/>
      <c r="N16" s="255"/>
      <c r="O16" s="255"/>
      <c r="P16" s="255"/>
      <c r="Q16" s="255"/>
      <c r="R16" s="255"/>
      <c r="S16" s="255"/>
      <c r="T16" s="255"/>
      <c r="U16" s="255"/>
      <c r="V16" s="255"/>
      <c r="X16" s="752"/>
      <c r="Y16" s="752"/>
      <c r="Z16" s="752"/>
      <c r="AA16" s="754"/>
      <c r="AB16" s="754"/>
      <c r="AC16" s="754"/>
      <c r="AD16" s="754"/>
      <c r="AE16" s="754"/>
      <c r="AF16" s="754"/>
      <c r="AG16" s="754"/>
    </row>
    <row r="17" spans="1:36" ht="20.100000000000001" customHeight="1" x14ac:dyDescent="0.25">
      <c r="A17" s="854"/>
      <c r="B17" s="260"/>
      <c r="D17" s="254" t="s">
        <v>147</v>
      </c>
      <c r="E17" s="261"/>
      <c r="F17" s="261"/>
      <c r="G17" s="261"/>
      <c r="H17" s="261"/>
      <c r="I17" s="261"/>
      <c r="J17" s="261"/>
      <c r="K17" s="261"/>
      <c r="L17" s="262"/>
      <c r="M17" s="262"/>
      <c r="N17" s="261"/>
      <c r="O17" s="261"/>
      <c r="P17" s="261"/>
      <c r="Q17" s="261"/>
      <c r="R17" s="261"/>
      <c r="S17" s="261"/>
      <c r="T17" s="261"/>
      <c r="U17" s="261"/>
      <c r="V17" s="261"/>
      <c r="X17" s="752"/>
      <c r="Y17" s="752"/>
      <c r="Z17" s="752"/>
      <c r="AA17" s="754"/>
      <c r="AB17" s="754"/>
      <c r="AC17" s="754"/>
      <c r="AD17" s="754"/>
      <c r="AE17" s="754"/>
      <c r="AF17" s="754"/>
      <c r="AG17" s="754"/>
      <c r="AH17" s="754"/>
      <c r="AI17" s="754"/>
      <c r="AJ17" s="754"/>
    </row>
    <row r="18" spans="1:36" ht="20.100000000000001" customHeight="1" x14ac:dyDescent="0.25">
      <c r="A18" s="854"/>
      <c r="B18" s="260"/>
      <c r="D18" s="254" t="s">
        <v>147</v>
      </c>
      <c r="E18" s="261"/>
      <c r="F18" s="261"/>
      <c r="G18" s="261"/>
      <c r="H18" s="261"/>
      <c r="I18" s="261"/>
      <c r="J18" s="261"/>
      <c r="K18" s="261"/>
      <c r="L18" s="262"/>
      <c r="M18" s="262"/>
      <c r="N18" s="261"/>
      <c r="O18" s="261"/>
      <c r="P18" s="261"/>
      <c r="Q18" s="261"/>
      <c r="R18" s="261"/>
      <c r="S18" s="261"/>
      <c r="T18" s="261"/>
      <c r="U18" s="261"/>
      <c r="V18" s="261"/>
      <c r="X18" s="752"/>
      <c r="Y18" s="752"/>
      <c r="Z18" s="752"/>
      <c r="AA18" s="754"/>
      <c r="AB18" s="754"/>
      <c r="AC18" s="754"/>
      <c r="AD18" s="754"/>
      <c r="AE18" s="754"/>
      <c r="AF18" s="754"/>
      <c r="AG18" s="754"/>
      <c r="AH18" s="754"/>
      <c r="AI18" s="754"/>
      <c r="AJ18" s="754"/>
    </row>
    <row r="19" spans="1:36" ht="15" customHeight="1" x14ac:dyDescent="0.25">
      <c r="A19" s="854"/>
      <c r="B19" s="260"/>
      <c r="D19" s="254" t="s">
        <v>147</v>
      </c>
      <c r="E19" s="261"/>
      <c r="F19" s="261"/>
      <c r="G19" s="261"/>
      <c r="H19" s="261"/>
      <c r="I19" s="261"/>
      <c r="J19" s="261"/>
      <c r="K19" s="261"/>
      <c r="L19" s="262"/>
      <c r="M19" s="262"/>
      <c r="N19" s="261"/>
      <c r="O19" s="261"/>
      <c r="P19" s="261"/>
      <c r="Q19" s="261"/>
      <c r="R19" s="261"/>
      <c r="S19" s="261"/>
      <c r="T19" s="261"/>
      <c r="U19" s="261"/>
      <c r="V19" s="261"/>
      <c r="X19" s="752"/>
      <c r="Y19" s="752"/>
      <c r="Z19" s="752"/>
      <c r="AA19" s="754"/>
      <c r="AB19" s="754"/>
      <c r="AC19" s="754"/>
      <c r="AD19" s="754"/>
      <c r="AE19" s="754"/>
      <c r="AF19" s="754"/>
      <c r="AG19" s="754"/>
      <c r="AH19" s="754"/>
      <c r="AI19" s="754"/>
      <c r="AJ19" s="754"/>
    </row>
    <row r="20" spans="1:36" ht="15" customHeight="1" x14ac:dyDescent="0.25">
      <c r="A20" s="854"/>
      <c r="B20" s="260"/>
      <c r="D20" s="254" t="s">
        <v>147</v>
      </c>
      <c r="E20" s="261"/>
      <c r="F20" s="261"/>
      <c r="G20" s="261"/>
      <c r="H20" s="261"/>
      <c r="I20" s="261"/>
      <c r="J20" s="261"/>
      <c r="K20" s="261"/>
      <c r="L20" s="262"/>
      <c r="M20" s="262"/>
      <c r="N20" s="261"/>
      <c r="O20" s="261"/>
      <c r="P20" s="261"/>
      <c r="Q20" s="261"/>
      <c r="R20" s="261"/>
      <c r="S20" s="261"/>
      <c r="T20" s="261"/>
      <c r="U20" s="261"/>
      <c r="V20" s="261"/>
      <c r="X20" s="752"/>
      <c r="Y20" s="752"/>
      <c r="Z20" s="752"/>
      <c r="AA20" s="752"/>
      <c r="AB20" s="752"/>
      <c r="AC20" s="754"/>
      <c r="AD20" s="754"/>
      <c r="AE20" s="754"/>
      <c r="AF20" s="754"/>
      <c r="AG20" s="754"/>
      <c r="AH20" s="754"/>
      <c r="AI20" s="754"/>
      <c r="AJ20" s="754"/>
    </row>
    <row r="21" spans="1:36" ht="15" customHeight="1" x14ac:dyDescent="0.25">
      <c r="A21" s="854"/>
      <c r="B21" s="260"/>
      <c r="D21" s="254" t="s">
        <v>147</v>
      </c>
      <c r="E21" s="261"/>
      <c r="F21" s="261"/>
      <c r="G21" s="261"/>
      <c r="H21" s="261"/>
      <c r="I21" s="261"/>
      <c r="J21" s="261"/>
      <c r="K21" s="261"/>
      <c r="L21" s="262"/>
      <c r="M21" s="262"/>
      <c r="N21" s="261"/>
      <c r="O21" s="261"/>
      <c r="P21" s="261"/>
      <c r="Q21" s="261"/>
      <c r="R21" s="261"/>
      <c r="S21" s="261"/>
      <c r="T21" s="261"/>
      <c r="U21" s="261"/>
      <c r="V21" s="261"/>
      <c r="X21" s="752"/>
      <c r="Y21" s="752"/>
      <c r="Z21" s="752"/>
      <c r="AA21" s="752"/>
      <c r="AB21" s="752"/>
      <c r="AC21" s="754"/>
      <c r="AD21" s="754"/>
      <c r="AE21" s="754"/>
      <c r="AF21" s="754"/>
      <c r="AG21" s="754"/>
      <c r="AH21" s="754"/>
      <c r="AI21" s="754"/>
      <c r="AJ21" s="754"/>
    </row>
    <row r="22" spans="1:36" ht="15" customHeight="1" x14ac:dyDescent="0.25">
      <c r="A22" s="854"/>
      <c r="B22" s="260"/>
      <c r="D22" s="254" t="s">
        <v>147</v>
      </c>
      <c r="E22" s="261"/>
      <c r="F22" s="261"/>
      <c r="G22" s="261"/>
      <c r="H22" s="261"/>
      <c r="I22" s="261"/>
      <c r="J22" s="261"/>
      <c r="K22" s="261"/>
      <c r="L22" s="262"/>
      <c r="M22" s="262"/>
      <c r="N22" s="261"/>
      <c r="O22" s="261"/>
      <c r="P22" s="261"/>
      <c r="Q22" s="261"/>
      <c r="R22" s="261"/>
      <c r="S22" s="261"/>
      <c r="T22" s="261"/>
      <c r="U22" s="261"/>
      <c r="V22" s="261"/>
      <c r="X22" s="437"/>
      <c r="Y22" s="437"/>
      <c r="Z22" s="752"/>
      <c r="AA22" s="752"/>
      <c r="AB22" s="752"/>
      <c r="AC22" s="754"/>
      <c r="AD22" s="754"/>
      <c r="AE22" s="754"/>
      <c r="AF22" s="754"/>
      <c r="AG22" s="754"/>
      <c r="AH22" s="754"/>
      <c r="AI22" s="754"/>
      <c r="AJ22" s="754"/>
    </row>
    <row r="23" spans="1:36" ht="20.100000000000001" customHeight="1" thickBot="1" x14ac:dyDescent="0.3">
      <c r="A23" s="854"/>
      <c r="B23" s="260"/>
      <c r="D23" s="254" t="s">
        <v>147</v>
      </c>
      <c r="E23" s="261"/>
      <c r="F23" s="261"/>
      <c r="G23" s="261"/>
      <c r="H23" s="261"/>
      <c r="I23" s="261"/>
      <c r="J23" s="261"/>
      <c r="K23" s="261"/>
      <c r="L23" s="261"/>
      <c r="M23" s="261"/>
      <c r="N23" s="261"/>
      <c r="O23" s="261"/>
      <c r="P23" s="261"/>
      <c r="Q23" s="261"/>
      <c r="R23" s="261"/>
      <c r="S23" s="261"/>
      <c r="T23" s="261"/>
      <c r="U23" s="261"/>
      <c r="V23" s="261"/>
      <c r="X23" s="437"/>
      <c r="Y23" s="437"/>
      <c r="Z23" s="752"/>
      <c r="AA23" s="752"/>
      <c r="AB23" s="752"/>
      <c r="AC23" s="754"/>
      <c r="AD23" s="754"/>
      <c r="AE23" s="754"/>
      <c r="AF23" s="754"/>
      <c r="AG23" s="754"/>
      <c r="AH23" s="754"/>
      <c r="AI23" s="754"/>
      <c r="AJ23" s="754"/>
    </row>
    <row r="24" spans="1:36" ht="18.600000000000001" customHeight="1" x14ac:dyDescent="0.3">
      <c r="A24" s="854" t="s">
        <v>280</v>
      </c>
      <c r="B24" s="253"/>
      <c r="C24" s="331" t="s">
        <v>281</v>
      </c>
      <c r="D24" s="264" t="s">
        <v>149</v>
      </c>
      <c r="E24" s="905" t="s">
        <v>117</v>
      </c>
      <c r="F24" s="905" t="s">
        <v>117</v>
      </c>
      <c r="G24" s="905" t="s">
        <v>117</v>
      </c>
      <c r="H24" s="905" t="s">
        <v>117</v>
      </c>
      <c r="I24" s="905" t="s">
        <v>117</v>
      </c>
      <c r="J24" s="905" t="s">
        <v>117</v>
      </c>
      <c r="K24" s="905" t="s">
        <v>117</v>
      </c>
      <c r="L24" s="905" t="s">
        <v>117</v>
      </c>
      <c r="M24" s="905" t="s">
        <v>117</v>
      </c>
      <c r="N24" s="905" t="s">
        <v>117</v>
      </c>
      <c r="O24" s="905" t="s">
        <v>117</v>
      </c>
      <c r="P24" s="905" t="s">
        <v>117</v>
      </c>
      <c r="Q24" s="905" t="s">
        <v>117</v>
      </c>
      <c r="R24" s="905" t="s">
        <v>117</v>
      </c>
      <c r="S24" s="905" t="s">
        <v>117</v>
      </c>
      <c r="T24" s="905" t="s">
        <v>117</v>
      </c>
      <c r="U24" s="905" t="s">
        <v>117</v>
      </c>
      <c r="V24" s="905" t="s">
        <v>117</v>
      </c>
      <c r="X24" s="437"/>
      <c r="Y24" s="437"/>
      <c r="Z24" s="752" t="e" cm="1">
        <f t="array" ref="Z24">IF(MAX(Y25:Y27)=0,E26,INDEX(X25:X27,Z25,1))</f>
        <v>#DIV/0!</v>
      </c>
      <c r="AA24" s="770"/>
      <c r="AB24" s="752"/>
      <c r="AC24" s="754"/>
      <c r="AD24" s="754"/>
      <c r="AE24" s="754"/>
      <c r="AF24" s="754"/>
      <c r="AG24" s="754"/>
      <c r="AH24" s="754"/>
      <c r="AI24" s="754"/>
      <c r="AJ24" s="754"/>
    </row>
    <row r="25" spans="1:36" ht="47.45" customHeight="1" thickBot="1" x14ac:dyDescent="0.35">
      <c r="A25" s="854"/>
      <c r="B25" s="253"/>
      <c r="C25" s="333"/>
      <c r="D25" s="422" t="s">
        <v>282</v>
      </c>
      <c r="E25" s="906"/>
      <c r="F25" s="906"/>
      <c r="G25" s="906"/>
      <c r="H25" s="906"/>
      <c r="I25" s="906"/>
      <c r="J25" s="906"/>
      <c r="K25" s="906"/>
      <c r="L25" s="906"/>
      <c r="M25" s="906"/>
      <c r="N25" s="906"/>
      <c r="O25" s="906"/>
      <c r="P25" s="906"/>
      <c r="Q25" s="906"/>
      <c r="R25" s="906"/>
      <c r="S25" s="906"/>
      <c r="T25" s="906"/>
      <c r="U25" s="906"/>
      <c r="V25" s="906"/>
      <c r="X25" s="438" t="s">
        <v>142</v>
      </c>
      <c r="Y25" s="438">
        <f>COUNTIF(F26:V26,X25)</f>
        <v>0</v>
      </c>
      <c r="Z25" s="771">
        <f>MATCH(MAX(Y25:Y27),Y25:Y27,0)</f>
        <v>1</v>
      </c>
      <c r="AA25" s="752"/>
      <c r="AB25" s="752"/>
      <c r="AC25" s="754"/>
      <c r="AD25" s="754"/>
      <c r="AE25" s="754"/>
      <c r="AF25" s="754"/>
      <c r="AG25" s="754"/>
      <c r="AH25" s="754"/>
      <c r="AI25" s="754"/>
      <c r="AJ25" s="754"/>
    </row>
    <row r="26" spans="1:36" ht="42.6" customHeight="1" thickBot="1" x14ac:dyDescent="0.35">
      <c r="A26" s="854"/>
      <c r="B26" s="265"/>
      <c r="C26" s="331" t="s">
        <v>283</v>
      </c>
      <c r="D26" s="298" t="s">
        <v>284</v>
      </c>
      <c r="E26" s="299" t="e">
        <f>IF(E11="N/A","N/A",IF(E24="N/A",E11,IF(E24="N/A",E11,IF(E11="High","Low",IF(E11="High","Medium","Low")))))</f>
        <v>#DIV/0!</v>
      </c>
      <c r="F26" s="299" t="str">
        <f t="shared" ref="F26:V26" si="0">IF(F11="N/A","N/A",IF(F24="N/A",F11,IF(F11="High","Low",IF(F11="High","Medium","Low"))))</f>
        <v>N/A</v>
      </c>
      <c r="G26" s="299" t="str">
        <f t="shared" si="0"/>
        <v>N/A</v>
      </c>
      <c r="H26" s="299" t="str">
        <f t="shared" si="0"/>
        <v>N/A</v>
      </c>
      <c r="I26" s="299" t="str">
        <f t="shared" si="0"/>
        <v>N/A</v>
      </c>
      <c r="J26" s="299" t="str">
        <f t="shared" si="0"/>
        <v>N/A</v>
      </c>
      <c r="K26" s="299" t="str">
        <f t="shared" si="0"/>
        <v>N/A</v>
      </c>
      <c r="L26" s="299" t="str">
        <f t="shared" si="0"/>
        <v>N/A</v>
      </c>
      <c r="M26" s="299" t="str">
        <f t="shared" si="0"/>
        <v>N/A</v>
      </c>
      <c r="N26" s="299" t="str">
        <f t="shared" si="0"/>
        <v>N/A</v>
      </c>
      <c r="O26" s="299" t="str">
        <f t="shared" si="0"/>
        <v>N/A</v>
      </c>
      <c r="P26" s="299" t="str">
        <f t="shared" si="0"/>
        <v>N/A</v>
      </c>
      <c r="Q26" s="299" t="str">
        <f t="shared" si="0"/>
        <v>N/A</v>
      </c>
      <c r="R26" s="299" t="str">
        <f t="shared" si="0"/>
        <v>N/A</v>
      </c>
      <c r="S26" s="299" t="str">
        <f t="shared" si="0"/>
        <v>N/A</v>
      </c>
      <c r="T26" s="299" t="str">
        <f t="shared" si="0"/>
        <v>N/A</v>
      </c>
      <c r="U26" s="299" t="str">
        <f t="shared" si="0"/>
        <v>N/A</v>
      </c>
      <c r="V26" s="299" t="str">
        <f t="shared" si="0"/>
        <v>N/A</v>
      </c>
      <c r="X26" s="438" t="s">
        <v>153</v>
      </c>
      <c r="Y26" s="438">
        <f>COUNTIF(F26:V26,X26)</f>
        <v>0</v>
      </c>
      <c r="Z26" s="438"/>
      <c r="AA26" s="437"/>
      <c r="AB26" s="752"/>
      <c r="AC26" s="754"/>
      <c r="AD26" s="754"/>
      <c r="AE26" s="754"/>
      <c r="AF26" s="754"/>
      <c r="AG26" s="754"/>
    </row>
    <row r="27" spans="1:36" ht="20.45" customHeight="1" thickBot="1" x14ac:dyDescent="0.35">
      <c r="A27" s="854"/>
      <c r="B27" s="265"/>
      <c r="C27" s="333"/>
      <c r="D27" s="346"/>
      <c r="E27" s="347"/>
      <c r="F27" s="347"/>
      <c r="G27" s="347"/>
      <c r="H27" s="347"/>
      <c r="I27" s="347"/>
      <c r="J27" s="347"/>
      <c r="K27" s="347"/>
      <c r="L27" s="347"/>
      <c r="M27" s="347"/>
      <c r="N27" s="347"/>
      <c r="O27" s="347"/>
      <c r="P27" s="347"/>
      <c r="Q27" s="347"/>
      <c r="R27" s="347"/>
      <c r="S27" s="347"/>
      <c r="T27" s="347"/>
      <c r="U27" s="347"/>
      <c r="V27" s="347"/>
      <c r="X27" s="438" t="s">
        <v>154</v>
      </c>
      <c r="Y27" s="438">
        <f>COUNTIF(E26:U26,X27)</f>
        <v>0</v>
      </c>
      <c r="Z27" s="437"/>
      <c r="AA27" s="437"/>
      <c r="AB27" s="752"/>
      <c r="AC27" s="754"/>
      <c r="AD27" s="754"/>
      <c r="AE27" s="754"/>
      <c r="AF27" s="754"/>
      <c r="AG27" s="754"/>
    </row>
    <row r="28" spans="1:36" ht="42" customHeight="1" thickBot="1" x14ac:dyDescent="0.3">
      <c r="A28" s="854"/>
      <c r="B28" s="265"/>
      <c r="C28" s="247" t="s">
        <v>285</v>
      </c>
      <c r="D28" s="294" t="s">
        <v>286</v>
      </c>
      <c r="E28" s="295" t="e" cm="1">
        <f t="array" ref="E28:V28">TRANSPOSE('Temperature-Step 3'!L10:L27)</f>
        <v>#DIV/0!</v>
      </c>
      <c r="F28" s="295" t="str">
        <v>N/A</v>
      </c>
      <c r="G28" s="295" t="str">
        <v>N/A</v>
      </c>
      <c r="H28" s="295" t="str">
        <v>N/A</v>
      </c>
      <c r="I28" s="295" t="str">
        <v>N/A</v>
      </c>
      <c r="J28" s="295" t="str">
        <v>N/A</v>
      </c>
      <c r="K28" s="295" t="str">
        <v>N/A</v>
      </c>
      <c r="L28" s="295" t="str">
        <v>N/A</v>
      </c>
      <c r="M28" s="295" t="str">
        <v>N/A</v>
      </c>
      <c r="N28" s="295" t="str">
        <v>N/A</v>
      </c>
      <c r="O28" s="295" t="str">
        <v>N/A</v>
      </c>
      <c r="P28" s="295" t="str">
        <v>N/A</v>
      </c>
      <c r="Q28" s="295" t="str">
        <v>N/A</v>
      </c>
      <c r="R28" s="295" t="str">
        <v>N/A</v>
      </c>
      <c r="S28" s="295" t="str">
        <v>N/A</v>
      </c>
      <c r="T28" s="295" t="str">
        <v>N/A</v>
      </c>
      <c r="U28" s="295" t="str">
        <v>N/A</v>
      </c>
      <c r="V28" s="295" t="str">
        <v>N/A</v>
      </c>
      <c r="X28" s="437"/>
      <c r="Y28" s="437"/>
      <c r="Z28" s="437"/>
      <c r="AA28" s="437"/>
      <c r="AB28" s="752"/>
      <c r="AC28" s="754"/>
      <c r="AD28" s="754"/>
      <c r="AE28" s="754"/>
      <c r="AF28" s="754"/>
      <c r="AG28" s="754"/>
    </row>
    <row r="29" spans="1:36" ht="34.5" customHeight="1" x14ac:dyDescent="0.3">
      <c r="A29" s="854" t="s">
        <v>287</v>
      </c>
      <c r="B29" s="268"/>
      <c r="C29" s="331" t="s">
        <v>288</v>
      </c>
      <c r="D29" s="991" t="s">
        <v>289</v>
      </c>
      <c r="E29" s="991"/>
      <c r="F29" s="991"/>
      <c r="G29" s="991"/>
      <c r="H29" s="991"/>
      <c r="I29" s="991"/>
      <c r="J29" s="991"/>
      <c r="K29" s="991"/>
      <c r="L29" s="991"/>
      <c r="M29" s="991"/>
      <c r="N29" s="991"/>
      <c r="O29" s="991"/>
      <c r="P29" s="991"/>
      <c r="Q29" s="991"/>
      <c r="R29" s="991"/>
      <c r="S29" s="991"/>
      <c r="T29" s="991"/>
      <c r="U29" s="991"/>
      <c r="V29" s="992"/>
      <c r="X29" s="437"/>
      <c r="Y29" s="437"/>
      <c r="Z29" s="437"/>
      <c r="AA29" s="437"/>
      <c r="AB29" s="752"/>
      <c r="AC29" s="754"/>
      <c r="AD29" s="754"/>
      <c r="AE29" s="754"/>
      <c r="AF29" s="754"/>
      <c r="AG29" s="754"/>
    </row>
    <row r="30" spans="1:36" ht="18.95" customHeight="1" x14ac:dyDescent="0.25">
      <c r="A30" s="854"/>
      <c r="B30" s="268"/>
      <c r="D30" s="251" t="s">
        <v>290</v>
      </c>
      <c r="E30" s="332"/>
      <c r="F30" s="332"/>
      <c r="G30" s="332"/>
      <c r="H30" s="332"/>
      <c r="I30" s="332"/>
      <c r="J30" s="332"/>
      <c r="K30" s="332"/>
      <c r="L30" s="332"/>
      <c r="M30" s="332"/>
      <c r="N30" s="332"/>
      <c r="O30" s="332"/>
      <c r="P30" s="332"/>
      <c r="Q30" s="332"/>
      <c r="R30" s="332"/>
      <c r="S30" s="332"/>
      <c r="T30" s="332"/>
      <c r="U30" s="332"/>
      <c r="V30" s="332"/>
      <c r="X30" s="437"/>
      <c r="Y30" s="437"/>
      <c r="Z30" s="437"/>
      <c r="AA30" s="437"/>
      <c r="AB30" s="752"/>
      <c r="AC30" s="754"/>
      <c r="AD30" s="754"/>
      <c r="AE30" s="754"/>
      <c r="AF30" s="754"/>
      <c r="AG30" s="754"/>
    </row>
    <row r="31" spans="1:36" ht="20.45" customHeight="1" x14ac:dyDescent="0.3">
      <c r="A31" s="854"/>
      <c r="B31" s="268"/>
      <c r="C31" s="331"/>
      <c r="E31" s="334"/>
      <c r="F31" s="334"/>
      <c r="G31" s="334"/>
      <c r="H31" s="334"/>
      <c r="I31" s="334"/>
      <c r="J31" s="334"/>
      <c r="K31" s="334"/>
      <c r="L31" s="335"/>
      <c r="M31" s="336"/>
      <c r="N31" s="334"/>
      <c r="O31" s="334"/>
      <c r="P31" s="334"/>
      <c r="Q31" s="334"/>
      <c r="R31" s="334"/>
      <c r="S31" s="334"/>
      <c r="T31" s="334"/>
      <c r="U31" s="334"/>
      <c r="V31" s="334"/>
      <c r="X31" s="752"/>
      <c r="Y31" s="752"/>
      <c r="Z31" s="752"/>
      <c r="AA31" s="752"/>
      <c r="AB31" s="752"/>
      <c r="AC31" s="754"/>
      <c r="AD31" s="754"/>
      <c r="AE31" s="754"/>
      <c r="AF31" s="754"/>
      <c r="AG31" s="754"/>
    </row>
    <row r="32" spans="1:36" ht="24.95" customHeight="1" x14ac:dyDescent="0.25">
      <c r="A32" s="854"/>
      <c r="B32" s="268"/>
      <c r="D32" s="254"/>
      <c r="E32" s="334"/>
      <c r="F32" s="334"/>
      <c r="G32" s="334"/>
      <c r="H32" s="334"/>
      <c r="I32" s="334"/>
      <c r="J32" s="334"/>
      <c r="K32" s="334"/>
      <c r="L32" s="337"/>
      <c r="M32" s="338"/>
      <c r="N32" s="334"/>
      <c r="O32" s="334"/>
      <c r="P32" s="334"/>
      <c r="Q32" s="334"/>
      <c r="R32" s="334"/>
      <c r="S32" s="334"/>
      <c r="T32" s="334"/>
      <c r="U32" s="334"/>
      <c r="V32" s="334"/>
      <c r="X32" s="752"/>
      <c r="Y32" s="752"/>
      <c r="Z32" s="752"/>
      <c r="AA32" s="752"/>
      <c r="AB32" s="752"/>
      <c r="AC32" s="754"/>
      <c r="AD32" s="754"/>
      <c r="AE32" s="754"/>
      <c r="AF32" s="754"/>
      <c r="AG32" s="754"/>
    </row>
    <row r="33" spans="1:33" ht="24.95" customHeight="1" x14ac:dyDescent="0.25">
      <c r="A33" s="854" t="s">
        <v>291</v>
      </c>
      <c r="B33" s="268"/>
      <c r="D33" s="744"/>
      <c r="E33" s="334"/>
      <c r="F33" s="334"/>
      <c r="G33" s="334"/>
      <c r="H33" s="334"/>
      <c r="I33" s="334"/>
      <c r="J33" s="334"/>
      <c r="K33" s="334"/>
      <c r="L33" s="337"/>
      <c r="M33" s="338"/>
      <c r="N33" s="334"/>
      <c r="O33" s="334"/>
      <c r="P33" s="334"/>
      <c r="Q33" s="334"/>
      <c r="R33" s="334"/>
      <c r="S33" s="334"/>
      <c r="T33" s="334"/>
      <c r="U33" s="334"/>
      <c r="V33" s="334"/>
      <c r="X33" s="752"/>
      <c r="Y33" s="752"/>
      <c r="Z33" s="752"/>
      <c r="AA33" s="752"/>
      <c r="AB33" s="752"/>
      <c r="AC33" s="754"/>
      <c r="AD33" s="754"/>
      <c r="AE33" s="754"/>
      <c r="AF33" s="754"/>
      <c r="AG33" s="754"/>
    </row>
    <row r="34" spans="1:33" ht="24.95" customHeight="1" x14ac:dyDescent="0.25">
      <c r="A34" s="854"/>
      <c r="B34" s="268"/>
      <c r="F34" s="334"/>
      <c r="G34" s="334"/>
      <c r="H34" s="334"/>
      <c r="I34" s="334"/>
      <c r="J34" s="334"/>
      <c r="K34" s="334"/>
      <c r="L34" s="337"/>
      <c r="M34" s="337"/>
      <c r="N34" s="334"/>
      <c r="O34" s="334"/>
      <c r="P34" s="334"/>
      <c r="Q34" s="334"/>
      <c r="R34" s="334"/>
      <c r="S34" s="334"/>
      <c r="T34" s="334"/>
      <c r="U34" s="334"/>
      <c r="V34" s="334"/>
      <c r="X34" s="752"/>
      <c r="Y34" s="752"/>
      <c r="Z34" s="752"/>
      <c r="AA34" s="752"/>
      <c r="AB34" s="752"/>
      <c r="AC34" s="754"/>
      <c r="AD34" s="754"/>
      <c r="AE34" s="754"/>
      <c r="AF34" s="754"/>
      <c r="AG34" s="754"/>
    </row>
    <row r="35" spans="1:33" ht="24.95" customHeight="1" x14ac:dyDescent="0.25">
      <c r="A35" s="854"/>
      <c r="B35" s="268"/>
      <c r="D35" s="254" t="s">
        <v>147</v>
      </c>
      <c r="E35" s="339"/>
      <c r="F35" s="339"/>
      <c r="G35" s="339"/>
      <c r="H35" s="339"/>
      <c r="I35" s="339"/>
      <c r="J35" s="339"/>
      <c r="K35" s="339"/>
      <c r="L35" s="340"/>
      <c r="M35" s="340"/>
      <c r="N35" s="339"/>
      <c r="O35" s="339"/>
      <c r="P35" s="339"/>
      <c r="Q35" s="339"/>
      <c r="R35" s="339"/>
      <c r="S35" s="339"/>
      <c r="T35" s="339"/>
      <c r="U35" s="339"/>
      <c r="V35" s="339"/>
      <c r="X35" s="752"/>
      <c r="Y35" s="752"/>
      <c r="Z35" s="752"/>
      <c r="AA35" s="752"/>
      <c r="AB35" s="752"/>
      <c r="AC35" s="754"/>
      <c r="AD35" s="754"/>
      <c r="AE35" s="754"/>
      <c r="AF35" s="754"/>
      <c r="AG35" s="754"/>
    </row>
    <row r="36" spans="1:33" ht="24.95" customHeight="1" x14ac:dyDescent="0.25">
      <c r="A36" s="854"/>
      <c r="B36" s="268"/>
      <c r="D36" s="254" t="s">
        <v>147</v>
      </c>
      <c r="E36" s="339"/>
      <c r="F36" s="339"/>
      <c r="G36" s="339"/>
      <c r="H36" s="339"/>
      <c r="I36" s="339"/>
      <c r="J36" s="339"/>
      <c r="K36" s="339"/>
      <c r="L36" s="340"/>
      <c r="M36" s="340"/>
      <c r="N36" s="339"/>
      <c r="O36" s="339"/>
      <c r="P36" s="339"/>
      <c r="Q36" s="339"/>
      <c r="R36" s="339"/>
      <c r="S36" s="339"/>
      <c r="T36" s="339"/>
      <c r="U36" s="339"/>
      <c r="V36" s="339"/>
      <c r="X36" s="752"/>
      <c r="Y36" s="752"/>
      <c r="Z36" s="752"/>
      <c r="AA36" s="752"/>
      <c r="AB36" s="752"/>
      <c r="AC36" s="754"/>
      <c r="AD36" s="754"/>
      <c r="AE36" s="754"/>
      <c r="AF36" s="754"/>
      <c r="AG36" s="754"/>
    </row>
    <row r="37" spans="1:33" ht="24.95" customHeight="1" x14ac:dyDescent="0.25">
      <c r="A37" s="854"/>
      <c r="B37" s="268"/>
      <c r="D37" s="254" t="s">
        <v>147</v>
      </c>
      <c r="E37" s="339"/>
      <c r="F37" s="339"/>
      <c r="G37" s="339"/>
      <c r="H37" s="339"/>
      <c r="I37" s="339"/>
      <c r="J37" s="339"/>
      <c r="K37" s="339"/>
      <c r="L37" s="340"/>
      <c r="M37" s="340"/>
      <c r="N37" s="339"/>
      <c r="O37" s="339"/>
      <c r="P37" s="339"/>
      <c r="Q37" s="339"/>
      <c r="R37" s="339"/>
      <c r="S37" s="339"/>
      <c r="T37" s="339"/>
      <c r="U37" s="339"/>
      <c r="V37" s="339"/>
      <c r="X37" s="752"/>
      <c r="Y37" s="752"/>
      <c r="Z37" s="752"/>
      <c r="AA37" s="752"/>
      <c r="AB37" s="752"/>
      <c r="AC37" s="754"/>
      <c r="AD37" s="754"/>
      <c r="AE37" s="754"/>
      <c r="AF37" s="754"/>
      <c r="AG37" s="754"/>
    </row>
    <row r="38" spans="1:33" ht="24.95" customHeight="1" x14ac:dyDescent="0.25">
      <c r="A38" s="50"/>
      <c r="B38" s="268"/>
      <c r="D38" s="254" t="s">
        <v>147</v>
      </c>
      <c r="E38" s="339"/>
      <c r="F38" s="339"/>
      <c r="G38" s="339"/>
      <c r="H38" s="339"/>
      <c r="I38" s="339"/>
      <c r="J38" s="339"/>
      <c r="K38" s="339"/>
      <c r="L38" s="340"/>
      <c r="M38" s="340"/>
      <c r="N38" s="339"/>
      <c r="O38" s="339"/>
      <c r="P38" s="339"/>
      <c r="Q38" s="339"/>
      <c r="R38" s="339"/>
      <c r="S38" s="339"/>
      <c r="T38" s="339"/>
      <c r="U38" s="339"/>
      <c r="V38" s="339"/>
      <c r="X38" s="437"/>
      <c r="Y38" s="437"/>
      <c r="Z38" s="437"/>
      <c r="AA38" s="437"/>
      <c r="AB38" s="437"/>
      <c r="AC38" s="191"/>
      <c r="AD38" s="191"/>
      <c r="AE38" s="191"/>
      <c r="AF38" s="754"/>
    </row>
    <row r="39" spans="1:33" ht="24.95" customHeight="1" x14ac:dyDescent="0.25">
      <c r="A39" s="50"/>
      <c r="B39" s="268"/>
      <c r="D39" s="254" t="s">
        <v>147</v>
      </c>
      <c r="E39" s="339"/>
      <c r="F39" s="339"/>
      <c r="G39" s="339"/>
      <c r="H39" s="339"/>
      <c r="I39" s="339"/>
      <c r="J39" s="339"/>
      <c r="K39" s="339"/>
      <c r="L39" s="340"/>
      <c r="M39" s="340"/>
      <c r="N39" s="339"/>
      <c r="O39" s="339"/>
      <c r="P39" s="339"/>
      <c r="Q39" s="339"/>
      <c r="R39" s="339"/>
      <c r="S39" s="339"/>
      <c r="T39" s="339"/>
      <c r="U39" s="339"/>
      <c r="V39" s="339"/>
      <c r="X39" s="437"/>
      <c r="Y39" s="437"/>
      <c r="Z39" s="437"/>
      <c r="AA39" s="19"/>
      <c r="AB39" s="437"/>
      <c r="AC39" s="191"/>
      <c r="AD39" s="191"/>
      <c r="AE39" s="191"/>
      <c r="AF39" s="754"/>
    </row>
    <row r="40" spans="1:33" ht="24.95" customHeight="1" thickBot="1" x14ac:dyDescent="0.3">
      <c r="A40" s="50"/>
      <c r="B40" s="268"/>
      <c r="D40" s="263" t="s">
        <v>147</v>
      </c>
      <c r="E40" s="339"/>
      <c r="F40" s="339"/>
      <c r="G40" s="339"/>
      <c r="H40" s="339"/>
      <c r="I40" s="339"/>
      <c r="J40" s="339"/>
      <c r="K40" s="339"/>
      <c r="L40" s="339"/>
      <c r="M40" s="339"/>
      <c r="N40" s="339"/>
      <c r="O40" s="339"/>
      <c r="P40" s="339"/>
      <c r="Q40" s="339"/>
      <c r="R40" s="339"/>
      <c r="S40" s="339"/>
      <c r="T40" s="339"/>
      <c r="U40" s="339"/>
      <c r="V40" s="339"/>
      <c r="X40" s="437"/>
      <c r="Y40" s="437"/>
      <c r="Z40" s="437"/>
      <c r="AA40" s="191"/>
      <c r="AB40" s="437"/>
      <c r="AC40" s="191"/>
      <c r="AD40" s="191"/>
      <c r="AE40" s="191"/>
      <c r="AF40" s="754"/>
    </row>
    <row r="41" spans="1:33" ht="24.95" customHeight="1" x14ac:dyDescent="0.25">
      <c r="A41" s="854" t="s">
        <v>292</v>
      </c>
      <c r="B41" s="268"/>
      <c r="D41" s="341" t="s">
        <v>149</v>
      </c>
      <c r="E41" s="905" t="s">
        <v>117</v>
      </c>
      <c r="F41" s="905" t="s">
        <v>117</v>
      </c>
      <c r="G41" s="905" t="s">
        <v>117</v>
      </c>
      <c r="H41" s="905" t="s">
        <v>117</v>
      </c>
      <c r="I41" s="905" t="s">
        <v>117</v>
      </c>
      <c r="J41" s="905" t="s">
        <v>117</v>
      </c>
      <c r="K41" s="905" t="s">
        <v>117</v>
      </c>
      <c r="L41" s="905" t="s">
        <v>117</v>
      </c>
      <c r="M41" s="905" t="s">
        <v>117</v>
      </c>
      <c r="N41" s="905" t="s">
        <v>117</v>
      </c>
      <c r="O41" s="905" t="s">
        <v>117</v>
      </c>
      <c r="P41" s="905" t="s">
        <v>117</v>
      </c>
      <c r="Q41" s="905" t="s">
        <v>117</v>
      </c>
      <c r="R41" s="905" t="s">
        <v>117</v>
      </c>
      <c r="S41" s="905" t="s">
        <v>117</v>
      </c>
      <c r="T41" s="905" t="s">
        <v>117</v>
      </c>
      <c r="U41" s="905" t="s">
        <v>117</v>
      </c>
      <c r="V41" s="905" t="s">
        <v>117</v>
      </c>
      <c r="X41" s="437"/>
      <c r="Y41" s="437"/>
      <c r="Z41" s="437" t="e" cm="1">
        <f t="array" ref="Z41">IF(MAX(Y42:Y44)=0,E43,INDEX(X42:X44,Z42,1))</f>
        <v>#DIV/0!</v>
      </c>
      <c r="AA41" s="172"/>
      <c r="AB41" s="437"/>
      <c r="AC41" s="191"/>
      <c r="AD41" s="191"/>
      <c r="AE41" s="191"/>
      <c r="AF41" s="754"/>
    </row>
    <row r="42" spans="1:33" ht="41.1" customHeight="1" thickBot="1" x14ac:dyDescent="0.35">
      <c r="A42" s="854"/>
      <c r="B42" s="268"/>
      <c r="C42" s="333" t="s">
        <v>293</v>
      </c>
      <c r="D42" s="422" t="s">
        <v>282</v>
      </c>
      <c r="E42" s="906"/>
      <c r="F42" s="906"/>
      <c r="G42" s="906"/>
      <c r="H42" s="906"/>
      <c r="I42" s="906"/>
      <c r="J42" s="906"/>
      <c r="K42" s="906"/>
      <c r="L42" s="906"/>
      <c r="M42" s="906"/>
      <c r="N42" s="906"/>
      <c r="O42" s="906"/>
      <c r="P42" s="906"/>
      <c r="Q42" s="906"/>
      <c r="R42" s="906"/>
      <c r="S42" s="906"/>
      <c r="T42" s="906"/>
      <c r="U42" s="906"/>
      <c r="V42" s="906"/>
      <c r="X42" s="438" t="s">
        <v>142</v>
      </c>
      <c r="Y42" s="438">
        <f>COUNTIF(F43:V43,X42)</f>
        <v>0</v>
      </c>
      <c r="Z42" s="652">
        <f>MATCH(MAX(Y42:Y44),Y42:Y44,0)</f>
        <v>1</v>
      </c>
      <c r="AA42" s="19"/>
      <c r="AB42" s="437"/>
      <c r="AC42" s="191"/>
      <c r="AD42" s="191"/>
      <c r="AE42" s="191"/>
      <c r="AF42" s="754"/>
    </row>
    <row r="43" spans="1:33" ht="45.95" customHeight="1" thickBot="1" x14ac:dyDescent="0.3">
      <c r="A43" s="854"/>
      <c r="B43" s="268"/>
      <c r="C43" s="131" t="s">
        <v>294</v>
      </c>
      <c r="D43" s="298" t="s">
        <v>295</v>
      </c>
      <c r="E43" s="348" t="e">
        <f>IF(E28="N/A","N/A",IF(E41="N/A",E28,IF(E41=0,E28,IF(E41="High","Low",IF(E28="High","Medium","Low")))))</f>
        <v>#DIV/0!</v>
      </c>
      <c r="F43" s="348" t="str">
        <f t="shared" ref="F43:V43" si="1">IF(F28="N/A","N/A",IF(F41="N/A",F28,IF(F41=0,F28,IF(F41="High","Low",IF(F28="High","Medium","Low")))))</f>
        <v>N/A</v>
      </c>
      <c r="G43" s="348" t="str">
        <f t="shared" si="1"/>
        <v>N/A</v>
      </c>
      <c r="H43" s="348" t="str">
        <f t="shared" si="1"/>
        <v>N/A</v>
      </c>
      <c r="I43" s="348" t="str">
        <f t="shared" si="1"/>
        <v>N/A</v>
      </c>
      <c r="J43" s="348" t="str">
        <f t="shared" si="1"/>
        <v>N/A</v>
      </c>
      <c r="K43" s="348" t="str">
        <f t="shared" si="1"/>
        <v>N/A</v>
      </c>
      <c r="L43" s="348" t="str">
        <f t="shared" si="1"/>
        <v>N/A</v>
      </c>
      <c r="M43" s="348" t="str">
        <f t="shared" si="1"/>
        <v>N/A</v>
      </c>
      <c r="N43" s="348" t="str">
        <f t="shared" si="1"/>
        <v>N/A</v>
      </c>
      <c r="O43" s="348" t="str">
        <f t="shared" si="1"/>
        <v>N/A</v>
      </c>
      <c r="P43" s="348" t="str">
        <f t="shared" si="1"/>
        <v>N/A</v>
      </c>
      <c r="Q43" s="348" t="str">
        <f t="shared" si="1"/>
        <v>N/A</v>
      </c>
      <c r="R43" s="348" t="str">
        <f t="shared" si="1"/>
        <v>N/A</v>
      </c>
      <c r="S43" s="348" t="str">
        <f t="shared" si="1"/>
        <v>N/A</v>
      </c>
      <c r="T43" s="348" t="str">
        <f t="shared" si="1"/>
        <v>N/A</v>
      </c>
      <c r="U43" s="348" t="str">
        <f t="shared" si="1"/>
        <v>N/A</v>
      </c>
      <c r="V43" s="348" t="str">
        <f t="shared" si="1"/>
        <v>N/A</v>
      </c>
      <c r="X43" s="438" t="s">
        <v>153</v>
      </c>
      <c r="Y43" s="438">
        <f>COUNTIF(F43:V43,X43)</f>
        <v>0</v>
      </c>
      <c r="Z43" s="438"/>
      <c r="AA43" s="19"/>
      <c r="AB43" s="437"/>
      <c r="AC43" s="191"/>
      <c r="AD43" s="191"/>
      <c r="AE43" s="191"/>
      <c r="AF43" s="754"/>
    </row>
    <row r="44" spans="1:33" ht="31.5" customHeight="1" x14ac:dyDescent="0.25">
      <c r="A44" s="854"/>
      <c r="B44" s="268"/>
      <c r="E44" s="270"/>
      <c r="F44" s="270"/>
      <c r="G44" s="270"/>
      <c r="H44" s="270"/>
      <c r="I44" s="270"/>
      <c r="J44" s="270"/>
      <c r="K44" s="270"/>
      <c r="L44" s="270"/>
      <c r="M44" s="270"/>
      <c r="N44" s="270"/>
      <c r="O44" s="270"/>
      <c r="P44" s="270"/>
      <c r="Q44" s="270"/>
      <c r="R44" s="270"/>
      <c r="S44" s="270"/>
      <c r="T44" s="270"/>
      <c r="U44" s="270"/>
      <c r="V44" s="270"/>
      <c r="X44" s="438" t="s">
        <v>154</v>
      </c>
      <c r="Y44" s="438">
        <f>COUNTIF(F43:V43,X44)</f>
        <v>0</v>
      </c>
      <c r="Z44" s="437"/>
      <c r="AA44" s="437"/>
      <c r="AB44" s="437"/>
      <c r="AC44" s="191"/>
      <c r="AD44" s="191"/>
      <c r="AE44" s="191"/>
      <c r="AF44" s="754"/>
    </row>
    <row r="45" spans="1:33" ht="19.5" customHeight="1" x14ac:dyDescent="0.3">
      <c r="A45" s="854" t="s">
        <v>296</v>
      </c>
      <c r="B45" s="253"/>
      <c r="C45" s="331"/>
      <c r="D45" s="37"/>
      <c r="E45" s="270"/>
      <c r="F45" s="270"/>
      <c r="G45" s="270"/>
      <c r="H45" s="270"/>
      <c r="I45" s="270"/>
      <c r="J45" s="270"/>
      <c r="K45" s="270"/>
      <c r="L45" s="270"/>
      <c r="M45" s="270"/>
      <c r="N45" s="270"/>
      <c r="O45" s="270"/>
      <c r="P45" s="270"/>
      <c r="Q45" s="907" t="s">
        <v>137</v>
      </c>
      <c r="R45" s="907"/>
      <c r="S45" s="907"/>
      <c r="T45" s="907"/>
      <c r="U45" s="907"/>
      <c r="V45" s="907"/>
      <c r="X45" s="437"/>
      <c r="Y45" s="437"/>
      <c r="Z45" s="437"/>
      <c r="AA45" s="437"/>
      <c r="AB45" s="437"/>
      <c r="AC45" s="191"/>
      <c r="AD45" s="191"/>
      <c r="AE45" s="191"/>
      <c r="AF45" s="754"/>
    </row>
    <row r="46" spans="1:33" ht="19.5" customHeight="1" x14ac:dyDescent="0.3">
      <c r="A46" s="854"/>
      <c r="B46" s="253"/>
      <c r="C46" s="331"/>
      <c r="D46" s="37" t="s">
        <v>297</v>
      </c>
      <c r="E46" s="270"/>
      <c r="F46" s="270"/>
      <c r="G46" s="270"/>
      <c r="H46" s="270"/>
      <c r="I46" s="270"/>
      <c r="J46" s="270"/>
      <c r="K46" s="270"/>
      <c r="L46" s="270"/>
      <c r="M46" s="270"/>
      <c r="N46" s="270"/>
      <c r="O46" s="270"/>
      <c r="P46" s="270"/>
      <c r="Q46" s="910" t="str">
        <f>Q7</f>
        <v>Small Residential/Office/Shop</v>
      </c>
      <c r="R46" s="910"/>
      <c r="S46" s="910"/>
      <c r="T46" s="910"/>
      <c r="U46" s="910"/>
      <c r="V46" s="910"/>
      <c r="X46" s="438" t="s">
        <v>154</v>
      </c>
      <c r="Y46" s="438">
        <f>COUNTIF(E43:V43,X46)</f>
        <v>0</v>
      </c>
      <c r="Z46" s="437"/>
      <c r="AA46" s="437"/>
      <c r="AB46" s="437"/>
      <c r="AC46" s="191"/>
      <c r="AD46" s="191"/>
      <c r="AE46" s="191"/>
      <c r="AF46" s="754"/>
    </row>
    <row r="47" spans="1:33" ht="19.5" customHeight="1" x14ac:dyDescent="0.3">
      <c r="A47" s="854"/>
      <c r="B47" s="253"/>
      <c r="C47" s="331"/>
      <c r="D47" s="37"/>
      <c r="E47" s="270"/>
      <c r="F47" s="270"/>
      <c r="G47" s="270"/>
      <c r="H47" s="270"/>
      <c r="I47" s="270"/>
      <c r="J47" s="270"/>
      <c r="K47" s="270"/>
      <c r="L47" s="270"/>
      <c r="M47" s="270"/>
      <c r="N47" s="270"/>
      <c r="O47" s="270"/>
      <c r="P47" s="270"/>
      <c r="Q47" s="271" t="e" cm="1">
        <f t="array" ref="Q47">IF($Q$46=Schools, "Low", " ")</f>
        <v>#NAME?</v>
      </c>
      <c r="R47" s="271"/>
      <c r="S47" s="271"/>
      <c r="T47" s="271"/>
      <c r="U47" s="271"/>
      <c r="V47" s="271"/>
      <c r="X47" s="437"/>
      <c r="Y47" s="437"/>
      <c r="Z47" s="437"/>
      <c r="AA47" s="191"/>
      <c r="AB47" s="191"/>
      <c r="AC47" s="191"/>
      <c r="AD47" s="191"/>
      <c r="AE47" s="191"/>
    </row>
    <row r="48" spans="1:33" ht="24.95" customHeight="1" x14ac:dyDescent="0.3">
      <c r="A48" s="854"/>
      <c r="B48" s="253"/>
      <c r="C48" s="331"/>
      <c r="D48" s="586"/>
      <c r="E48" s="587" t="s">
        <v>271</v>
      </c>
      <c r="F48" s="1003" t="s">
        <v>115</v>
      </c>
      <c r="G48" s="1004"/>
      <c r="H48" s="1004"/>
      <c r="I48" s="1004"/>
      <c r="J48" s="1004"/>
      <c r="K48" s="1004"/>
      <c r="L48" s="1004"/>
      <c r="M48" s="1005"/>
      <c r="N48" s="900" t="s">
        <v>118</v>
      </c>
      <c r="O48" s="901"/>
      <c r="P48" s="914"/>
      <c r="Q48" s="900" t="s">
        <v>119</v>
      </c>
      <c r="R48" s="901"/>
      <c r="S48" s="901"/>
      <c r="T48" s="901"/>
      <c r="U48" s="901"/>
      <c r="V48" s="901"/>
      <c r="W48" s="6"/>
      <c r="X48" s="19"/>
      <c r="Y48" s="191"/>
      <c r="Z48" s="191"/>
      <c r="AA48" s="191"/>
    </row>
    <row r="49" spans="1:26" ht="47.1" customHeight="1" x14ac:dyDescent="0.3">
      <c r="A49" s="854"/>
      <c r="B49" s="253"/>
      <c r="C49" s="331"/>
      <c r="D49" s="994" t="s">
        <v>159</v>
      </c>
      <c r="E49" s="1000" t="str">
        <f>E10</f>
        <v>ALL COMPONENTS - Simplified assessment</v>
      </c>
      <c r="F49" s="1000">
        <f t="shared" ref="F49:V49" si="2">F10</f>
        <v>0</v>
      </c>
      <c r="G49" s="1000">
        <f t="shared" si="2"/>
        <v>0</v>
      </c>
      <c r="H49" s="1000">
        <f t="shared" si="2"/>
        <v>0</v>
      </c>
      <c r="I49" s="1000">
        <f t="shared" si="2"/>
        <v>0</v>
      </c>
      <c r="J49" s="1000">
        <f t="shared" si="2"/>
        <v>0</v>
      </c>
      <c r="K49" s="1000">
        <f t="shared" si="2"/>
        <v>0</v>
      </c>
      <c r="L49" s="1000">
        <f t="shared" si="2"/>
        <v>0</v>
      </c>
      <c r="M49" s="1000">
        <f t="shared" si="2"/>
        <v>0</v>
      </c>
      <c r="N49" s="1000">
        <f t="shared" si="2"/>
        <v>0</v>
      </c>
      <c r="O49" s="1000">
        <f t="shared" si="2"/>
        <v>0</v>
      </c>
      <c r="P49" s="1000">
        <f t="shared" si="2"/>
        <v>0</v>
      </c>
      <c r="Q49" s="1000">
        <f t="shared" si="2"/>
        <v>0</v>
      </c>
      <c r="R49" s="1000">
        <f t="shared" si="2"/>
        <v>0</v>
      </c>
      <c r="S49" s="1000">
        <f t="shared" si="2"/>
        <v>0</v>
      </c>
      <c r="T49" s="1000">
        <f t="shared" si="2"/>
        <v>0</v>
      </c>
      <c r="U49" s="1000">
        <f t="shared" si="2"/>
        <v>0</v>
      </c>
      <c r="V49" s="1000">
        <f t="shared" si="2"/>
        <v>0</v>
      </c>
      <c r="W49" s="6"/>
      <c r="X49" s="349" t="s">
        <v>157</v>
      </c>
      <c r="Z49" s="272" t="s">
        <v>158</v>
      </c>
    </row>
    <row r="50" spans="1:26" ht="42.95" customHeight="1" thickBot="1" x14ac:dyDescent="0.35">
      <c r="A50" s="150"/>
      <c r="B50" s="253"/>
      <c r="C50" s="331"/>
      <c r="D50" s="994"/>
      <c r="E50" s="1001"/>
      <c r="F50" s="1001"/>
      <c r="G50" s="1001"/>
      <c r="H50" s="1001"/>
      <c r="I50" s="1001"/>
      <c r="J50" s="1001"/>
      <c r="K50" s="1001"/>
      <c r="L50" s="1001"/>
      <c r="M50" s="1001"/>
      <c r="N50" s="1001"/>
      <c r="O50" s="1001"/>
      <c r="P50" s="1001"/>
      <c r="Q50" s="1001"/>
      <c r="R50" s="1001"/>
      <c r="S50" s="1001"/>
      <c r="T50" s="1001"/>
      <c r="U50" s="1001"/>
      <c r="V50" s="1001"/>
      <c r="W50" s="6"/>
      <c r="X50" s="350" t="s">
        <v>160</v>
      </c>
      <c r="Z50" s="273" t="s">
        <v>161</v>
      </c>
    </row>
    <row r="51" spans="1:26" ht="42" customHeight="1" thickBot="1" x14ac:dyDescent="0.3">
      <c r="A51" s="150"/>
      <c r="B51" s="253"/>
      <c r="D51" s="351" t="s">
        <v>298</v>
      </c>
      <c r="E51" s="352"/>
      <c r="F51" s="352"/>
      <c r="G51" s="352"/>
      <c r="H51" s="352"/>
      <c r="I51" s="352"/>
      <c r="J51" s="352"/>
      <c r="K51" s="352"/>
      <c r="L51" s="352"/>
      <c r="M51" s="352"/>
      <c r="N51" s="352"/>
      <c r="O51" s="352"/>
      <c r="P51" s="352"/>
      <c r="Q51" s="322"/>
      <c r="R51" s="322"/>
      <c r="S51" s="322"/>
      <c r="T51" s="322"/>
      <c r="U51" s="322"/>
      <c r="V51" s="322"/>
      <c r="W51" s="6"/>
      <c r="X51" s="353"/>
      <c r="Z51" s="354" t="s">
        <v>299</v>
      </c>
    </row>
    <row r="52" spans="1:26" ht="72" customHeight="1" x14ac:dyDescent="0.25">
      <c r="A52" s="150"/>
      <c r="B52" s="253"/>
      <c r="D52" s="653" t="s">
        <v>300</v>
      </c>
      <c r="E52" s="584" t="str">
        <f>IF(E49=0," ",IF(E49="N/A"," ","High"))</f>
        <v>High</v>
      </c>
      <c r="F52" s="584"/>
      <c r="G52" s="584" t="str">
        <f>IF(G49=0," ",IF(G49="N/A"," ","High"))</f>
        <v xml:space="preserve"> </v>
      </c>
      <c r="H52" s="654"/>
      <c r="I52" s="654"/>
      <c r="J52" s="654"/>
      <c r="K52" s="654"/>
      <c r="L52" s="655"/>
      <c r="M52" s="656"/>
      <c r="N52" s="654"/>
      <c r="O52" s="654"/>
      <c r="P52" s="654"/>
      <c r="Q52" s="654"/>
      <c r="R52" s="654"/>
      <c r="S52" s="654"/>
      <c r="T52" s="654"/>
      <c r="U52" s="654"/>
      <c r="V52" s="657"/>
      <c r="W52" s="6"/>
      <c r="X52" s="658" t="s">
        <v>175</v>
      </c>
      <c r="Z52" s="277"/>
    </row>
    <row r="53" spans="1:26" ht="33.6" customHeight="1" x14ac:dyDescent="0.25">
      <c r="A53" s="150"/>
      <c r="B53" s="253"/>
      <c r="D53" s="659" t="s">
        <v>301</v>
      </c>
      <c r="E53" s="300" t="str">
        <f>IF(E49=0," ",IF(E49="N/A"," ","Low"))</f>
        <v>Low</v>
      </c>
      <c r="F53" s="301"/>
      <c r="G53" s="300"/>
      <c r="H53" s="300" t="str">
        <f t="shared" ref="H53:M53" si="3">IF(H49=0," ",IF(H45="N/A"," ","Low"))</f>
        <v xml:space="preserve"> </v>
      </c>
      <c r="I53" s="300" t="str">
        <f t="shared" si="3"/>
        <v xml:space="preserve"> </v>
      </c>
      <c r="J53" s="300" t="str">
        <f t="shared" si="3"/>
        <v xml:space="preserve"> </v>
      </c>
      <c r="K53" s="300" t="str">
        <f t="shared" si="3"/>
        <v xml:space="preserve"> </v>
      </c>
      <c r="L53" s="300" t="str">
        <f t="shared" si="3"/>
        <v xml:space="preserve"> </v>
      </c>
      <c r="M53" s="300" t="str">
        <f t="shared" si="3"/>
        <v xml:space="preserve"> </v>
      </c>
      <c r="N53" s="301"/>
      <c r="O53" s="301"/>
      <c r="P53" s="301"/>
      <c r="Q53" s="301"/>
      <c r="R53" s="301"/>
      <c r="S53" s="301"/>
      <c r="T53" s="301"/>
      <c r="U53" s="301"/>
      <c r="V53" s="660"/>
      <c r="W53" s="661"/>
      <c r="X53" s="662" t="s">
        <v>179</v>
      </c>
      <c r="Z53" s="279"/>
    </row>
    <row r="54" spans="1:26" ht="45" customHeight="1" x14ac:dyDescent="0.25">
      <c r="A54" s="150"/>
      <c r="B54" s="253"/>
      <c r="D54" s="659" t="s">
        <v>302</v>
      </c>
      <c r="E54" s="300"/>
      <c r="F54" s="300" t="str">
        <f>IF(F49=0," ",IF(F49="N/A"," ","High"))</f>
        <v xml:space="preserve"> </v>
      </c>
      <c r="G54" s="300" t="str">
        <f>IF(G49=0," ",IF(G49="N/A"," ","High"))</f>
        <v xml:space="preserve"> </v>
      </c>
      <c r="H54" s="300"/>
      <c r="I54" s="301"/>
      <c r="J54" s="301"/>
      <c r="K54" s="301"/>
      <c r="L54" s="300"/>
      <c r="M54" s="306"/>
      <c r="N54" s="301"/>
      <c r="O54" s="301"/>
      <c r="P54" s="301"/>
      <c r="Q54" s="301"/>
      <c r="R54" s="301"/>
      <c r="S54" s="301"/>
      <c r="T54" s="301"/>
      <c r="U54" s="301"/>
      <c r="V54" s="660"/>
      <c r="W54" s="663"/>
      <c r="X54" s="662" t="s">
        <v>164</v>
      </c>
      <c r="Z54" s="279"/>
    </row>
    <row r="55" spans="1:26" ht="48.6" customHeight="1" x14ac:dyDescent="0.25">
      <c r="A55" s="150"/>
      <c r="B55" s="253"/>
      <c r="D55" s="664" t="s">
        <v>303</v>
      </c>
      <c r="E55" s="300"/>
      <c r="F55" s="300"/>
      <c r="G55" s="300"/>
      <c r="H55" s="300"/>
      <c r="I55" s="300"/>
      <c r="J55" s="300"/>
      <c r="K55" s="300"/>
      <c r="L55" s="300"/>
      <c r="M55" s="300"/>
      <c r="N55" s="301"/>
      <c r="O55" s="301"/>
      <c r="P55" s="301"/>
      <c r="Q55" s="300" t="str">
        <f>IF($Q$49=0," ","High")</f>
        <v xml:space="preserve"> </v>
      </c>
      <c r="R55" s="300" t="str">
        <f>IF($R$49=0," ","High")</f>
        <v xml:space="preserve"> </v>
      </c>
      <c r="S55" s="300"/>
      <c r="T55" s="300" t="str">
        <f>IF($T$49=0," ","High")</f>
        <v xml:space="preserve"> </v>
      </c>
      <c r="U55" s="300"/>
      <c r="V55" s="665"/>
      <c r="W55" s="663"/>
      <c r="X55" s="662" t="s">
        <v>164</v>
      </c>
      <c r="Z55" s="279"/>
    </row>
    <row r="56" spans="1:26" ht="38.450000000000003" customHeight="1" x14ac:dyDescent="0.25">
      <c r="A56" s="280"/>
      <c r="B56" s="253"/>
      <c r="D56" s="659" t="s">
        <v>304</v>
      </c>
      <c r="E56" s="300" t="str">
        <f>IF(E49=0," ",IF(E49="N/A"," ","High"))</f>
        <v>High</v>
      </c>
      <c r="F56" s="311"/>
      <c r="G56" s="300"/>
      <c r="H56" s="300"/>
      <c r="I56" s="300"/>
      <c r="J56" s="300"/>
      <c r="K56" s="300"/>
      <c r="L56" s="300"/>
      <c r="M56" s="300"/>
      <c r="N56" s="311"/>
      <c r="O56" s="311"/>
      <c r="P56" s="311"/>
      <c r="Q56" s="300" t="str">
        <f>IF($Q$49=0," ","High")</f>
        <v xml:space="preserve"> </v>
      </c>
      <c r="R56" s="300" t="str">
        <f>IF($R$49=0," ","High")</f>
        <v xml:space="preserve"> </v>
      </c>
      <c r="S56" s="300"/>
      <c r="T56" s="300" t="str">
        <f>IF($T$49=0," ","High")</f>
        <v xml:space="preserve"> </v>
      </c>
      <c r="U56" s="300"/>
      <c r="V56" s="665"/>
      <c r="W56" s="663"/>
      <c r="X56" s="658" t="s">
        <v>175</v>
      </c>
      <c r="Z56" s="279"/>
    </row>
    <row r="57" spans="1:26" ht="30" customHeight="1" x14ac:dyDescent="0.25">
      <c r="A57" s="280"/>
      <c r="B57" s="253"/>
      <c r="C57" s="995"/>
      <c r="D57" s="664" t="s">
        <v>305</v>
      </c>
      <c r="E57" s="300" t="str">
        <f>IF(E49=0," ",IF(E49="N/A"," ","Low"))</f>
        <v>Low</v>
      </c>
      <c r="F57" s="300" t="str">
        <f>IF(F49=0," ",IF(F49="N/A"," ","Low"))</f>
        <v xml:space="preserve"> </v>
      </c>
      <c r="G57" s="300" t="str">
        <f>IF(G49=0," ",IF(G49="N/A"," ","Low"))</f>
        <v xml:space="preserve"> </v>
      </c>
      <c r="H57" s="311"/>
      <c r="I57" s="300"/>
      <c r="J57" s="300"/>
      <c r="K57" s="300"/>
      <c r="L57" s="311"/>
      <c r="M57" s="300"/>
      <c r="N57" s="311"/>
      <c r="O57" s="311"/>
      <c r="P57" s="311"/>
      <c r="Q57" s="300"/>
      <c r="R57" s="300"/>
      <c r="S57" s="300"/>
      <c r="T57" s="300"/>
      <c r="U57" s="300"/>
      <c r="V57" s="665" t="str">
        <f>IF($V$49=0," ","Low")</f>
        <v xml:space="preserve"> </v>
      </c>
      <c r="W57" s="663"/>
      <c r="X57" s="662" t="s">
        <v>179</v>
      </c>
      <c r="Z57" s="279"/>
    </row>
    <row r="58" spans="1:26" ht="44.1" customHeight="1" x14ac:dyDescent="0.25">
      <c r="A58" s="280"/>
      <c r="B58" s="253"/>
      <c r="C58" s="995"/>
      <c r="D58" s="664" t="s">
        <v>306</v>
      </c>
      <c r="E58" s="300" t="str">
        <f>IF(E49=0," ",IF(E49="N/A"," ","Low"))</f>
        <v>Low</v>
      </c>
      <c r="F58" s="300"/>
      <c r="G58" s="300" t="str">
        <f>IF(G49=0," ",IF(G49="N/A"," ","Low"))</f>
        <v xml:space="preserve"> </v>
      </c>
      <c r="H58" s="312"/>
      <c r="I58" s="300"/>
      <c r="J58" s="300"/>
      <c r="K58" s="300"/>
      <c r="L58" s="312"/>
      <c r="M58" s="300"/>
      <c r="N58" s="312"/>
      <c r="O58" s="312"/>
      <c r="P58" s="312"/>
      <c r="Q58" s="300" t="str">
        <f>IF($Q$49=0," ","Low")</f>
        <v xml:space="preserve"> </v>
      </c>
      <c r="R58" s="300" t="str">
        <f>IF($R$49=0," ","Low")</f>
        <v xml:space="preserve"> </v>
      </c>
      <c r="S58" s="300"/>
      <c r="T58" s="300" t="str">
        <f>IF($T$49=0," ","Low")</f>
        <v xml:space="preserve"> </v>
      </c>
      <c r="U58" s="300"/>
      <c r="V58" s="666"/>
      <c r="W58" s="663"/>
      <c r="X58" s="662" t="s">
        <v>179</v>
      </c>
      <c r="Z58" s="279"/>
    </row>
    <row r="59" spans="1:26" ht="43.5" customHeight="1" x14ac:dyDescent="0.3">
      <c r="A59" s="919"/>
      <c r="B59" s="253"/>
      <c r="C59" s="331"/>
      <c r="D59" s="667" t="s">
        <v>307</v>
      </c>
      <c r="E59" s="300"/>
      <c r="F59" s="300"/>
      <c r="G59" s="300" t="str">
        <f>IF(G49=0," ",IF(G49="N/A"," ","High"))</f>
        <v xml:space="preserve"> </v>
      </c>
      <c r="H59" s="313"/>
      <c r="I59" s="313"/>
      <c r="J59" s="313"/>
      <c r="K59" s="313"/>
      <c r="L59" s="313"/>
      <c r="M59" s="313"/>
      <c r="N59" s="300"/>
      <c r="O59" s="313"/>
      <c r="P59" s="313"/>
      <c r="Q59" s="300" t="str">
        <f>IF($Q$49=0," ","High")</f>
        <v xml:space="preserve"> </v>
      </c>
      <c r="R59" s="300" t="str">
        <f>IF($R$49=0," ","High")</f>
        <v xml:space="preserve"> </v>
      </c>
      <c r="S59" s="313"/>
      <c r="T59" s="300" t="str">
        <f>IF($T$49=0," ","High")</f>
        <v xml:space="preserve"> </v>
      </c>
      <c r="U59" s="300"/>
      <c r="V59" s="668"/>
      <c r="W59" s="663"/>
      <c r="X59" s="658" t="s">
        <v>175</v>
      </c>
      <c r="Z59" s="279"/>
    </row>
    <row r="60" spans="1:26" ht="27.95" customHeight="1" x14ac:dyDescent="0.3">
      <c r="A60" s="919"/>
      <c r="B60" s="253"/>
      <c r="C60" s="331"/>
      <c r="D60" s="669" t="s">
        <v>308</v>
      </c>
      <c r="E60" s="300" t="str">
        <f>IF(E49=0," ",IF(E49="N/A"," ","Low"))</f>
        <v>Low</v>
      </c>
      <c r="F60" s="300"/>
      <c r="G60" s="300" t="str">
        <f>IF(G49=0," ",IF(G49="N/A"," ","Low"))</f>
        <v xml:space="preserve"> </v>
      </c>
      <c r="H60" s="313"/>
      <c r="I60" s="313"/>
      <c r="J60" s="300"/>
      <c r="K60" s="300"/>
      <c r="L60" s="313"/>
      <c r="M60" s="313"/>
      <c r="N60" s="313"/>
      <c r="O60" s="313"/>
      <c r="P60" s="313"/>
      <c r="Q60" s="300" t="str">
        <f>IF($Q$49=0," ","Low")</f>
        <v xml:space="preserve"> </v>
      </c>
      <c r="R60" s="300" t="str">
        <f>IF($R$49=0," ","Low")</f>
        <v xml:space="preserve"> </v>
      </c>
      <c r="S60" s="301"/>
      <c r="T60" s="300" t="str">
        <f>IF($T$49=0," ","Low")</f>
        <v xml:space="preserve"> </v>
      </c>
      <c r="U60" s="301"/>
      <c r="V60" s="668"/>
      <c r="W60" s="663"/>
      <c r="X60" s="658" t="s">
        <v>175</v>
      </c>
      <c r="Z60" s="279"/>
    </row>
    <row r="61" spans="1:26" ht="48.95" customHeight="1" x14ac:dyDescent="0.3">
      <c r="A61" s="281"/>
      <c r="B61" s="253"/>
      <c r="C61" s="331"/>
      <c r="D61" s="659" t="s">
        <v>309</v>
      </c>
      <c r="E61" s="300"/>
      <c r="F61" s="300"/>
      <c r="G61" s="300"/>
      <c r="H61" s="313"/>
      <c r="I61" s="313"/>
      <c r="J61" s="300" t="str">
        <f>IF(J49=0," ",IF(J49="N/A"," ","High"))</f>
        <v xml:space="preserve"> </v>
      </c>
      <c r="K61" s="313"/>
      <c r="L61" s="313"/>
      <c r="M61" s="313"/>
      <c r="N61" s="300" t="str">
        <f>IF(N49=0," ",IF(N49="N/A"," ","High"))</f>
        <v xml:space="preserve"> </v>
      </c>
      <c r="O61" s="313"/>
      <c r="P61" s="313"/>
      <c r="Q61" s="300" t="str">
        <f>IF($Q$49=0," ","High")</f>
        <v xml:space="preserve"> </v>
      </c>
      <c r="R61" s="300" t="str">
        <f>IF($R$49=0," ","High")</f>
        <v xml:space="preserve"> </v>
      </c>
      <c r="S61" s="300"/>
      <c r="T61" s="300" t="str">
        <f>IF($T$49=0," ","High")</f>
        <v xml:space="preserve"> </v>
      </c>
      <c r="U61" s="300"/>
      <c r="V61" s="665"/>
      <c r="W61" s="663"/>
      <c r="X61" s="658" t="s">
        <v>175</v>
      </c>
      <c r="Z61" s="279"/>
    </row>
    <row r="62" spans="1:26" ht="42.6" customHeight="1" x14ac:dyDescent="0.3">
      <c r="A62" s="281"/>
      <c r="B62" s="253"/>
      <c r="C62" s="331"/>
      <c r="D62" s="659" t="s">
        <v>310</v>
      </c>
      <c r="E62" s="300"/>
      <c r="F62" s="300"/>
      <c r="G62" s="300" t="str">
        <f>IF(G49=0," ",IF(G49="N/A"," ","Low"))</f>
        <v xml:space="preserve"> </v>
      </c>
      <c r="H62" s="313"/>
      <c r="I62" s="300" t="str">
        <f>IF(I49=0," ",IF(I49="N/A"," ","Low"))</f>
        <v xml:space="preserve"> </v>
      </c>
      <c r="J62" s="300"/>
      <c r="K62" s="313"/>
      <c r="L62" s="300" t="str">
        <f>IF(L49=0," ",IF(L49="N/A"," ","Low"))</f>
        <v xml:space="preserve"> </v>
      </c>
      <c r="M62" s="300" t="str">
        <f>IF(M49=0," ",IF(M49="N/A"," ","Low"))</f>
        <v xml:space="preserve"> </v>
      </c>
      <c r="N62" s="313"/>
      <c r="O62" s="313"/>
      <c r="P62" s="313"/>
      <c r="Q62" s="300" t="str">
        <f>IF($Q$49=0," ","Low")</f>
        <v xml:space="preserve"> </v>
      </c>
      <c r="R62" s="300" t="str">
        <f>IF($R$49=0," ","Low")</f>
        <v xml:space="preserve"> </v>
      </c>
      <c r="S62" s="313"/>
      <c r="T62" s="300" t="str">
        <f>IF($T$49=0," ","Low")</f>
        <v xml:space="preserve"> </v>
      </c>
      <c r="U62" s="313"/>
      <c r="V62" s="665"/>
      <c r="W62" s="663"/>
      <c r="X62" s="658" t="s">
        <v>175</v>
      </c>
      <c r="Z62" s="279"/>
    </row>
    <row r="63" spans="1:26" ht="57.95" customHeight="1" x14ac:dyDescent="0.3">
      <c r="A63" s="281"/>
      <c r="B63" s="253"/>
      <c r="C63" s="331"/>
      <c r="D63" s="664" t="s">
        <v>311</v>
      </c>
      <c r="E63" s="300" t="str">
        <f>IF(E49=0," ",IF(E49="N/A"," ","Low"))</f>
        <v>Low</v>
      </c>
      <c r="F63" s="300" t="s">
        <v>154</v>
      </c>
      <c r="G63" s="300"/>
      <c r="H63" s="313"/>
      <c r="I63" s="300" t="s">
        <v>154</v>
      </c>
      <c r="J63" s="300"/>
      <c r="K63" s="313"/>
      <c r="L63" s="300" t="s">
        <v>154</v>
      </c>
      <c r="M63" s="300" t="s">
        <v>154</v>
      </c>
      <c r="N63" s="313"/>
      <c r="O63" s="313"/>
      <c r="P63" s="313"/>
      <c r="Q63" s="300" t="str">
        <f>IF($Q$49=0," ","Low")</f>
        <v xml:space="preserve"> </v>
      </c>
      <c r="R63" s="300" t="str">
        <f>IF($R$49=0," ","Low")</f>
        <v xml:space="preserve"> </v>
      </c>
      <c r="S63" s="313"/>
      <c r="T63" s="300" t="str">
        <f>IF($T$49=0," ","Low")</f>
        <v xml:space="preserve"> </v>
      </c>
      <c r="U63" s="313"/>
      <c r="V63" s="665" t="str">
        <f>IF($V$49=0," ","Low")</f>
        <v xml:space="preserve"> </v>
      </c>
      <c r="W63" s="663"/>
      <c r="X63" s="662" t="s">
        <v>179</v>
      </c>
      <c r="Z63" s="279"/>
    </row>
    <row r="64" spans="1:26" ht="41.45" customHeight="1" x14ac:dyDescent="0.3">
      <c r="A64" s="281"/>
      <c r="B64" s="253"/>
      <c r="C64" s="331"/>
      <c r="D64" s="664" t="s">
        <v>312</v>
      </c>
      <c r="E64" s="300"/>
      <c r="F64" s="300"/>
      <c r="G64" s="300"/>
      <c r="H64" s="300"/>
      <c r="I64" s="300" t="str">
        <f>IF(I49=0," ",IF(I49="N/A"," ",IF($Q$46="Residential Building"," ", "High")))</f>
        <v xml:space="preserve"> </v>
      </c>
      <c r="J64" s="300" t="str">
        <f>IF(J49=0," ",IF(J49="N/A"," ",IF($Q$46="Residential Building"," ", "High")))</f>
        <v xml:space="preserve"> </v>
      </c>
      <c r="K64" s="300" t="str">
        <f>IF(K49=0," ",IF(K49="N/A"," ",IF($Q$46="Residential Building"," ", "High")))</f>
        <v xml:space="preserve"> </v>
      </c>
      <c r="L64" s="300"/>
      <c r="M64" s="300" t="str">
        <f>IF(M49=0," ",IF(M49="N/A"," ",IF($Q$46="Residential Building"," ", "High")))</f>
        <v xml:space="preserve"> </v>
      </c>
      <c r="N64" s="300" t="str">
        <f>IF(N49=0," ",IF(N49="N/A"," ",IF($Q$46="Residential Building"," ", "High")))</f>
        <v xml:space="preserve"> </v>
      </c>
      <c r="O64" s="313"/>
      <c r="P64" s="313"/>
      <c r="Q64" s="300" t="str">
        <f>IF($Q$49=0," ","High")</f>
        <v xml:space="preserve"> </v>
      </c>
      <c r="R64" s="300" t="str">
        <f>IF($R$49=0," ","High")</f>
        <v xml:space="preserve"> </v>
      </c>
      <c r="S64" s="300" t="str">
        <f>IF($S$49=0," ","High")</f>
        <v xml:space="preserve"> </v>
      </c>
      <c r="T64" s="300" t="str">
        <f>IF($T$49=0," ","High")</f>
        <v xml:space="preserve"> </v>
      </c>
      <c r="U64" s="300" t="str">
        <f>IF($U$49=0," ","High")</f>
        <v xml:space="preserve"> </v>
      </c>
      <c r="V64" s="668"/>
      <c r="W64" s="663"/>
      <c r="X64" s="658" t="s">
        <v>175</v>
      </c>
      <c r="Z64" s="279"/>
    </row>
    <row r="65" spans="1:26" ht="42.95" customHeight="1" x14ac:dyDescent="0.3">
      <c r="A65" s="281"/>
      <c r="B65" s="253"/>
      <c r="C65" s="331"/>
      <c r="D65" s="664" t="s">
        <v>313</v>
      </c>
      <c r="E65" s="300"/>
      <c r="F65" s="300"/>
      <c r="G65" s="313"/>
      <c r="H65" s="313"/>
      <c r="I65" s="300"/>
      <c r="J65" s="300"/>
      <c r="K65" s="313"/>
      <c r="L65" s="300"/>
      <c r="M65" s="313"/>
      <c r="N65" s="313"/>
      <c r="O65" s="313"/>
      <c r="P65" s="313"/>
      <c r="Q65" s="300" t="str">
        <f>IF($Q$49=0," ","Low")</f>
        <v xml:space="preserve"> </v>
      </c>
      <c r="R65" s="300" t="str">
        <f>IF($R$49=0," ","Low")</f>
        <v xml:space="preserve"> </v>
      </c>
      <c r="S65" s="315"/>
      <c r="T65" s="313"/>
      <c r="U65" s="313"/>
      <c r="V65" s="670"/>
      <c r="W65" s="663"/>
      <c r="X65" s="662" t="s">
        <v>179</v>
      </c>
      <c r="Z65" s="279"/>
    </row>
    <row r="66" spans="1:26" ht="46.5" customHeight="1" x14ac:dyDescent="0.3">
      <c r="A66" s="281"/>
      <c r="B66" s="253"/>
      <c r="C66" s="331"/>
      <c r="D66" s="659" t="s">
        <v>314</v>
      </c>
      <c r="E66" s="300"/>
      <c r="F66" s="300"/>
      <c r="G66" s="300"/>
      <c r="H66" s="313"/>
      <c r="I66" s="300" t="str">
        <f>IF(I51=0," ",IF(I51="N/A"," ",IF($Q$46="Residential Building"," ", "High")))</f>
        <v xml:space="preserve"> </v>
      </c>
      <c r="J66" s="300" t="str">
        <f>IF(J51=0," ",IF(J51="N/A"," ",IF($Q$46="Residential Building"," ", "High")))</f>
        <v xml:space="preserve"> </v>
      </c>
      <c r="K66" s="313"/>
      <c r="L66" s="313"/>
      <c r="M66" s="300" t="str">
        <f>IF(M51=0," ",IF(M51="N/A"," ",IF($Q$46="Residential Building"," ", "High")))</f>
        <v xml:space="preserve"> </v>
      </c>
      <c r="N66" s="300" t="str">
        <f>IF(N51=0," ",IF(N51="N/A"," ",IF($Q$46="Residential Building"," ", "High")))</f>
        <v xml:space="preserve"> </v>
      </c>
      <c r="O66" s="313"/>
      <c r="P66" s="313"/>
      <c r="Q66" s="315"/>
      <c r="R66" s="315"/>
      <c r="S66" s="315"/>
      <c r="T66" s="313"/>
      <c r="U66" s="315"/>
      <c r="V66" s="668"/>
      <c r="W66" s="663"/>
      <c r="X66" s="658" t="s">
        <v>175</v>
      </c>
      <c r="Z66" s="279"/>
    </row>
    <row r="67" spans="1:26" ht="60.6" customHeight="1" x14ac:dyDescent="0.25">
      <c r="A67" s="281"/>
      <c r="B67" s="253"/>
      <c r="C67" s="996"/>
      <c r="D67" s="659" t="s">
        <v>315</v>
      </c>
      <c r="E67" s="300"/>
      <c r="F67" s="300"/>
      <c r="G67" s="300"/>
      <c r="H67" s="313"/>
      <c r="I67" s="313"/>
      <c r="J67" s="300"/>
      <c r="K67" s="313"/>
      <c r="L67" s="300" t="str">
        <f>IF(L49=0," ",IF(L49="N/A"," ","High"))</f>
        <v xml:space="preserve"> </v>
      </c>
      <c r="M67" s="313"/>
      <c r="N67" s="313"/>
      <c r="O67" s="313"/>
      <c r="P67" s="313"/>
      <c r="Q67" s="315"/>
      <c r="R67" s="315"/>
      <c r="S67" s="315"/>
      <c r="T67" s="313"/>
      <c r="U67" s="315"/>
      <c r="V67" s="668"/>
      <c r="W67" s="663"/>
      <c r="X67" s="658" t="s">
        <v>175</v>
      </c>
      <c r="Z67" s="279"/>
    </row>
    <row r="68" spans="1:26" ht="54.6" customHeight="1" x14ac:dyDescent="0.25">
      <c r="A68" s="281"/>
      <c r="B68" s="253"/>
      <c r="C68" s="996"/>
      <c r="D68" s="664" t="s">
        <v>316</v>
      </c>
      <c r="E68" s="300"/>
      <c r="F68" s="300"/>
      <c r="G68" s="300"/>
      <c r="H68" s="313"/>
      <c r="I68" s="300" t="str">
        <f>IF($Q$46="RESIDENTIAL BUILDING"," ",IF(I49=0," ","High"))</f>
        <v xml:space="preserve"> </v>
      </c>
      <c r="J68" s="300"/>
      <c r="K68" s="300"/>
      <c r="L68" s="313"/>
      <c r="M68" s="300" t="str">
        <f>IF($Q$46="RESIDENTIAL BUILDING"," ",IF(M49=0," ","High"))</f>
        <v xml:space="preserve"> </v>
      </c>
      <c r="N68" s="313"/>
      <c r="O68" s="313"/>
      <c r="P68" s="300"/>
      <c r="Q68" s="300" t="str">
        <f>IF($Q$49=0," ","High")</f>
        <v xml:space="preserve"> </v>
      </c>
      <c r="R68" s="315" t="str">
        <f>IF($Q$46="RESIDENTIAL BUILDING"," ",IF(R49=0," ", "High"))</f>
        <v xml:space="preserve"> </v>
      </c>
      <c r="S68" s="315"/>
      <c r="T68" s="300" t="str">
        <f>IF($T$49=0," ","High")</f>
        <v xml:space="preserve"> </v>
      </c>
      <c r="U68" s="313"/>
      <c r="V68" s="668"/>
      <c r="W68" s="6"/>
      <c r="X68" s="658" t="s">
        <v>175</v>
      </c>
      <c r="Z68" s="279"/>
    </row>
    <row r="69" spans="1:26" ht="43.5" customHeight="1" thickBot="1" x14ac:dyDescent="0.3">
      <c r="A69" s="282"/>
      <c r="B69" s="253"/>
      <c r="C69" s="997"/>
      <c r="D69" s="664" t="s">
        <v>317</v>
      </c>
      <c r="E69" s="300"/>
      <c r="F69" s="300"/>
      <c r="G69" s="300"/>
      <c r="H69" s="313"/>
      <c r="I69" s="313"/>
      <c r="J69" s="300"/>
      <c r="K69" s="300"/>
      <c r="L69" s="313"/>
      <c r="M69" s="300" t="str">
        <f>IF($Q$46="RESIDENTIAL BUILDING"," ",IF(M49=0," ","High"))</f>
        <v xml:space="preserve"> </v>
      </c>
      <c r="N69" s="313"/>
      <c r="O69" s="313"/>
      <c r="P69" s="300"/>
      <c r="Q69" s="315"/>
      <c r="R69" s="315"/>
      <c r="S69" s="315"/>
      <c r="T69" s="313"/>
      <c r="U69" s="313"/>
      <c r="V69" s="668"/>
      <c r="W69" s="6"/>
      <c r="X69" s="671" t="s">
        <v>175</v>
      </c>
      <c r="Z69" s="342"/>
    </row>
    <row r="70" spans="1:26" ht="35.1" customHeight="1" thickBot="1" x14ac:dyDescent="0.3">
      <c r="A70" s="282"/>
      <c r="B70" s="253"/>
      <c r="C70" s="998"/>
      <c r="D70" s="999" t="s">
        <v>318</v>
      </c>
      <c r="E70" s="999"/>
      <c r="F70" s="999"/>
      <c r="G70" s="999"/>
      <c r="H70" s="999"/>
      <c r="I70" s="999"/>
      <c r="J70" s="999"/>
      <c r="K70" s="999"/>
      <c r="L70" s="999"/>
      <c r="M70" s="999"/>
      <c r="N70" s="999"/>
      <c r="O70" s="999"/>
      <c r="P70" s="999"/>
      <c r="Q70" s="999"/>
      <c r="R70" s="999"/>
      <c r="S70" s="999"/>
      <c r="T70" s="999"/>
      <c r="U70" s="999"/>
      <c r="V70" s="999"/>
      <c r="W70" s="6"/>
      <c r="X70" s="672"/>
      <c r="Z70" s="286"/>
    </row>
    <row r="71" spans="1:26" ht="50.45" customHeight="1" x14ac:dyDescent="0.25">
      <c r="A71" s="282"/>
      <c r="B71" s="253"/>
      <c r="C71" s="998"/>
      <c r="D71" s="673" t="s">
        <v>319</v>
      </c>
      <c r="E71" s="584"/>
      <c r="F71" s="584"/>
      <c r="G71" s="584" t="str">
        <f>IF(G68=490," ",IF(G49="N/A"," ","Low"))</f>
        <v>Low</v>
      </c>
      <c r="H71" s="674"/>
      <c r="I71" s="584"/>
      <c r="J71" s="584"/>
      <c r="K71" s="584"/>
      <c r="L71" s="674"/>
      <c r="M71" s="584"/>
      <c r="N71" s="584"/>
      <c r="O71" s="674"/>
      <c r="P71" s="674"/>
      <c r="Q71" s="584"/>
      <c r="R71" s="584"/>
      <c r="S71" s="584"/>
      <c r="T71" s="584"/>
      <c r="U71" s="584"/>
      <c r="V71" s="675"/>
      <c r="W71" s="6"/>
      <c r="X71" s="676" t="s">
        <v>164</v>
      </c>
      <c r="Z71" s="343"/>
    </row>
    <row r="72" spans="1:26" ht="31.5" customHeight="1" x14ac:dyDescent="0.25">
      <c r="A72" s="282"/>
      <c r="B72" s="253"/>
      <c r="C72" s="998"/>
      <c r="D72" s="677" t="s">
        <v>320</v>
      </c>
      <c r="E72" s="300"/>
      <c r="F72" s="300" t="str">
        <f>IF(F$49=0," ",IF(F$49="N/A"," ","Low"))</f>
        <v xml:space="preserve"> </v>
      </c>
      <c r="G72" s="300" t="str">
        <f>IF(G$49=0," ",IF(G$49="N/A"," ","Low"))</f>
        <v xml:space="preserve"> </v>
      </c>
      <c r="H72" s="315"/>
      <c r="I72" s="300"/>
      <c r="J72" s="300"/>
      <c r="K72" s="300"/>
      <c r="L72" s="315"/>
      <c r="M72" s="300"/>
      <c r="N72" s="300"/>
      <c r="O72" s="315"/>
      <c r="P72" s="300"/>
      <c r="Q72" s="300"/>
      <c r="R72" s="300"/>
      <c r="S72" s="300"/>
      <c r="T72" s="300"/>
      <c r="U72" s="300"/>
      <c r="V72" s="670" t="str">
        <f>IF($Q$46="SCHOOLS","Low"," ")</f>
        <v xml:space="preserve"> </v>
      </c>
      <c r="W72" s="6"/>
      <c r="X72" s="662" t="s">
        <v>179</v>
      </c>
      <c r="Z72" s="279"/>
    </row>
    <row r="73" spans="1:26" ht="32.450000000000003" customHeight="1" x14ac:dyDescent="0.25">
      <c r="A73" s="282"/>
      <c r="B73" s="253"/>
      <c r="C73" s="344"/>
      <c r="D73" s="677" t="s">
        <v>321</v>
      </c>
      <c r="E73" s="300" t="str">
        <f>IF(E$49=0," ",IF(E$49="N/A"," ","High"))</f>
        <v>High</v>
      </c>
      <c r="F73" s="300"/>
      <c r="G73" s="300" t="str">
        <f>IF(G$49=0," ",IF(G$49="N/A"," ","Low"))</f>
        <v xml:space="preserve"> </v>
      </c>
      <c r="H73" s="315"/>
      <c r="I73" s="300"/>
      <c r="J73" s="300"/>
      <c r="K73" s="300"/>
      <c r="L73" s="315"/>
      <c r="M73" s="300"/>
      <c r="N73" s="300"/>
      <c r="O73" s="315"/>
      <c r="P73" s="315"/>
      <c r="Q73" s="300"/>
      <c r="R73" s="300"/>
      <c r="S73" s="300"/>
      <c r="T73" s="300"/>
      <c r="U73" s="300"/>
      <c r="V73" s="670"/>
      <c r="W73" s="6"/>
      <c r="X73" s="662" t="s">
        <v>179</v>
      </c>
      <c r="Z73" s="279"/>
    </row>
    <row r="74" spans="1:26" ht="33.950000000000003" customHeight="1" x14ac:dyDescent="0.25">
      <c r="A74" s="281"/>
      <c r="B74" s="253"/>
      <c r="C74" s="344"/>
      <c r="D74" s="677" t="s">
        <v>322</v>
      </c>
      <c r="E74" s="300" t="str">
        <f>IF(E$49=0," ",IF(E$49="N/A"," ","High"))</f>
        <v>High</v>
      </c>
      <c r="F74" s="300"/>
      <c r="G74" s="300" t="str">
        <f>IF(G$49=0," ",IF(G$49="N/A"," ","High"))</f>
        <v xml:space="preserve"> </v>
      </c>
      <c r="H74" s="315"/>
      <c r="I74" s="300"/>
      <c r="J74" s="300"/>
      <c r="K74" s="300"/>
      <c r="L74" s="315"/>
      <c r="M74" s="300"/>
      <c r="N74" s="300"/>
      <c r="O74" s="315"/>
      <c r="P74" s="315"/>
      <c r="Q74" s="300"/>
      <c r="R74" s="300"/>
      <c r="S74" s="300"/>
      <c r="T74" s="300"/>
      <c r="U74" s="300"/>
      <c r="V74" s="670"/>
      <c r="W74" s="6"/>
      <c r="X74" s="658" t="s">
        <v>175</v>
      </c>
      <c r="Z74" s="279"/>
    </row>
    <row r="75" spans="1:26" ht="59.1" customHeight="1" x14ac:dyDescent="0.25">
      <c r="A75" s="281"/>
      <c r="B75" s="253"/>
      <c r="C75" s="344"/>
      <c r="D75" s="677" t="s">
        <v>323</v>
      </c>
      <c r="E75" s="300" t="str">
        <f>IF(E49=0," ",IF(E49="N/A"," ","Low"))</f>
        <v>Low</v>
      </c>
      <c r="F75" s="300"/>
      <c r="G75" s="300" t="str">
        <f>IF(G49=0," ",IF(G49="N/A"," ","Low"))</f>
        <v xml:space="preserve"> </v>
      </c>
      <c r="H75" s="315"/>
      <c r="I75" s="300"/>
      <c r="J75" s="300"/>
      <c r="K75" s="300"/>
      <c r="L75" s="315"/>
      <c r="M75" s="300"/>
      <c r="N75" s="300"/>
      <c r="O75" s="315"/>
      <c r="P75" s="315"/>
      <c r="Q75" s="300" t="str">
        <f>IF(Q49=0," ",IF(Q49="N/A"," ","Low"))</f>
        <v xml:space="preserve"> </v>
      </c>
      <c r="R75" s="300" t="str">
        <f>IF(R49=0," ",IF(R49="N/A"," ","Low"))</f>
        <v xml:space="preserve"> </v>
      </c>
      <c r="S75" s="300"/>
      <c r="T75" s="300" t="str">
        <f>IF(T49=0," ",IF(T49="N/A"," ","Low"))</f>
        <v xml:space="preserve"> </v>
      </c>
      <c r="U75" s="300"/>
      <c r="V75" s="670"/>
      <c r="W75" s="6"/>
      <c r="X75" s="662" t="s">
        <v>179</v>
      </c>
      <c r="Z75" s="279"/>
    </row>
    <row r="76" spans="1:26" ht="35.1" customHeight="1" x14ac:dyDescent="0.25">
      <c r="A76" s="281"/>
      <c r="B76" s="253"/>
      <c r="C76" s="344"/>
      <c r="D76" s="664" t="s">
        <v>301</v>
      </c>
      <c r="E76" s="300" t="str">
        <f>IF(E49=0," ",IF(E49="N/A"," ","Low"))</f>
        <v>Low</v>
      </c>
      <c r="F76" s="300"/>
      <c r="G76" s="315"/>
      <c r="H76" s="300" t="str">
        <f t="shared" ref="H76:M76" si="4">IF(H49=0," ",IF(H50="N/A"," ","Low"))</f>
        <v xml:space="preserve"> </v>
      </c>
      <c r="I76" s="300" t="str">
        <f t="shared" si="4"/>
        <v xml:space="preserve"> </v>
      </c>
      <c r="J76" s="300" t="str">
        <f t="shared" si="4"/>
        <v xml:space="preserve"> </v>
      </c>
      <c r="K76" s="300" t="str">
        <f t="shared" si="4"/>
        <v xml:space="preserve"> </v>
      </c>
      <c r="L76" s="300" t="str">
        <f t="shared" si="4"/>
        <v xml:space="preserve"> </v>
      </c>
      <c r="M76" s="300" t="str">
        <f t="shared" si="4"/>
        <v xml:space="preserve"> </v>
      </c>
      <c r="N76" s="300"/>
      <c r="O76" s="315"/>
      <c r="P76" s="315"/>
      <c r="Q76" s="300"/>
      <c r="R76" s="300"/>
      <c r="S76" s="300"/>
      <c r="T76" s="300"/>
      <c r="U76" s="300"/>
      <c r="V76" s="670"/>
      <c r="W76" s="6"/>
      <c r="X76" s="662" t="s">
        <v>179</v>
      </c>
      <c r="Z76" s="279"/>
    </row>
    <row r="77" spans="1:26" ht="27.95" customHeight="1" x14ac:dyDescent="0.25">
      <c r="A77" s="281"/>
      <c r="B77" s="253"/>
      <c r="C77" s="344"/>
      <c r="D77" s="677" t="s">
        <v>324</v>
      </c>
      <c r="E77" s="300"/>
      <c r="F77" s="300"/>
      <c r="G77" s="315"/>
      <c r="H77" s="300" t="str">
        <f>IF(H49=0," ",IF(H49="N/A"," ",IF(Q46="Residential Building", " ", "Low")))</f>
        <v xml:space="preserve"> </v>
      </c>
      <c r="I77" s="678"/>
      <c r="J77" s="300"/>
      <c r="K77" s="300"/>
      <c r="L77" s="678"/>
      <c r="M77" s="300"/>
      <c r="N77" s="300"/>
      <c r="O77" s="315"/>
      <c r="P77" s="315"/>
      <c r="Q77" s="300"/>
      <c r="R77" s="300"/>
      <c r="S77" s="300"/>
      <c r="T77" s="300"/>
      <c r="U77" s="300"/>
      <c r="V77" s="670"/>
      <c r="W77" s="6"/>
      <c r="X77" s="658" t="s">
        <v>175</v>
      </c>
      <c r="Z77" s="279"/>
    </row>
    <row r="78" spans="1:26" ht="36.950000000000003" customHeight="1" x14ac:dyDescent="0.25">
      <c r="A78" s="281"/>
      <c r="B78" s="253"/>
      <c r="C78" s="344"/>
      <c r="D78" s="677" t="s">
        <v>325</v>
      </c>
      <c r="E78" s="300" t="str">
        <f>IF(E49=0," ",IF(E49="N/A"," ","Low"))</f>
        <v>Low</v>
      </c>
      <c r="F78" s="300"/>
      <c r="G78" s="300" t="str">
        <f>IF(G49=0," ",IF(G49="N/A"," ","Low"))</f>
        <v xml:space="preserve"> </v>
      </c>
      <c r="H78" s="315"/>
      <c r="I78" s="300"/>
      <c r="J78" s="300"/>
      <c r="K78" s="300"/>
      <c r="L78" s="678"/>
      <c r="M78" s="300"/>
      <c r="N78" s="300"/>
      <c r="O78" s="315"/>
      <c r="P78" s="315"/>
      <c r="Q78" s="300" t="str">
        <f>IF($Q$49=0," ","Low")</f>
        <v xml:space="preserve"> </v>
      </c>
      <c r="R78" s="300" t="str">
        <f>IF($R$49=0," ","Low")</f>
        <v xml:space="preserve"> </v>
      </c>
      <c r="S78" s="300"/>
      <c r="T78" s="300"/>
      <c r="U78" s="300"/>
      <c r="V78" s="670"/>
      <c r="W78" s="6"/>
      <c r="X78" s="662" t="s">
        <v>179</v>
      </c>
      <c r="Z78" s="279"/>
    </row>
    <row r="79" spans="1:26" ht="36.950000000000003" customHeight="1" x14ac:dyDescent="0.25">
      <c r="A79" s="281"/>
      <c r="B79" s="253"/>
      <c r="C79" s="344"/>
      <c r="D79" s="677" t="s">
        <v>326</v>
      </c>
      <c r="E79" s="300" t="str">
        <f>IF(E49=0," ",IF(E49="N/A"," ","Low"))</f>
        <v>Low</v>
      </c>
      <c r="F79" s="301"/>
      <c r="G79" s="300" t="str">
        <f>IF(G49=0," ",IF(G49="N/A"," ","Low"))</f>
        <v xml:space="preserve"> </v>
      </c>
      <c r="H79" s="315"/>
      <c r="I79" s="300"/>
      <c r="J79" s="300"/>
      <c r="K79" s="300"/>
      <c r="L79" s="678"/>
      <c r="M79" s="300"/>
      <c r="N79" s="300"/>
      <c r="O79" s="315"/>
      <c r="P79" s="315"/>
      <c r="Q79" s="300"/>
      <c r="R79" s="300"/>
      <c r="S79" s="300"/>
      <c r="T79" s="300"/>
      <c r="U79" s="300"/>
      <c r="V79" s="670"/>
      <c r="W79" s="6"/>
      <c r="X79" s="662" t="s">
        <v>179</v>
      </c>
      <c r="Z79" s="279"/>
    </row>
    <row r="80" spans="1:26" ht="36.950000000000003" customHeight="1" x14ac:dyDescent="0.25">
      <c r="A80" s="281"/>
      <c r="B80" s="253"/>
      <c r="C80" s="344"/>
      <c r="D80" s="677" t="s">
        <v>327</v>
      </c>
      <c r="E80" s="300" t="str">
        <f>IF(E49=0," ",IF(E49="N/A"," ","Low"))</f>
        <v>Low</v>
      </c>
      <c r="F80" s="301"/>
      <c r="G80" s="300" t="str">
        <f>IF(G49=0," ",IF(G49="N/A"," ","Low"))</f>
        <v xml:space="preserve"> </v>
      </c>
      <c r="H80" s="315"/>
      <c r="I80" s="300"/>
      <c r="J80" s="300"/>
      <c r="K80" s="300"/>
      <c r="L80" s="678"/>
      <c r="M80" s="300"/>
      <c r="N80" s="300"/>
      <c r="O80" s="315"/>
      <c r="P80" s="315"/>
      <c r="Q80" s="300"/>
      <c r="R80" s="300"/>
      <c r="S80" s="300"/>
      <c r="T80" s="300"/>
      <c r="U80" s="300"/>
      <c r="V80" s="670" t="str">
        <f>IF($Q$46="SCHOOLS","Low"," ")</f>
        <v xml:space="preserve"> </v>
      </c>
      <c r="W80" s="6"/>
      <c r="X80" s="662" t="s">
        <v>179</v>
      </c>
      <c r="Z80" s="279"/>
    </row>
    <row r="81" spans="1:26" ht="39.6" customHeight="1" x14ac:dyDescent="0.25">
      <c r="A81" s="281"/>
      <c r="B81" s="253"/>
      <c r="C81" s="344"/>
      <c r="D81" s="677" t="s">
        <v>328</v>
      </c>
      <c r="E81" s="300"/>
      <c r="F81" s="300" t="str">
        <f>IF(F$49=0," ",IF(F$49="N/A"," ","High"))</f>
        <v xml:space="preserve"> </v>
      </c>
      <c r="G81" s="300" t="str">
        <f>IF(G$49=0," ",IF(G$49="N/A"," ","High"))</f>
        <v xml:space="preserve"> </v>
      </c>
      <c r="H81" s="315"/>
      <c r="I81" s="300" t="str">
        <f>IF(I$49=0," ",IF(I$49="N/A"," ","High"))</f>
        <v xml:space="preserve"> </v>
      </c>
      <c r="J81" s="300" t="str">
        <f>IF(J$49=0," ",IF(J$49="N/A"," ","High"))</f>
        <v xml:space="preserve"> </v>
      </c>
      <c r="K81" s="300"/>
      <c r="L81" s="300" t="str">
        <f>IF(L$49=0," ",IF(L$49="N/A"," ","High"))</f>
        <v xml:space="preserve"> </v>
      </c>
      <c r="M81" s="300" t="str">
        <f>IF(M$49=0," ",IF(M$49="N/A"," ","High"))</f>
        <v xml:space="preserve"> </v>
      </c>
      <c r="N81" s="300"/>
      <c r="O81" s="315"/>
      <c r="P81" s="315"/>
      <c r="Q81" s="300" t="str">
        <f>IF($Q$49=0," ","High")</f>
        <v xml:space="preserve"> </v>
      </c>
      <c r="R81" s="300" t="str">
        <f>IF($R$49=0," ","High")</f>
        <v xml:space="preserve"> </v>
      </c>
      <c r="S81" s="300"/>
      <c r="T81" s="300"/>
      <c r="U81" s="300"/>
      <c r="V81" s="670"/>
      <c r="W81" s="6"/>
      <c r="X81" s="662" t="s">
        <v>164</v>
      </c>
      <c r="Z81" s="279"/>
    </row>
    <row r="82" spans="1:26" ht="36" customHeight="1" x14ac:dyDescent="0.25">
      <c r="A82" s="281"/>
      <c r="B82" s="253"/>
      <c r="C82" s="344"/>
      <c r="D82" s="677" t="s">
        <v>329</v>
      </c>
      <c r="E82" s="300" t="str">
        <f>IF(E49=0," ",IF(E49="N/A"," ","Low"))</f>
        <v>Low</v>
      </c>
      <c r="F82" s="301"/>
      <c r="G82" s="300" t="str">
        <f>IF(G49=0," ",IF(G49="N/A"," ","Low"))</f>
        <v xml:space="preserve"> </v>
      </c>
      <c r="H82" s="315"/>
      <c r="I82" s="300"/>
      <c r="J82" s="300"/>
      <c r="K82" s="300"/>
      <c r="L82" s="678"/>
      <c r="M82" s="300"/>
      <c r="N82" s="300"/>
      <c r="O82" s="315"/>
      <c r="P82" s="315"/>
      <c r="Q82" s="300" t="str">
        <f>IF($Q$49=0," ","Low")</f>
        <v xml:space="preserve"> </v>
      </c>
      <c r="R82" s="300" t="str">
        <f>IF($R$49=0," ","Low")</f>
        <v xml:space="preserve"> </v>
      </c>
      <c r="S82" s="300"/>
      <c r="T82" s="300" t="str">
        <f>IF($T$49=0," ","Low")</f>
        <v xml:space="preserve"> </v>
      </c>
      <c r="U82" s="300"/>
      <c r="V82" s="670"/>
      <c r="W82" s="6"/>
      <c r="X82" s="658" t="s">
        <v>175</v>
      </c>
      <c r="Z82" s="279"/>
    </row>
    <row r="83" spans="1:26" ht="44.45" customHeight="1" x14ac:dyDescent="0.25">
      <c r="A83" s="281"/>
      <c r="B83" s="253"/>
      <c r="C83" s="344"/>
      <c r="D83" s="677" t="s">
        <v>330</v>
      </c>
      <c r="E83" s="300"/>
      <c r="F83" s="300"/>
      <c r="G83" s="315"/>
      <c r="H83" s="315"/>
      <c r="I83" s="300"/>
      <c r="J83" s="300"/>
      <c r="K83" s="300"/>
      <c r="L83" s="678"/>
      <c r="M83" s="300"/>
      <c r="N83" s="300"/>
      <c r="O83" s="315"/>
      <c r="P83" s="315"/>
      <c r="Q83" s="300" t="str">
        <f>IF($Q$49=0," ","Low")</f>
        <v xml:space="preserve"> </v>
      </c>
      <c r="R83" s="300" t="str">
        <f>IF($R$49=0," ","Low")</f>
        <v xml:space="preserve"> </v>
      </c>
      <c r="S83" s="300"/>
      <c r="T83" s="300"/>
      <c r="U83" s="300"/>
      <c r="V83" s="670"/>
      <c r="W83" s="6"/>
      <c r="X83" s="662" t="s">
        <v>164</v>
      </c>
      <c r="Z83" s="279"/>
    </row>
    <row r="84" spans="1:26" ht="33.6" customHeight="1" x14ac:dyDescent="0.25">
      <c r="A84" s="281"/>
      <c r="B84" s="253"/>
      <c r="C84" s="344"/>
      <c r="D84" s="677" t="s">
        <v>331</v>
      </c>
      <c r="E84" s="300" t="str">
        <f>IF(E49=0," ",IF(E49="N/A"," ","Low"))</f>
        <v>Low</v>
      </c>
      <c r="F84" s="300" t="str">
        <f>IF(F49=0," ",IF(F49="N/A"," ","Low"))</f>
        <v xml:space="preserve"> </v>
      </c>
      <c r="G84" s="315"/>
      <c r="H84" s="315"/>
      <c r="I84" s="300"/>
      <c r="J84" s="300"/>
      <c r="K84" s="300"/>
      <c r="L84" s="678"/>
      <c r="M84" s="300"/>
      <c r="N84" s="300" t="str">
        <f>IF(N$49=0," ",IF(N$49="N/A"," ","Low"))</f>
        <v xml:space="preserve"> </v>
      </c>
      <c r="O84" s="315"/>
      <c r="P84" s="315"/>
      <c r="Q84" s="300"/>
      <c r="R84" s="300"/>
      <c r="S84" s="300"/>
      <c r="T84" s="300"/>
      <c r="U84" s="300"/>
      <c r="V84" s="670"/>
      <c r="W84" s="6"/>
      <c r="X84" s="662" t="s">
        <v>179</v>
      </c>
      <c r="Z84" s="279"/>
    </row>
    <row r="85" spans="1:26" ht="27.6" customHeight="1" x14ac:dyDescent="0.25">
      <c r="A85" s="281"/>
      <c r="B85" s="253"/>
      <c r="C85" s="344"/>
      <c r="D85" s="677" t="s">
        <v>312</v>
      </c>
      <c r="E85" s="300"/>
      <c r="F85" s="300"/>
      <c r="G85" s="300"/>
      <c r="H85" s="300"/>
      <c r="I85" s="300" t="str">
        <f>IF(I49=0," ",IF(I49="N/A"," ",IF($Q$46="Residential Building"," ", "High")))</f>
        <v xml:space="preserve"> </v>
      </c>
      <c r="J85" s="300" t="str">
        <f>IF(J49=0," ",IF(J49="N/A"," ",IF($Q$46="Residential Building"," ", "High")))</f>
        <v xml:space="preserve"> </v>
      </c>
      <c r="K85" s="300" t="str">
        <f>IF(K49=0," ",IF(K49="N/A"," ",IF($Q$46="Residential Building"," ", "High")))</f>
        <v xml:space="preserve"> </v>
      </c>
      <c r="L85" s="300"/>
      <c r="M85" s="300" t="str">
        <f>IF(M49=0," ",IF(M49="N/A"," ",IF($Q$46="Residential Building"," ", "High")))</f>
        <v xml:space="preserve"> </v>
      </c>
      <c r="N85" s="300" t="str">
        <f>IF(N49=0," ",IF(N49="N/A"," ",IF($Q$46="Residential Building"," ", "High")))</f>
        <v xml:space="preserve"> </v>
      </c>
      <c r="O85" s="315"/>
      <c r="P85" s="315"/>
      <c r="Q85" s="300" t="str">
        <f>IF($Q$49=0," ","High")</f>
        <v xml:space="preserve"> </v>
      </c>
      <c r="R85" s="300" t="str">
        <f>IF($R$49=0," ","High")</f>
        <v xml:space="preserve"> </v>
      </c>
      <c r="S85" s="300" t="str">
        <f>IF($S$49=0," ","High")</f>
        <v xml:space="preserve"> </v>
      </c>
      <c r="T85" s="300" t="str">
        <f>IF($T$49=0," ","High")</f>
        <v xml:space="preserve"> </v>
      </c>
      <c r="U85" s="300" t="str">
        <f>IF($U$49=0," ","High")</f>
        <v xml:space="preserve"> </v>
      </c>
      <c r="V85" s="670"/>
      <c r="W85" s="6"/>
      <c r="X85" s="658" t="s">
        <v>175</v>
      </c>
      <c r="Z85" s="279"/>
    </row>
    <row r="86" spans="1:26" ht="32.1" customHeight="1" x14ac:dyDescent="0.25">
      <c r="A86" s="281"/>
      <c r="B86" s="253"/>
      <c r="C86" s="344"/>
      <c r="D86" s="677" t="s">
        <v>332</v>
      </c>
      <c r="E86" s="300"/>
      <c r="F86" s="300"/>
      <c r="G86" s="315"/>
      <c r="H86" s="315"/>
      <c r="I86" s="300"/>
      <c r="J86" s="300"/>
      <c r="K86" s="300"/>
      <c r="L86" s="300" t="str">
        <f>IF(L49=0," ",IF(L49="N/A"," ","Low"))</f>
        <v xml:space="preserve"> </v>
      </c>
      <c r="M86" s="300"/>
      <c r="N86" s="300"/>
      <c r="O86" s="315"/>
      <c r="P86" s="315"/>
      <c r="Q86" s="300"/>
      <c r="R86" s="300"/>
      <c r="S86" s="300"/>
      <c r="T86" s="300"/>
      <c r="U86" s="300"/>
      <c r="V86" s="670"/>
      <c r="W86" s="6"/>
      <c r="X86" s="662" t="s">
        <v>179</v>
      </c>
      <c r="Z86" s="279"/>
    </row>
    <row r="87" spans="1:26" ht="47.1" customHeight="1" x14ac:dyDescent="0.25">
      <c r="A87" s="281"/>
      <c r="B87" s="253"/>
      <c r="C87" s="344"/>
      <c r="D87" s="677" t="s">
        <v>333</v>
      </c>
      <c r="E87" s="300"/>
      <c r="F87" s="300"/>
      <c r="G87" s="315"/>
      <c r="H87" s="315"/>
      <c r="I87" s="300"/>
      <c r="J87" s="300"/>
      <c r="K87" s="300"/>
      <c r="L87" s="678"/>
      <c r="M87" s="300" t="str">
        <f>IF(M$49=0," ",IF(M$49="N/A"," ","Low"))</f>
        <v xml:space="preserve"> </v>
      </c>
      <c r="N87" s="300"/>
      <c r="O87" s="315"/>
      <c r="P87" s="315"/>
      <c r="Q87" s="300"/>
      <c r="R87" s="300"/>
      <c r="S87" s="300"/>
      <c r="T87" s="300"/>
      <c r="U87" s="300"/>
      <c r="V87" s="670"/>
      <c r="W87" s="6"/>
      <c r="X87" s="662" t="s">
        <v>179</v>
      </c>
      <c r="Z87" s="279"/>
    </row>
    <row r="88" spans="1:26" ht="42" customHeight="1" x14ac:dyDescent="0.25">
      <c r="A88" s="281"/>
      <c r="B88" s="253"/>
      <c r="C88" s="344"/>
      <c r="D88" s="677" t="s">
        <v>334</v>
      </c>
      <c r="E88" s="300"/>
      <c r="F88" s="300" t="str">
        <f>IF(F53=0," ",IF(F53="N/A"," ",IF($Q$46="Residential Building", " ", "Low")))</f>
        <v xml:space="preserve"> </v>
      </c>
      <c r="G88" s="315"/>
      <c r="H88" s="315"/>
      <c r="I88" s="300"/>
      <c r="J88" s="300"/>
      <c r="K88" s="300"/>
      <c r="L88" s="678"/>
      <c r="M88" s="300"/>
      <c r="N88" s="300"/>
      <c r="O88" s="315"/>
      <c r="P88" s="315"/>
      <c r="Q88" s="300"/>
      <c r="R88" s="300"/>
      <c r="S88" s="300"/>
      <c r="T88" s="300"/>
      <c r="U88" s="300"/>
      <c r="V88" s="665" t="str">
        <f>IF(V49=0," ",IF(V49="N/A"," ","Low"))</f>
        <v xml:space="preserve"> </v>
      </c>
      <c r="W88" s="6"/>
      <c r="X88" s="658" t="s">
        <v>175</v>
      </c>
      <c r="Z88" s="279"/>
    </row>
    <row r="89" spans="1:26" ht="36.950000000000003" customHeight="1" x14ac:dyDescent="0.25">
      <c r="A89" s="281"/>
      <c r="B89" s="253"/>
      <c r="C89" s="344"/>
      <c r="D89" s="677" t="s">
        <v>335</v>
      </c>
      <c r="E89" s="300"/>
      <c r="F89" s="300"/>
      <c r="G89" s="315"/>
      <c r="H89" s="315"/>
      <c r="I89" s="300"/>
      <c r="J89" s="300"/>
      <c r="K89" s="300"/>
      <c r="L89" s="300" t="str">
        <f>IF(L$49=0," ",IF(L$49="N/A"," ",IF($Q$46="Residential Building", " ", "High")))</f>
        <v xml:space="preserve"> </v>
      </c>
      <c r="M89" s="300"/>
      <c r="N89" s="300"/>
      <c r="O89" s="315"/>
      <c r="P89" s="315"/>
      <c r="Q89" s="300"/>
      <c r="R89" s="300"/>
      <c r="S89" s="300"/>
      <c r="T89" s="300"/>
      <c r="U89" s="300"/>
      <c r="V89" s="670"/>
      <c r="W89" s="6"/>
      <c r="X89" s="658" t="s">
        <v>175</v>
      </c>
      <c r="Z89" s="279"/>
    </row>
    <row r="90" spans="1:26" ht="36.950000000000003" customHeight="1" thickBot="1" x14ac:dyDescent="0.3">
      <c r="A90" s="281"/>
      <c r="B90" s="253"/>
      <c r="C90" s="344"/>
      <c r="D90" s="679" t="s">
        <v>336</v>
      </c>
      <c r="E90" s="328" t="str">
        <f>IF(E49=0," ",IF(E49="N/A"," ","Low"))</f>
        <v>Low</v>
      </c>
      <c r="F90" s="328" t="str">
        <f>IF(F49=0," ",IF(F49="N/A"," ","Low"))</f>
        <v xml:space="preserve"> </v>
      </c>
      <c r="G90" s="680"/>
      <c r="H90" s="680"/>
      <c r="I90" s="328"/>
      <c r="J90" s="328"/>
      <c r="K90" s="328"/>
      <c r="L90" s="681"/>
      <c r="M90" s="328"/>
      <c r="N90" s="328"/>
      <c r="O90" s="680"/>
      <c r="P90" s="680"/>
      <c r="Q90" s="328"/>
      <c r="R90" s="328"/>
      <c r="S90" s="328"/>
      <c r="T90" s="328"/>
      <c r="U90" s="328"/>
      <c r="V90" s="682" t="str">
        <f>IF(V49=0," ",IF(V49="N/A"," ","Low"))</f>
        <v xml:space="preserve"> </v>
      </c>
      <c r="W90" s="6"/>
      <c r="X90" s="662" t="s">
        <v>179</v>
      </c>
      <c r="Z90" s="284"/>
    </row>
    <row r="91" spans="1:26" ht="33.950000000000003" customHeight="1" thickBot="1" x14ac:dyDescent="0.3">
      <c r="A91" s="281"/>
      <c r="B91" s="253"/>
      <c r="C91" s="344"/>
      <c r="D91" s="321" t="s">
        <v>193</v>
      </c>
      <c r="E91" s="321"/>
      <c r="F91" s="321"/>
      <c r="G91" s="322"/>
      <c r="H91" s="322"/>
      <c r="I91" s="322"/>
      <c r="J91" s="322"/>
      <c r="K91" s="322"/>
      <c r="L91" s="322"/>
      <c r="M91" s="322"/>
      <c r="N91" s="322"/>
      <c r="O91" s="322"/>
      <c r="P91" s="322"/>
      <c r="Q91" s="322"/>
      <c r="R91" s="322"/>
      <c r="S91" s="322"/>
      <c r="T91" s="322"/>
      <c r="U91" s="322"/>
      <c r="V91" s="322"/>
      <c r="W91" s="6"/>
      <c r="X91" s="683"/>
      <c r="Z91" s="286"/>
    </row>
    <row r="92" spans="1:26" ht="36.6" customHeight="1" x14ac:dyDescent="0.25">
      <c r="D92" s="684" t="s">
        <v>337</v>
      </c>
      <c r="E92" s="583"/>
      <c r="F92" s="584" t="str">
        <f>IF(F49=0," ",IF(F49="N/A"," ",IF($Q$46="Residential Building"," ", "High")))</f>
        <v xml:space="preserve"> </v>
      </c>
      <c r="G92" s="584" t="str">
        <f>IF(G49=0," ",IF(G49="N/A"," ",IF($Q$46="Residential Building"," ", "High")))</f>
        <v xml:space="preserve"> </v>
      </c>
      <c r="H92" s="584"/>
      <c r="I92" s="584"/>
      <c r="J92" s="584"/>
      <c r="K92" s="584"/>
      <c r="L92" s="584"/>
      <c r="M92" s="584"/>
      <c r="N92" s="584"/>
      <c r="O92" s="584"/>
      <c r="P92" s="584"/>
      <c r="Q92" s="584"/>
      <c r="R92" s="584"/>
      <c r="S92" s="584"/>
      <c r="T92" s="584"/>
      <c r="U92" s="584"/>
      <c r="V92" s="584"/>
      <c r="W92" s="6"/>
      <c r="X92" s="685" t="s">
        <v>170</v>
      </c>
      <c r="Z92" s="343"/>
    </row>
    <row r="93" spans="1:26" ht="36.950000000000003" customHeight="1" x14ac:dyDescent="0.25">
      <c r="D93" s="677" t="s">
        <v>338</v>
      </c>
      <c r="E93" s="325"/>
      <c r="F93" s="325"/>
      <c r="G93" s="300" t="str">
        <f>IF(G50=0," ",IF(G50="N/A"," ",IF($Q$46="Residential Building"," ", "High")))</f>
        <v xml:space="preserve"> </v>
      </c>
      <c r="H93" s="300"/>
      <c r="I93" s="300"/>
      <c r="J93" s="300"/>
      <c r="K93" s="300"/>
      <c r="L93" s="300"/>
      <c r="M93" s="300"/>
      <c r="N93" s="300"/>
      <c r="O93" s="300"/>
      <c r="P93" s="300"/>
      <c r="Q93" s="300" t="str">
        <f>IF(Q49=0," ",IF(Q49="N/A"," ",IF($Q$46="Residential Building"," ", "High")))</f>
        <v xml:space="preserve"> </v>
      </c>
      <c r="R93" s="300" t="str">
        <f>IF(R50=0," ",IF(R50="N/A"," ",IF($Q$46="Residential Building"," ", "High")))</f>
        <v xml:space="preserve"> </v>
      </c>
      <c r="S93" s="300"/>
      <c r="T93" s="300"/>
      <c r="U93" s="300"/>
      <c r="V93" s="300"/>
      <c r="W93" s="6"/>
      <c r="X93" s="686" t="s">
        <v>170</v>
      </c>
      <c r="Z93" s="279"/>
    </row>
    <row r="94" spans="1:26" ht="28.5" customHeight="1" x14ac:dyDescent="0.25">
      <c r="C94" s="993"/>
      <c r="D94" s="677" t="s">
        <v>339</v>
      </c>
      <c r="E94" s="325"/>
      <c r="F94" s="325"/>
      <c r="G94" s="300"/>
      <c r="H94" s="300"/>
      <c r="I94" s="300"/>
      <c r="J94" s="300"/>
      <c r="K94" s="300"/>
      <c r="L94" s="300"/>
      <c r="M94" s="300"/>
      <c r="N94" s="300"/>
      <c r="O94" s="300" t="str">
        <f>IF(O49=0," ",IF(O49="N/A"," ",IF($Q$46="Residential Building"," ", "High")))</f>
        <v xml:space="preserve"> </v>
      </c>
      <c r="P94" s="300"/>
      <c r="Q94" s="300"/>
      <c r="R94" s="300"/>
      <c r="S94" s="300"/>
      <c r="T94" s="300"/>
      <c r="U94" s="300"/>
      <c r="V94" s="300"/>
      <c r="W94" s="6"/>
      <c r="X94" s="686" t="s">
        <v>170</v>
      </c>
      <c r="Z94" s="279"/>
    </row>
    <row r="95" spans="1:26" ht="28.5" customHeight="1" x14ac:dyDescent="0.25">
      <c r="C95" s="993"/>
      <c r="D95" s="677" t="s">
        <v>340</v>
      </c>
      <c r="E95" s="300" t="str">
        <f>IF(E49=0," ",IF(E49="N/A"," ","Low"))</f>
        <v>Low</v>
      </c>
      <c r="F95" s="325"/>
      <c r="G95" s="300" t="str">
        <f>IF(G49=0," ",IF(G49="N/A"," ","Low"))</f>
        <v xml:space="preserve"> </v>
      </c>
      <c r="H95" s="300"/>
      <c r="I95" s="300"/>
      <c r="J95" s="300"/>
      <c r="K95" s="300"/>
      <c r="L95" s="300"/>
      <c r="M95" s="300"/>
      <c r="N95" s="300"/>
      <c r="O95" s="300"/>
      <c r="P95" s="300"/>
      <c r="Q95" s="300"/>
      <c r="R95" s="300"/>
      <c r="S95" s="300"/>
      <c r="T95" s="300"/>
      <c r="U95" s="300"/>
      <c r="V95" s="300"/>
      <c r="W95" s="6"/>
      <c r="X95" s="686" t="s">
        <v>170</v>
      </c>
      <c r="Z95" s="279"/>
    </row>
    <row r="96" spans="1:26" ht="31.5" customHeight="1" x14ac:dyDescent="0.25">
      <c r="C96" s="993"/>
      <c r="D96" s="687" t="s">
        <v>341</v>
      </c>
      <c r="E96" s="300" t="str">
        <f>IF(E49=0," ",IF(E49="N/A"," ","Low"))</f>
        <v>Low</v>
      </c>
      <c r="F96" s="300" t="str">
        <f>IF(F49=0," ",IF(F49="N/A"," ","Low"))</f>
        <v xml:space="preserve"> </v>
      </c>
      <c r="G96" s="300" t="str">
        <f>IF(G49=0," ",IF(G49="N/A"," ","Low"))</f>
        <v xml:space="preserve"> </v>
      </c>
      <c r="H96" s="300"/>
      <c r="I96" s="300"/>
      <c r="J96" s="300"/>
      <c r="K96" s="300"/>
      <c r="L96" s="300"/>
      <c r="M96" s="300"/>
      <c r="N96" s="300"/>
      <c r="O96" s="300"/>
      <c r="P96" s="300"/>
      <c r="Q96" s="300"/>
      <c r="R96" s="300"/>
      <c r="S96" s="300"/>
      <c r="T96" s="300"/>
      <c r="U96" s="300"/>
      <c r="V96" s="300"/>
      <c r="W96" s="6"/>
      <c r="X96" s="686" t="s">
        <v>170</v>
      </c>
      <c r="Z96" s="279"/>
    </row>
    <row r="97" spans="3:26" ht="36.6" customHeight="1" x14ac:dyDescent="0.25">
      <c r="C97" s="993"/>
      <c r="D97" s="677" t="s">
        <v>342</v>
      </c>
      <c r="E97" s="325"/>
      <c r="F97" s="325"/>
      <c r="G97" s="300"/>
      <c r="H97" s="300"/>
      <c r="I97" s="300" t="str">
        <f>IF(I49=0," ",IF(I49="N/A"," ",IF($Q$46="Residential Building"," ", "High")))</f>
        <v xml:space="preserve"> </v>
      </c>
      <c r="J97" s="300" t="str">
        <f>IF(J49=0," ",IF(J49="N/A"," ",IF($Q$46="Residential Building"," ", "High")))</f>
        <v xml:space="preserve"> </v>
      </c>
      <c r="K97" s="300" t="str">
        <f>IF(K49=0," ",IF(K49="N/A"," ",IF($Q$46="Residential Building"," ", "High")))</f>
        <v xml:space="preserve"> </v>
      </c>
      <c r="L97" s="300"/>
      <c r="M97" s="300"/>
      <c r="N97" s="300"/>
      <c r="O97" s="300"/>
      <c r="P97" s="300"/>
      <c r="Q97" s="300" t="str">
        <f>IF(Q49=0," ",IF(Q49="N/A"," ",IF($Q$46="Residential Building"," ", "High")))</f>
        <v xml:space="preserve"> </v>
      </c>
      <c r="R97" s="300" t="str">
        <f>IF(R49=0," ",IF(R49="N/A"," ",IF($Q$46="Residential Building"," ", "High")))</f>
        <v xml:space="preserve"> </v>
      </c>
      <c r="S97" s="300"/>
      <c r="T97" s="300"/>
      <c r="U97" s="300"/>
      <c r="V97" s="300"/>
      <c r="W97" s="6"/>
      <c r="X97" s="686" t="s">
        <v>170</v>
      </c>
      <c r="Y97" s="188"/>
      <c r="Z97" s="279"/>
    </row>
    <row r="98" spans="3:26" ht="54.95" customHeight="1" x14ac:dyDescent="0.25">
      <c r="C98" s="993"/>
      <c r="D98" s="687" t="s">
        <v>343</v>
      </c>
      <c r="E98" s="325"/>
      <c r="F98" s="325"/>
      <c r="G98" s="300"/>
      <c r="H98" s="300"/>
      <c r="I98" s="300"/>
      <c r="J98" s="300"/>
      <c r="K98" s="300"/>
      <c r="L98" s="300"/>
      <c r="M98" s="300"/>
      <c r="N98" s="300" t="str">
        <f>IF(N49=0," ",IF(N49="N/A"," ",IF($Q$46="Residential Building"," ", "High")))</f>
        <v xml:space="preserve"> </v>
      </c>
      <c r="O98" s="300"/>
      <c r="P98" s="300"/>
      <c r="Q98" s="300"/>
      <c r="R98" s="300"/>
      <c r="S98" s="300"/>
      <c r="T98" s="300"/>
      <c r="U98" s="300"/>
      <c r="V98" s="300"/>
      <c r="W98" s="6"/>
      <c r="X98" s="686" t="s">
        <v>170</v>
      </c>
      <c r="Y98" s="175"/>
      <c r="Z98" s="279"/>
    </row>
    <row r="99" spans="3:26" ht="39.950000000000003" customHeight="1" thickBot="1" x14ac:dyDescent="0.3">
      <c r="C99" s="993"/>
      <c r="D99" s="688" t="s">
        <v>199</v>
      </c>
      <c r="E99" s="327"/>
      <c r="F99" s="328" t="str">
        <f>IF(F49=0," ",IF(F49="N/A"," ",IF($Q$46="Residential Building"," ", "High")))</f>
        <v xml:space="preserve"> </v>
      </c>
      <c r="G99" s="328" t="str">
        <f>IF(G49=0," ",IF(G49="N/A"," ",IF($Q$46="Residential Building"," ", "High")))</f>
        <v xml:space="preserve"> </v>
      </c>
      <c r="H99" s="328"/>
      <c r="I99" s="328"/>
      <c r="J99" s="328"/>
      <c r="K99" s="328"/>
      <c r="L99" s="328"/>
      <c r="M99" s="328"/>
      <c r="N99" s="328"/>
      <c r="O99" s="328"/>
      <c r="P99" s="328"/>
      <c r="Q99" s="328" t="str">
        <f>IF(Q49=0," ",IF(Q49="N/A"," ",IF($Q$46="Residential Building"," ", "High")))</f>
        <v xml:space="preserve"> </v>
      </c>
      <c r="R99" s="328" t="str">
        <f>IF(R49=0," ",IF(R49="N/A"," ",IF($Q$46="Residential Building"," ", "High")))</f>
        <v xml:space="preserve"> </v>
      </c>
      <c r="S99" s="328"/>
      <c r="T99" s="328"/>
      <c r="U99" s="328"/>
      <c r="V99" s="328"/>
      <c r="W99" s="6"/>
      <c r="X99" s="689" t="s">
        <v>175</v>
      </c>
      <c r="Z99" s="284"/>
    </row>
    <row r="100" spans="3:26" ht="38.1" customHeight="1" x14ac:dyDescent="0.25">
      <c r="C100" s="993"/>
    </row>
    <row r="101" spans="3:26" ht="38.450000000000003" customHeight="1" x14ac:dyDescent="0.25">
      <c r="C101" s="993"/>
    </row>
    <row r="102" spans="3:26" ht="56.1" customHeight="1" x14ac:dyDescent="0.25"/>
    <row r="103" spans="3:26" ht="19.5" customHeight="1" x14ac:dyDescent="0.25">
      <c r="D103" s="289"/>
    </row>
    <row r="104" spans="3:26" ht="29.1" customHeight="1" x14ac:dyDescent="0.25">
      <c r="D104" s="289"/>
    </row>
    <row r="105" spans="3:26" ht="33" customHeight="1" x14ac:dyDescent="0.25">
      <c r="D105" s="289"/>
    </row>
  </sheetData>
  <sheetProtection algorithmName="SHA-512" hashValue="JYvaEaNKYKi3jLZiuwGbByJFKycUcc7McvLF/pRTqscM4dWRcrecaIhy/xFnJHFQcsX0ck6UgMpnT3PTEa8xUQ==" saltValue="iY9qZvhge1FXPKmZD6BBIQ==" spinCount="100000" sheet="1" selectLockedCells="1"/>
  <mergeCells count="81">
    <mergeCell ref="O49:O50"/>
    <mergeCell ref="N49:N50"/>
    <mergeCell ref="I49:I50"/>
    <mergeCell ref="J49:J50"/>
    <mergeCell ref="K49:K50"/>
    <mergeCell ref="L49:L50"/>
    <mergeCell ref="M49:M50"/>
    <mergeCell ref="F9:M9"/>
    <mergeCell ref="F24:F25"/>
    <mergeCell ref="F41:F42"/>
    <mergeCell ref="E49:E50"/>
    <mergeCell ref="F49:F50"/>
    <mergeCell ref="G49:G50"/>
    <mergeCell ref="H49:H50"/>
    <mergeCell ref="F48:M48"/>
    <mergeCell ref="J24:J25"/>
    <mergeCell ref="I24:I25"/>
    <mergeCell ref="H24:H25"/>
    <mergeCell ref="E24:E25"/>
    <mergeCell ref="G24:G25"/>
    <mergeCell ref="D12:V12"/>
    <mergeCell ref="Q49:Q50"/>
    <mergeCell ref="R49:R50"/>
    <mergeCell ref="A6:A10"/>
    <mergeCell ref="A11:A14"/>
    <mergeCell ref="A15:A23"/>
    <mergeCell ref="A24:A28"/>
    <mergeCell ref="A29:A32"/>
    <mergeCell ref="A59:A60"/>
    <mergeCell ref="C67:C72"/>
    <mergeCell ref="A41:A44"/>
    <mergeCell ref="A45:A49"/>
    <mergeCell ref="D70:V70"/>
    <mergeCell ref="R41:R42"/>
    <mergeCell ref="M41:M42"/>
    <mergeCell ref="N41:N42"/>
    <mergeCell ref="O41:O42"/>
    <mergeCell ref="P41:P42"/>
    <mergeCell ref="Q41:Q42"/>
    <mergeCell ref="S49:S50"/>
    <mergeCell ref="T49:T50"/>
    <mergeCell ref="U49:U50"/>
    <mergeCell ref="V49:V50"/>
    <mergeCell ref="P49:P50"/>
    <mergeCell ref="C94:C101"/>
    <mergeCell ref="E41:E42"/>
    <mergeCell ref="G41:G42"/>
    <mergeCell ref="H41:H42"/>
    <mergeCell ref="I41:I42"/>
    <mergeCell ref="D49:D50"/>
    <mergeCell ref="C57:C58"/>
    <mergeCell ref="U24:U25"/>
    <mergeCell ref="V41:V42"/>
    <mergeCell ref="A33:A37"/>
    <mergeCell ref="J41:J42"/>
    <mergeCell ref="K41:K42"/>
    <mergeCell ref="L41:L42"/>
    <mergeCell ref="D29:V29"/>
    <mergeCell ref="Q45:V45"/>
    <mergeCell ref="Q46:V46"/>
    <mergeCell ref="N48:P48"/>
    <mergeCell ref="Q48:V48"/>
    <mergeCell ref="U41:U42"/>
    <mergeCell ref="S41:S42"/>
    <mergeCell ref="T41:T42"/>
    <mergeCell ref="Q6:V6"/>
    <mergeCell ref="K24:K25"/>
    <mergeCell ref="L24:L25"/>
    <mergeCell ref="M24:M25"/>
    <mergeCell ref="N24:N25"/>
    <mergeCell ref="O24:O25"/>
    <mergeCell ref="Q7:V7"/>
    <mergeCell ref="R8:V8"/>
    <mergeCell ref="N9:P9"/>
    <mergeCell ref="Q9:V9"/>
    <mergeCell ref="V24:V25"/>
    <mergeCell ref="R24:R25"/>
    <mergeCell ref="S24:S25"/>
    <mergeCell ref="P24:P25"/>
    <mergeCell ref="Q24:Q25"/>
    <mergeCell ref="T24:T25"/>
  </mergeCells>
  <conditionalFormatting sqref="E45:P45 E46:Q47 H59:M59 O59:P59 S59">
    <cfRule type="cellIs" dxfId="106" priority="28" operator="equal">
      <formula>"Medium"</formula>
    </cfRule>
    <cfRule type="cellIs" dxfId="105" priority="29" operator="equal">
      <formula>"Low"</formula>
    </cfRule>
    <cfRule type="cellIs" dxfId="104" priority="30" operator="equal">
      <formula>"High"</formula>
    </cfRule>
  </conditionalFormatting>
  <conditionalFormatting sqref="E10:V10">
    <cfRule type="cellIs" dxfId="103" priority="9" operator="equal">
      <formula>0</formula>
    </cfRule>
  </conditionalFormatting>
  <conditionalFormatting sqref="E11:V11">
    <cfRule type="cellIs" dxfId="102" priority="2" operator="equal">
      <formula>"N/A"</formula>
    </cfRule>
    <cfRule type="cellIs" dxfId="101" priority="3" operator="equal">
      <formula>"Medium"</formula>
    </cfRule>
    <cfRule type="cellIs" dxfId="100" priority="4" operator="equal">
      <formula>"Low"</formula>
    </cfRule>
    <cfRule type="cellIs" dxfId="99" priority="5" operator="equal">
      <formula>"High"</formula>
    </cfRule>
  </conditionalFormatting>
  <conditionalFormatting sqref="E26:V27">
    <cfRule type="cellIs" dxfId="98" priority="12" operator="equal">
      <formula>"N/A"</formula>
    </cfRule>
    <cfRule type="cellIs" dxfId="97" priority="13" operator="equal">
      <formula>"High"</formula>
    </cfRule>
    <cfRule type="cellIs" dxfId="96" priority="14" operator="equal">
      <formula>"Low"</formula>
    </cfRule>
    <cfRule type="cellIs" dxfId="95" priority="15" operator="equal">
      <formula>"Medium"</formula>
    </cfRule>
  </conditionalFormatting>
  <conditionalFormatting sqref="E28:V28">
    <cfRule type="cellIs" dxfId="94" priority="11" operator="equal">
      <formula>"N/A"</formula>
    </cfRule>
    <cfRule type="cellIs" dxfId="93" priority="19" operator="equal">
      <formula>"Medium"</formula>
    </cfRule>
    <cfRule type="cellIs" dxfId="92" priority="20" operator="equal">
      <formula>"Low"</formula>
    </cfRule>
    <cfRule type="cellIs" dxfId="91" priority="21" operator="equal">
      <formula>"High"</formula>
    </cfRule>
  </conditionalFormatting>
  <conditionalFormatting sqref="E43:V44">
    <cfRule type="cellIs" dxfId="90" priority="10" operator="equal">
      <formula>"N/A"</formula>
    </cfRule>
    <cfRule type="cellIs" dxfId="89" priority="16" operator="equal">
      <formula>"High"</formula>
    </cfRule>
    <cfRule type="cellIs" dxfId="88" priority="17" operator="equal">
      <formula>"Medium"</formula>
    </cfRule>
    <cfRule type="cellIs" dxfId="87" priority="18" operator="equal">
      <formula>"Low"</formula>
    </cfRule>
  </conditionalFormatting>
  <conditionalFormatting sqref="E49:V50">
    <cfRule type="cellIs" dxfId="86" priority="1" operator="equal">
      <formula>0</formula>
    </cfRule>
  </conditionalFormatting>
  <conditionalFormatting sqref="H58 L58 N58:P58 V58:V60">
    <cfRule type="cellIs" dxfId="85" priority="25" operator="equal">
      <formula>"High"</formula>
    </cfRule>
    <cfRule type="cellIs" dxfId="84" priority="26" operator="equal">
      <formula>"Medium"</formula>
    </cfRule>
    <cfRule type="cellIs" dxfId="83" priority="27" operator="equal">
      <formula>"Low"</formula>
    </cfRule>
  </conditionalFormatting>
  <conditionalFormatting sqref="Q11:V11">
    <cfRule type="cellIs" dxfId="82" priority="6" operator="equal">
      <formula>"High"</formula>
    </cfRule>
    <cfRule type="cellIs" dxfId="81" priority="7" operator="equal">
      <formula>"Medium"</formula>
    </cfRule>
    <cfRule type="cellIs" dxfId="80" priority="8" operator="equal">
      <formula>"Low"</formula>
    </cfRule>
    <cfRule type="cellIs" dxfId="79" priority="24" operator="equal">
      <formula>"N/A"</formula>
    </cfRule>
  </conditionalFormatting>
  <dataValidations count="1">
    <dataValidation type="list" showInputMessage="1" showErrorMessage="1" sqref="E24:V25 E41:V42" xr:uid="{D2647E6D-CE3F-4DC6-BC38-8510FFCF6D4E}">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C1CF-94CD-4D34-9115-0DCC9DC9ADEB}">
  <sheetPr codeName="Sheet10">
    <tabColor theme="0" tint="-0.499984740745262"/>
  </sheetPr>
  <dimension ref="A2:AE44"/>
  <sheetViews>
    <sheetView zoomScale="70" zoomScaleNormal="70" workbookViewId="0">
      <selection activeCell="W24" sqref="W24"/>
    </sheetView>
  </sheetViews>
  <sheetFormatPr defaultColWidth="9.140625" defaultRowHeight="15" x14ac:dyDescent="0.25"/>
  <cols>
    <col min="1" max="1" width="41.5703125" style="29" customWidth="1"/>
    <col min="2" max="2" width="3.28515625" style="29" customWidth="1"/>
    <col min="3" max="3" width="7.85546875" style="29" customWidth="1"/>
    <col min="4" max="15" width="9.140625" style="29"/>
    <col min="16" max="16" width="8.140625" style="29" customWidth="1"/>
    <col min="17" max="17" width="8.7109375" style="29" customWidth="1"/>
    <col min="18" max="18" width="8.85546875" style="29" customWidth="1"/>
    <col min="19" max="19" width="9.140625" style="29" customWidth="1"/>
    <col min="20" max="20" width="10.5703125" style="29" customWidth="1"/>
    <col min="21" max="21" width="8.85546875" style="29" customWidth="1"/>
    <col min="22" max="22" width="17.28515625" style="29" customWidth="1"/>
    <col min="23" max="23" width="9.140625" style="29"/>
    <col min="24" max="24" width="15.140625" style="29" customWidth="1"/>
    <col min="25" max="16384" width="9.140625" style="29"/>
  </cols>
  <sheetData>
    <row r="2" spans="1:24" ht="28.5" customHeight="1" x14ac:dyDescent="0.3">
      <c r="D2" s="91" t="s">
        <v>344</v>
      </c>
      <c r="E2" s="92"/>
      <c r="F2" s="93"/>
      <c r="G2" s="93"/>
      <c r="H2" s="93"/>
      <c r="I2" s="93"/>
    </row>
    <row r="3" spans="1:24" ht="41.45" customHeight="1" thickBot="1" x14ac:dyDescent="0.5">
      <c r="C3" s="31"/>
      <c r="D3" s="435" t="s">
        <v>345</v>
      </c>
      <c r="E3" s="32"/>
      <c r="F3" s="32"/>
      <c r="G3" s="32"/>
      <c r="H3" s="33"/>
      <c r="I3" s="33"/>
      <c r="J3" s="33"/>
      <c r="K3" s="33"/>
      <c r="L3" s="33"/>
      <c r="M3" s="33"/>
      <c r="N3" s="33"/>
      <c r="O3" s="33"/>
      <c r="P3" s="33"/>
      <c r="Q3" s="33"/>
      <c r="R3" s="33"/>
      <c r="S3" s="33"/>
      <c r="T3" s="33"/>
    </row>
    <row r="4" spans="1:24" ht="11.1" customHeight="1" x14ac:dyDescent="0.45">
      <c r="C4" s="31"/>
      <c r="D4" s="34"/>
      <c r="E4" s="35"/>
      <c r="F4" s="35"/>
      <c r="G4" s="35"/>
    </row>
    <row r="5" spans="1:24" ht="29.45" customHeight="1" x14ac:dyDescent="0.3">
      <c r="A5" s="36"/>
      <c r="B5" s="36"/>
      <c r="C5" s="31"/>
    </row>
    <row r="6" spans="1:24" ht="39.6" customHeight="1" x14ac:dyDescent="0.3">
      <c r="A6" s="1019"/>
      <c r="B6" s="123"/>
      <c r="C6" s="7"/>
      <c r="D6" s="12" t="s">
        <v>346</v>
      </c>
      <c r="E6" s="6"/>
      <c r="F6" s="6"/>
      <c r="G6" s="6"/>
      <c r="H6" s="6"/>
      <c r="I6" s="6"/>
      <c r="J6" s="6"/>
      <c r="K6" s="6"/>
      <c r="L6" s="6"/>
      <c r="M6" s="6"/>
      <c r="N6" s="6"/>
      <c r="O6" s="6"/>
      <c r="P6" s="6"/>
      <c r="Q6" s="6"/>
      <c r="R6" s="6"/>
      <c r="S6" s="6"/>
      <c r="T6" s="6"/>
      <c r="U6" s="6"/>
      <c r="V6" s="458" t="s">
        <v>7</v>
      </c>
    </row>
    <row r="7" spans="1:24" ht="11.45" customHeight="1" x14ac:dyDescent="0.3">
      <c r="A7" s="1019"/>
      <c r="B7" s="123"/>
      <c r="C7" s="7"/>
      <c r="D7" s="12"/>
      <c r="E7" s="6"/>
      <c r="F7" s="6"/>
      <c r="G7" s="6"/>
      <c r="H7" s="6"/>
      <c r="I7" s="6"/>
      <c r="J7" s="6"/>
      <c r="K7" s="6"/>
      <c r="L7" s="6"/>
      <c r="M7" s="6"/>
      <c r="N7" s="6"/>
      <c r="O7" s="6"/>
      <c r="P7" s="6"/>
      <c r="Q7" s="6"/>
      <c r="R7" s="6"/>
      <c r="S7" s="6"/>
      <c r="T7" s="691"/>
      <c r="U7" s="6"/>
    </row>
    <row r="8" spans="1:24" ht="22.5" customHeight="1" x14ac:dyDescent="0.3">
      <c r="A8" s="1019"/>
      <c r="B8" s="123"/>
      <c r="C8" s="692"/>
      <c r="D8" s="1014" t="s">
        <v>8</v>
      </c>
      <c r="E8" s="1014"/>
      <c r="F8" s="1014"/>
      <c r="G8" s="1014"/>
      <c r="H8" s="1014"/>
      <c r="I8" s="1014"/>
      <c r="J8" s="1020" t="s">
        <v>9</v>
      </c>
      <c r="K8" s="1020"/>
      <c r="L8" s="1020"/>
      <c r="M8" s="1020"/>
      <c r="N8" s="1020"/>
      <c r="O8" s="1020"/>
      <c r="P8" s="1020"/>
      <c r="Q8" s="1009" t="s">
        <v>10</v>
      </c>
      <c r="R8" s="1009"/>
      <c r="S8" s="693" t="s">
        <v>11</v>
      </c>
      <c r="T8" s="693" t="s">
        <v>12</v>
      </c>
      <c r="U8" s="693" t="s">
        <v>13</v>
      </c>
      <c r="V8" s="482" t="s">
        <v>14</v>
      </c>
    </row>
    <row r="9" spans="1:24" ht="26.1" customHeight="1" x14ac:dyDescent="0.3">
      <c r="A9" s="1019"/>
      <c r="B9" s="123"/>
      <c r="C9" s="692"/>
      <c r="D9" s="1015"/>
      <c r="E9" s="1015"/>
      <c r="F9" s="1015"/>
      <c r="G9" s="1015"/>
      <c r="H9" s="1015"/>
      <c r="I9" s="1015"/>
      <c r="J9" s="1021"/>
      <c r="K9" s="1021"/>
      <c r="L9" s="1021"/>
      <c r="M9" s="1021"/>
      <c r="N9" s="1021"/>
      <c r="O9" s="1021"/>
      <c r="P9" s="1021"/>
      <c r="Q9" s="1010" t="s">
        <v>15</v>
      </c>
      <c r="R9" s="1010"/>
      <c r="S9" s="694" t="s">
        <v>16</v>
      </c>
      <c r="T9" s="695" t="s">
        <v>17</v>
      </c>
      <c r="U9" s="694" t="s">
        <v>18</v>
      </c>
      <c r="V9" s="483" t="s">
        <v>19</v>
      </c>
    </row>
    <row r="10" spans="1:24" ht="66" customHeight="1" x14ac:dyDescent="0.25">
      <c r="A10" s="1019"/>
      <c r="B10" s="123"/>
      <c r="C10" s="696" t="s">
        <v>20</v>
      </c>
      <c r="D10" s="1018" t="s">
        <v>347</v>
      </c>
      <c r="E10" s="1018"/>
      <c r="F10" s="1018"/>
      <c r="G10" s="1018"/>
      <c r="H10" s="1018"/>
      <c r="I10" s="1018"/>
      <c r="J10" s="1022" t="s">
        <v>348</v>
      </c>
      <c r="K10" s="1022"/>
      <c r="L10" s="1022"/>
      <c r="M10" s="1022"/>
      <c r="N10" s="1022"/>
      <c r="O10" s="1022"/>
      <c r="P10" s="1022"/>
      <c r="Q10" s="1011">
        <v>0</v>
      </c>
      <c r="R10" s="1011"/>
      <c r="S10" s="698">
        <v>1</v>
      </c>
      <c r="T10" s="698">
        <v>2</v>
      </c>
      <c r="U10" s="697">
        <v>3</v>
      </c>
      <c r="V10" s="484"/>
    </row>
    <row r="11" spans="1:24" ht="87.6" customHeight="1" x14ac:dyDescent="0.25">
      <c r="A11" s="1019"/>
      <c r="B11" s="123"/>
      <c r="C11" s="696" t="s">
        <v>21</v>
      </c>
      <c r="D11" s="1018" t="s">
        <v>349</v>
      </c>
      <c r="E11" s="1018"/>
      <c r="F11" s="1018"/>
      <c r="G11" s="1018"/>
      <c r="H11" s="1018"/>
      <c r="I11" s="1018"/>
      <c r="J11" s="1022" t="s">
        <v>350</v>
      </c>
      <c r="K11" s="1022"/>
      <c r="L11" s="1022"/>
      <c r="M11" s="1022"/>
      <c r="N11" s="1022"/>
      <c r="O11" s="1022"/>
      <c r="P11" s="1022"/>
      <c r="Q11" s="1011">
        <v>0</v>
      </c>
      <c r="R11" s="1011"/>
      <c r="S11" s="698">
        <v>1</v>
      </c>
      <c r="T11" s="698">
        <v>2</v>
      </c>
      <c r="U11" s="697">
        <v>3</v>
      </c>
      <c r="V11" s="484"/>
    </row>
    <row r="12" spans="1:24" ht="65.45" customHeight="1" thickBot="1" x14ac:dyDescent="0.3">
      <c r="A12" s="1019"/>
      <c r="B12" s="123"/>
      <c r="C12" s="696" t="s">
        <v>22</v>
      </c>
      <c r="D12" s="1017" t="s">
        <v>351</v>
      </c>
      <c r="E12" s="1017"/>
      <c r="F12" s="1017"/>
      <c r="G12" s="1017"/>
      <c r="H12" s="1017"/>
      <c r="I12" s="1017"/>
      <c r="J12" s="1023" t="s">
        <v>352</v>
      </c>
      <c r="K12" s="1023"/>
      <c r="L12" s="1023"/>
      <c r="M12" s="1023"/>
      <c r="N12" s="1023"/>
      <c r="O12" s="1023"/>
      <c r="P12" s="1023"/>
      <c r="Q12" s="1012">
        <v>0</v>
      </c>
      <c r="R12" s="1012"/>
      <c r="S12" s="699"/>
      <c r="T12" s="699"/>
      <c r="U12" s="700">
        <v>3</v>
      </c>
      <c r="V12" s="486"/>
      <c r="W12" s="51"/>
      <c r="X12" s="51"/>
    </row>
    <row r="13" spans="1:24" ht="30.95" customHeight="1" x14ac:dyDescent="0.25">
      <c r="A13" s="1019"/>
      <c r="B13" s="123"/>
      <c r="C13" s="53"/>
      <c r="U13" s="125"/>
    </row>
    <row r="14" spans="1:24" ht="29.1" customHeight="1" x14ac:dyDescent="0.25">
      <c r="A14" s="123"/>
      <c r="B14" s="123"/>
      <c r="C14" s="53"/>
      <c r="P14" s="124"/>
      <c r="Q14" s="124"/>
      <c r="R14" s="701"/>
      <c r="S14" s="1008" t="s">
        <v>353</v>
      </c>
      <c r="T14" s="1008"/>
      <c r="U14" s="1008"/>
      <c r="V14" s="17" t="e">
        <f>MAX(AVERAGE(V10,V11),V12)</f>
        <v>#DIV/0!</v>
      </c>
    </row>
    <row r="15" spans="1:24" s="51" customFormat="1" ht="27.6" customHeight="1" x14ac:dyDescent="0.25">
      <c r="A15" s="123"/>
      <c r="B15" s="123"/>
      <c r="C15" s="29"/>
      <c r="D15" s="29"/>
      <c r="E15" s="29"/>
      <c r="F15" s="29"/>
      <c r="G15" s="29"/>
      <c r="H15" s="29"/>
      <c r="I15" s="29"/>
      <c r="J15" s="29"/>
      <c r="K15" s="29"/>
      <c r="L15" s="29"/>
      <c r="M15" s="29"/>
      <c r="N15" s="29"/>
      <c r="O15" s="29"/>
      <c r="P15" s="55"/>
      <c r="Q15" s="55"/>
      <c r="R15" s="702"/>
      <c r="S15" s="702"/>
      <c r="T15" s="703"/>
      <c r="U15" s="6"/>
      <c r="V15" s="6"/>
      <c r="W15" s="29"/>
      <c r="X15" s="29"/>
    </row>
    <row r="16" spans="1:24" ht="29.1" customHeight="1" x14ac:dyDescent="0.25">
      <c r="A16" s="54"/>
      <c r="B16" s="54"/>
      <c r="P16" s="481"/>
      <c r="Q16" s="481"/>
      <c r="R16" s="701"/>
      <c r="S16" s="1008" t="s">
        <v>354</v>
      </c>
      <c r="T16" s="1008"/>
      <c r="U16" s="1008"/>
      <c r="V16" s="15" t="e">
        <f>IF(V14&lt;=1,"Low",IF(V14&lt;=2,"Medium","High"))</f>
        <v>#DIV/0!</v>
      </c>
    </row>
    <row r="17" spans="1:31" ht="31.5" customHeight="1" x14ac:dyDescent="0.25">
      <c r="A17" s="59"/>
      <c r="B17" s="59"/>
      <c r="P17" s="124"/>
      <c r="Q17" s="124"/>
      <c r="R17" s="124"/>
      <c r="S17" s="124"/>
      <c r="T17" s="70"/>
      <c r="U17" s="126"/>
    </row>
    <row r="18" spans="1:31" ht="25.5" customHeight="1" x14ac:dyDescent="0.25">
      <c r="A18" s="1013"/>
      <c r="B18" s="63"/>
      <c r="C18" s="74"/>
      <c r="D18" s="830" t="s">
        <v>32</v>
      </c>
      <c r="E18" s="830"/>
      <c r="F18" s="830"/>
      <c r="G18" s="830"/>
      <c r="H18" s="830"/>
      <c r="I18" s="830"/>
      <c r="J18" s="830"/>
      <c r="K18" s="830"/>
      <c r="L18" s="830"/>
      <c r="M18" s="830"/>
      <c r="N18" s="830"/>
      <c r="O18" s="830"/>
      <c r="P18" s="830"/>
      <c r="Q18" s="830"/>
      <c r="R18" s="830"/>
      <c r="S18" s="830"/>
      <c r="T18" s="830"/>
      <c r="U18" s="830"/>
      <c r="V18" s="830"/>
    </row>
    <row r="19" spans="1:31" ht="47.1" customHeight="1" x14ac:dyDescent="0.25">
      <c r="A19" s="1013"/>
      <c r="B19" s="63"/>
      <c r="C19" s="74"/>
      <c r="D19" s="1028" t="s">
        <v>355</v>
      </c>
      <c r="E19" s="1028"/>
      <c r="F19" s="1028"/>
      <c r="G19" s="1028"/>
      <c r="H19" s="1028"/>
      <c r="I19" s="1028"/>
      <c r="J19" s="1028"/>
      <c r="K19" s="1028"/>
      <c r="L19" s="1028"/>
      <c r="M19" s="1028"/>
      <c r="N19" s="1028"/>
      <c r="O19" s="1028"/>
      <c r="P19" s="1028"/>
      <c r="Q19" s="1028"/>
      <c r="R19" s="1028"/>
      <c r="S19" s="1028"/>
      <c r="T19" s="1028"/>
      <c r="U19" s="1028"/>
      <c r="V19" s="1028"/>
    </row>
    <row r="20" spans="1:31" ht="25.5" customHeight="1" x14ac:dyDescent="0.25">
      <c r="A20" s="1013"/>
      <c r="B20" s="63"/>
      <c r="C20" s="74"/>
      <c r="D20" s="105"/>
      <c r="E20" s="105"/>
      <c r="F20" s="105"/>
      <c r="G20" s="105"/>
      <c r="H20" s="105"/>
      <c r="I20" s="105"/>
      <c r="J20" s="105"/>
      <c r="K20" s="105"/>
      <c r="L20" s="105"/>
      <c r="M20" s="105"/>
      <c r="N20" s="105"/>
      <c r="O20" s="105"/>
      <c r="P20" s="105"/>
      <c r="Q20" s="105"/>
      <c r="R20" s="105"/>
      <c r="S20" s="105"/>
      <c r="T20" s="105"/>
    </row>
    <row r="21" spans="1:31" ht="36.6" customHeight="1" x14ac:dyDescent="0.25">
      <c r="A21" s="1013"/>
      <c r="B21" s="63"/>
      <c r="C21" s="6"/>
      <c r="D21" s="957" t="s">
        <v>356</v>
      </c>
      <c r="E21" s="957"/>
      <c r="F21" s="957"/>
      <c r="G21" s="957"/>
      <c r="H21" s="957"/>
      <c r="I21" s="957"/>
      <c r="J21" s="957"/>
      <c r="K21" s="133"/>
      <c r="L21" s="133"/>
      <c r="M21" s="133"/>
      <c r="N21" s="133"/>
      <c r="O21" s="133"/>
      <c r="P21" s="134"/>
      <c r="Q21" s="134"/>
      <c r="R21" s="134"/>
      <c r="S21" s="134"/>
      <c r="T21" s="106"/>
      <c r="U21" s="106"/>
      <c r="V21" s="791" t="s">
        <v>554</v>
      </c>
      <c r="W21" s="106"/>
      <c r="X21" s="106"/>
    </row>
    <row r="22" spans="1:31" ht="21" customHeight="1" thickBot="1" x14ac:dyDescent="0.35">
      <c r="A22" s="1013"/>
      <c r="B22" s="63"/>
      <c r="C22" s="7"/>
      <c r="D22" s="814" t="s">
        <v>8</v>
      </c>
      <c r="E22" s="814"/>
      <c r="F22" s="814"/>
      <c r="G22" s="814"/>
      <c r="H22" s="814"/>
      <c r="I22" s="815"/>
      <c r="J22" s="1029" t="s">
        <v>9</v>
      </c>
      <c r="K22" s="947"/>
      <c r="L22" s="947"/>
      <c r="M22" s="947"/>
      <c r="N22" s="947"/>
      <c r="O22" s="1030"/>
      <c r="P22" s="798" t="s">
        <v>36</v>
      </c>
      <c r="Q22" s="799"/>
      <c r="R22" s="800"/>
      <c r="S22" s="798" t="s">
        <v>37</v>
      </c>
      <c r="T22" s="799"/>
      <c r="U22" s="800"/>
      <c r="V22" s="792" t="s">
        <v>38</v>
      </c>
      <c r="AE22" s="29" t="s">
        <v>33</v>
      </c>
    </row>
    <row r="23" spans="1:31" ht="30" customHeight="1" x14ac:dyDescent="0.3">
      <c r="A23" s="65"/>
      <c r="B23" s="65"/>
      <c r="C23" s="7"/>
      <c r="D23" s="814"/>
      <c r="E23" s="814"/>
      <c r="F23" s="814"/>
      <c r="G23" s="814"/>
      <c r="H23" s="814"/>
      <c r="I23" s="815"/>
      <c r="J23" s="1029"/>
      <c r="K23" s="947"/>
      <c r="L23" s="947"/>
      <c r="M23" s="947"/>
      <c r="N23" s="947"/>
      <c r="O23" s="1030"/>
      <c r="P23" s="446" t="s">
        <v>39</v>
      </c>
      <c r="Q23" s="446" t="s">
        <v>40</v>
      </c>
      <c r="R23" s="446" t="s">
        <v>41</v>
      </c>
      <c r="S23" s="446" t="s">
        <v>39</v>
      </c>
      <c r="T23" s="446" t="s">
        <v>40</v>
      </c>
      <c r="U23" s="447" t="s">
        <v>41</v>
      </c>
      <c r="V23" s="1031"/>
    </row>
    <row r="24" spans="1:31" ht="56.1" customHeight="1" thickBot="1" x14ac:dyDescent="0.3">
      <c r="C24" s="8" t="s">
        <v>23</v>
      </c>
      <c r="D24" s="1026" t="s">
        <v>357</v>
      </c>
      <c r="E24" s="1026"/>
      <c r="F24" s="1026"/>
      <c r="G24" s="1026"/>
      <c r="H24" s="1026"/>
      <c r="I24" s="1026"/>
      <c r="J24" s="1025" t="s">
        <v>358</v>
      </c>
      <c r="K24" s="1025"/>
      <c r="L24" s="1025"/>
      <c r="M24" s="1025"/>
      <c r="N24" s="1025"/>
      <c r="O24" s="1025"/>
      <c r="P24" s="473">
        <v>1</v>
      </c>
      <c r="Q24" s="474">
        <v>0.9</v>
      </c>
      <c r="R24" s="485">
        <v>0.8</v>
      </c>
      <c r="S24" s="473">
        <v>1.2</v>
      </c>
      <c r="T24" s="473">
        <v>1.3</v>
      </c>
      <c r="U24" s="473">
        <v>1.5</v>
      </c>
      <c r="V24" s="789">
        <v>1.3</v>
      </c>
      <c r="W24" s="128"/>
      <c r="X24" s="437"/>
    </row>
    <row r="25" spans="1:31" ht="20.45" customHeight="1" x14ac:dyDescent="0.25">
      <c r="A25" s="65"/>
      <c r="B25" s="65"/>
      <c r="C25" s="918"/>
      <c r="D25" s="129"/>
      <c r="E25" s="129"/>
      <c r="F25" s="129"/>
      <c r="G25" s="129"/>
      <c r="H25" s="129"/>
      <c r="I25" s="129"/>
      <c r="J25" s="110"/>
      <c r="K25" s="110"/>
      <c r="L25" s="110"/>
      <c r="M25" s="110"/>
      <c r="N25" s="110"/>
      <c r="O25" s="110"/>
      <c r="P25" s="111"/>
      <c r="Q25" s="111"/>
      <c r="R25" s="111"/>
      <c r="S25" s="111"/>
      <c r="X25" s="437"/>
    </row>
    <row r="26" spans="1:31" ht="29.1" customHeight="1" x14ac:dyDescent="0.25">
      <c r="C26" s="918"/>
      <c r="D26" s="85"/>
      <c r="E26" s="85"/>
      <c r="F26" s="85"/>
      <c r="G26" s="85"/>
      <c r="H26" s="85"/>
      <c r="I26" s="85"/>
      <c r="J26" s="85"/>
      <c r="K26" s="85"/>
      <c r="L26" s="85"/>
      <c r="M26" s="85"/>
      <c r="N26" s="85"/>
      <c r="O26" s="85"/>
      <c r="Q26" s="72"/>
      <c r="R26" s="72"/>
      <c r="S26" s="600" t="s">
        <v>359</v>
      </c>
      <c r="T26" s="611"/>
      <c r="U26" s="611"/>
      <c r="V26" s="17" t="e">
        <f>IF(V24*V14&gt;3,3,V24*V14)</f>
        <v>#DIV/0!</v>
      </c>
      <c r="W26" s="82"/>
      <c r="X26" s="690" t="e">
        <f>MAX(V26,V14)</f>
        <v>#DIV/0!</v>
      </c>
    </row>
    <row r="27" spans="1:31" ht="14.1" customHeight="1" x14ac:dyDescent="0.25">
      <c r="C27" s="1016"/>
      <c r="D27" s="85"/>
      <c r="E27" s="85"/>
      <c r="F27" s="85"/>
      <c r="G27" s="85"/>
      <c r="H27" s="85"/>
      <c r="I27" s="85"/>
      <c r="J27" s="85"/>
      <c r="K27" s="85"/>
      <c r="L27" s="85"/>
      <c r="M27" s="85"/>
      <c r="N27" s="85"/>
      <c r="O27" s="85"/>
      <c r="P27" s="84"/>
      <c r="Q27" s="84"/>
      <c r="R27" s="84"/>
      <c r="S27" s="445"/>
      <c r="T27" s="6"/>
      <c r="U27" s="704"/>
      <c r="V27" s="6"/>
      <c r="X27" s="437"/>
    </row>
    <row r="28" spans="1:31" ht="29.1" customHeight="1" x14ac:dyDescent="0.25">
      <c r="C28" s="1016"/>
      <c r="D28" s="129"/>
      <c r="E28" s="129"/>
      <c r="F28" s="129"/>
      <c r="G28" s="129"/>
      <c r="H28" s="129"/>
      <c r="I28" s="129"/>
      <c r="J28" s="110"/>
      <c r="K28" s="110"/>
      <c r="L28" s="110"/>
      <c r="M28" s="110"/>
      <c r="N28" s="110"/>
      <c r="O28" s="110"/>
      <c r="P28" s="481"/>
      <c r="Q28" s="481"/>
      <c r="R28" s="481"/>
      <c r="S28" s="1027" t="s">
        <v>360</v>
      </c>
      <c r="T28" s="1027"/>
      <c r="U28" s="1027"/>
      <c r="V28" s="610" t="e">
        <f>IF(V26&lt;=1,"Low",IF(V26&lt;=2,"Medium","High"))</f>
        <v>#DIV/0!</v>
      </c>
      <c r="X28" s="437"/>
    </row>
    <row r="29" spans="1:31" ht="14.45" customHeight="1" x14ac:dyDescent="0.25">
      <c r="C29" s="1016"/>
      <c r="L29" s="48"/>
      <c r="M29" s="127"/>
      <c r="N29" s="127"/>
      <c r="O29" s="127"/>
      <c r="P29" s="102"/>
      <c r="Q29" s="102"/>
      <c r="R29" s="102"/>
      <c r="S29" s="102"/>
      <c r="T29" s="102"/>
      <c r="U29" s="102"/>
      <c r="V29" s="102"/>
      <c r="W29" s="102"/>
      <c r="X29" s="102"/>
    </row>
    <row r="30" spans="1:31" ht="13.5" customHeight="1" x14ac:dyDescent="0.25">
      <c r="C30" s="1016"/>
      <c r="D30" s="37"/>
    </row>
    <row r="31" spans="1:31" ht="30" customHeight="1" x14ac:dyDescent="0.25">
      <c r="A31" s="130"/>
      <c r="B31" s="130"/>
      <c r="C31" s="74"/>
    </row>
    <row r="32" spans="1:31" ht="24" customHeight="1" x14ac:dyDescent="0.25"/>
    <row r="33" spans="3:20" ht="15" customHeight="1" x14ac:dyDescent="0.25"/>
    <row r="34" spans="3:20" ht="20.45" customHeight="1" x14ac:dyDescent="0.25">
      <c r="C34" s="47"/>
    </row>
    <row r="35" spans="3:20" ht="20.100000000000001" customHeight="1" x14ac:dyDescent="0.25">
      <c r="C35" s="131"/>
    </row>
    <row r="36" spans="3:20" ht="48" customHeight="1" x14ac:dyDescent="0.25"/>
    <row r="37" spans="3:20" ht="14.45" customHeight="1" x14ac:dyDescent="0.25"/>
    <row r="38" spans="3:20" ht="14.45" customHeight="1" x14ac:dyDescent="0.25"/>
    <row r="39" spans="3:20" ht="23.45" customHeight="1" x14ac:dyDescent="0.25">
      <c r="D39" s="1024"/>
      <c r="E39" s="1024"/>
      <c r="F39" s="1024"/>
      <c r="G39" s="1024"/>
      <c r="H39" s="1024"/>
      <c r="I39" s="1024"/>
      <c r="J39" s="1024"/>
      <c r="K39" s="1024"/>
      <c r="L39" s="1024"/>
      <c r="M39" s="1024"/>
      <c r="N39" s="1024"/>
      <c r="O39" s="1024"/>
      <c r="P39" s="132"/>
      <c r="Q39" s="132"/>
      <c r="R39" s="132"/>
      <c r="S39" s="132"/>
      <c r="T39" s="132"/>
    </row>
    <row r="40" spans="3:20" ht="71.099999999999994" customHeight="1" x14ac:dyDescent="0.25"/>
    <row r="41" spans="3:20" ht="32.450000000000003" customHeight="1" x14ac:dyDescent="0.25"/>
    <row r="42" spans="3:20" ht="54.6" customHeight="1" x14ac:dyDescent="0.25"/>
    <row r="44" spans="3:20" ht="29.25" customHeight="1" x14ac:dyDescent="0.25"/>
  </sheetData>
  <sheetProtection algorithmName="SHA-512" hashValue="mbcAZ/f1pSWfLdXhxGuwUA5pOpFAi+WF8bsZE5MdumlI55O+NN1QPIIhPjoExUsq6ZbL+9B0mj0da3C4tJ4LQQ==" saltValue="n7cX3StU3sp3dS7v06juwA==" spinCount="100000" sheet="1" selectLockedCells="1"/>
  <mergeCells count="33">
    <mergeCell ref="D39:O39"/>
    <mergeCell ref="J24:O24"/>
    <mergeCell ref="D24:I24"/>
    <mergeCell ref="S28:U28"/>
    <mergeCell ref="D18:V18"/>
    <mergeCell ref="D19:V19"/>
    <mergeCell ref="P22:R22"/>
    <mergeCell ref="D22:I23"/>
    <mergeCell ref="J22:O23"/>
    <mergeCell ref="V22:V23"/>
    <mergeCell ref="S22:U22"/>
    <mergeCell ref="A20:A22"/>
    <mergeCell ref="D8:I9"/>
    <mergeCell ref="C25:C30"/>
    <mergeCell ref="D21:J21"/>
    <mergeCell ref="A18:A19"/>
    <mergeCell ref="D12:I12"/>
    <mergeCell ref="D11:I11"/>
    <mergeCell ref="D10:I10"/>
    <mergeCell ref="A12:A13"/>
    <mergeCell ref="A6:A9"/>
    <mergeCell ref="A10:A11"/>
    <mergeCell ref="J8:P9"/>
    <mergeCell ref="J10:P10"/>
    <mergeCell ref="J11:P11"/>
    <mergeCell ref="J12:P12"/>
    <mergeCell ref="S16:U16"/>
    <mergeCell ref="S14:U14"/>
    <mergeCell ref="Q8:R8"/>
    <mergeCell ref="Q9:R9"/>
    <mergeCell ref="Q10:R10"/>
    <mergeCell ref="Q11:R11"/>
    <mergeCell ref="Q12:R12"/>
  </mergeCells>
  <conditionalFormatting sqref="V16 T17">
    <cfRule type="cellIs" dxfId="78" priority="21" operator="equal">
      <formula>"Low"</formula>
    </cfRule>
    <cfRule type="cellIs" dxfId="77" priority="22" operator="equal">
      <formula>"Medium"</formula>
    </cfRule>
    <cfRule type="cellIs" dxfId="76" priority="23" operator="equal">
      <formula>"High"</formula>
    </cfRule>
  </conditionalFormatting>
  <conditionalFormatting sqref="V28">
    <cfRule type="cellIs" dxfId="75" priority="1" operator="equal">
      <formula>"Low"</formula>
    </cfRule>
    <cfRule type="cellIs" dxfId="74" priority="2" operator="equal">
      <formula>"Medium"</formula>
    </cfRule>
    <cfRule type="cellIs" dxfId="73" priority="3" operator="equal">
      <formula>"High"</formula>
    </cfRule>
  </conditionalFormatting>
  <dataValidations count="3">
    <dataValidation type="list" allowBlank="1" showInputMessage="1" showErrorMessage="1" sqref="V24" xr:uid="{4E17AC2D-1245-4F1D-A16C-8E30E7CE28AB}">
      <formula1>"0.8, 0.9,1,1.2,1.3,1.5"</formula1>
    </dataValidation>
    <dataValidation type="list" allowBlank="1" showInputMessage="1" showErrorMessage="1" sqref="V10:V11" xr:uid="{2B192820-8FF3-4AE6-9532-E52AE619CF32}">
      <formula1>"0,1,2,3"</formula1>
    </dataValidation>
    <dataValidation type="list" allowBlank="1" showInputMessage="1" showErrorMessage="1" sqref="V12" xr:uid="{F888F79F-B4BB-46E5-A895-7B0918C5F243}">
      <formula1>"0,3"</formula1>
    </dataValidation>
  </dataValidations>
  <pageMargins left="0.7" right="0.7" top="0.75" bottom="0.75" header="0.3" footer="0.3"/>
  <headerFooter>
    <oddHeader>&amp;C&amp;"Calibri"&amp;10&amp;K808080 Corporate Use&amp;1#_x000D_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00FD-D2F7-46F3-8625-4E1063C811F5}">
  <sheetPr codeName="Sheet11">
    <tabColor theme="0" tint="-0.499984740745262"/>
  </sheetPr>
  <dimension ref="A2:AG31"/>
  <sheetViews>
    <sheetView zoomScale="70" zoomScaleNormal="70" workbookViewId="0">
      <selection activeCell="O13" sqref="O13:P13"/>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1" width="40.140625" style="29" customWidth="1"/>
    <col min="12" max="13" width="15.42578125" style="29" customWidth="1"/>
    <col min="14" max="14" width="1" style="29" customWidth="1"/>
    <col min="15" max="15" width="35.5703125" style="29" customWidth="1"/>
    <col min="16" max="16" width="35" style="29" customWidth="1"/>
    <col min="17" max="17" width="1.140625" style="29" customWidth="1"/>
    <col min="18" max="18" width="17.710937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49" t="s">
        <v>344</v>
      </c>
      <c r="C2" s="849"/>
      <c r="D2" s="849"/>
      <c r="E2" s="849"/>
      <c r="S2" s="73"/>
    </row>
    <row r="3" spans="1:33" ht="41.45" customHeight="1" thickBot="1" x14ac:dyDescent="0.5">
      <c r="A3" s="548"/>
      <c r="B3" s="435" t="s">
        <v>85</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74.099999999999994" customHeight="1" x14ac:dyDescent="0.3">
      <c r="A5" s="140"/>
      <c r="C5" s="37"/>
      <c r="D5" s="37"/>
      <c r="E5" s="549" t="s">
        <v>86</v>
      </c>
      <c r="F5" s="141"/>
      <c r="G5" s="756" t="str">
        <f>'Water_Soil-Step 2'!G5</f>
        <v>Small Residential/Office/Shop</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3" ht="18.600000000000001" customHeight="1" x14ac:dyDescent="0.25">
      <c r="A6" s="851"/>
      <c r="B6" s="38"/>
      <c r="C6" s="139"/>
      <c r="D6" s="139"/>
      <c r="H6" s="411"/>
    </row>
    <row r="7" spans="1:33" ht="48.6" customHeight="1" x14ac:dyDescent="0.25">
      <c r="A7" s="851"/>
      <c r="B7" s="37" t="s">
        <v>361</v>
      </c>
      <c r="D7" s="37"/>
      <c r="T7" s="143"/>
      <c r="U7" s="143"/>
      <c r="AG7" s="143"/>
    </row>
    <row r="8" spans="1:33" ht="19.5" customHeight="1" x14ac:dyDescent="0.25">
      <c r="A8" s="851"/>
      <c r="B8" s="543" t="s">
        <v>89</v>
      </c>
      <c r="C8" s="543"/>
      <c r="D8" s="543"/>
      <c r="E8" s="543"/>
      <c r="F8" s="52"/>
      <c r="G8" s="852" t="s">
        <v>362</v>
      </c>
      <c r="H8" s="852"/>
      <c r="I8" s="852"/>
      <c r="J8" s="852"/>
      <c r="K8" s="852"/>
      <c r="L8" s="852"/>
      <c r="M8" s="144"/>
      <c r="N8" s="85"/>
      <c r="O8" s="145" t="s">
        <v>363</v>
      </c>
      <c r="P8" s="146"/>
      <c r="Q8" s="106"/>
      <c r="R8" s="853" t="s">
        <v>92</v>
      </c>
      <c r="S8" s="853"/>
      <c r="U8" s="872"/>
      <c r="V8" s="872"/>
      <c r="W8" s="872"/>
      <c r="X8" s="872"/>
      <c r="Y8" s="872"/>
      <c r="Z8" s="872"/>
      <c r="AA8" s="147"/>
      <c r="AB8" s="85"/>
      <c r="AC8" s="106"/>
      <c r="AD8" s="106"/>
      <c r="AE8" s="794"/>
      <c r="AF8" s="794"/>
    </row>
    <row r="9" spans="1:33" ht="44.45" customHeight="1" x14ac:dyDescent="0.25">
      <c r="A9" s="851"/>
      <c r="B9" s="863" t="s">
        <v>93</v>
      </c>
      <c r="C9" s="863"/>
      <c r="D9" s="740"/>
      <c r="E9" s="177"/>
      <c r="F9" s="52"/>
      <c r="G9" s="864" t="s">
        <v>94</v>
      </c>
      <c r="H9" s="864"/>
      <c r="I9" s="864"/>
      <c r="J9" s="864"/>
      <c r="K9" s="864"/>
      <c r="L9" s="193"/>
      <c r="M9" s="193"/>
      <c r="N9" s="85"/>
      <c r="O9" s="865" t="s">
        <v>95</v>
      </c>
      <c r="P9" s="865"/>
      <c r="Q9" s="201"/>
      <c r="R9" s="113"/>
      <c r="S9" s="113"/>
      <c r="U9" s="147"/>
      <c r="V9" s="147"/>
      <c r="W9" s="147"/>
      <c r="X9" s="147"/>
      <c r="Y9" s="147"/>
      <c r="Z9" s="147"/>
      <c r="AA9" s="147"/>
      <c r="AB9" s="85"/>
      <c r="AC9" s="106"/>
      <c r="AD9" s="106"/>
      <c r="AE9" s="56"/>
      <c r="AF9" s="56"/>
    </row>
    <row r="10" spans="1:33" ht="27" customHeight="1" x14ac:dyDescent="0.25">
      <c r="A10" s="851"/>
      <c r="B10" s="863"/>
      <c r="C10" s="863"/>
      <c r="D10" s="740"/>
      <c r="E10" s="189"/>
      <c r="G10" s="95" t="s">
        <v>96</v>
      </c>
      <c r="H10" s="95" t="s">
        <v>97</v>
      </c>
      <c r="I10" s="95" t="s">
        <v>98</v>
      </c>
      <c r="J10" s="95" t="s">
        <v>99</v>
      </c>
      <c r="K10" s="95" t="s">
        <v>100</v>
      </c>
      <c r="L10" s="148"/>
      <c r="M10" s="148"/>
      <c r="N10" s="148"/>
      <c r="O10" s="95" t="s">
        <v>101</v>
      </c>
      <c r="P10" s="95" t="s">
        <v>102</v>
      </c>
      <c r="Q10" s="95"/>
      <c r="R10" s="6"/>
      <c r="S10" s="6"/>
      <c r="U10" s="95"/>
      <c r="V10" s="95"/>
      <c r="W10" s="95"/>
      <c r="X10" s="95"/>
      <c r="Y10" s="95"/>
      <c r="Z10" s="148"/>
      <c r="AA10" s="148"/>
      <c r="AB10" s="148"/>
      <c r="AC10" s="95"/>
      <c r="AD10" s="95"/>
    </row>
    <row r="11" spans="1:33" ht="73.5" customHeight="1" x14ac:dyDescent="0.3">
      <c r="A11" s="866"/>
      <c r="B11" s="868"/>
      <c r="C11" s="869"/>
      <c r="D11" s="552"/>
      <c r="E11" s="553"/>
      <c r="F11" s="156"/>
      <c r="G11" s="194" t="str">
        <f>IF(G5="Small Residential/Office/Shop", "Based on past experience, is the building expected to remain functional or (sustain minor damage) when exposed to extreme wind gusts1?", "Based on past experience, is the building component expected to remain functional or (sustain minor damage) when exposed to extreme wind gusts1?")</f>
        <v>Based on past experience, is the building expected to remain functional or (sustain minor damage) when exposed to extreme wind gusts1?</v>
      </c>
      <c r="H11" s="186" t="str">
        <f>IF(G5="Small Residential/Office/Shop", "Can the building  design withstand increased wind loads?", "Has the component (or its constituents) been designed to withstand increased wind loads?")</f>
        <v>Can the building  design withstand increased wind loads?</v>
      </c>
      <c r="I11" s="186" t="str">
        <f>IF(G5="Small Residential/Office/Shop"," Is the building exterior protected from extreme gusts (e.g. wind-blocking trees, artificial wind barriers, protective facades etc)?", "Is the component wind-protected? Answer yes for indoor components or for exterior components housed in wind/debris-resistant enclosures (e.g. HVAC units).")</f>
        <v xml:space="preserve"> Is the building exterior protected from extreme gusts (e.g. wind-blocking trees, artificial wind barriers, protective facades etc)?</v>
      </c>
      <c r="J11" s="186" t="str">
        <f>IF(G5="Small Residential/Office/Shop","Is the building elements wind-proof (e.g., metal roof, hurricane resistant storm glasses)","Is the component (or its constituents) wind-proof (i.e., is not the slender or light-weight and does is not comprised of thin columns or plates)?")</f>
        <v>Is the building elements wind-proof (e.g., metal roof, hurricane resistant storm glasses)</v>
      </c>
      <c r="K11" s="186" t="str">
        <f>IF(G5="Small Residential/Office/Shop", "Are all external fixtures and equipment safely fixed?", "Is the component (or its constituents) safely fixed? This applies to external features (e.g., roof cladding, canopies) that may be uplifted if their fixity breaks.")</f>
        <v>Are all external fixtures and equipment safely fixed?</v>
      </c>
      <c r="L11" s="178" t="s">
        <v>103</v>
      </c>
      <c r="M11" s="179" t="s">
        <v>104</v>
      </c>
      <c r="N11" s="148"/>
      <c r="O11" s="594" t="s">
        <v>105</v>
      </c>
      <c r="P11" s="594" t="s">
        <v>364</v>
      </c>
      <c r="Q11" s="149"/>
      <c r="R11" s="180" t="s">
        <v>106</v>
      </c>
      <c r="S11" s="181" t="s">
        <v>107</v>
      </c>
      <c r="U11" s="150"/>
      <c r="V11" s="150"/>
      <c r="W11" s="150"/>
      <c r="X11" s="150"/>
      <c r="Y11" s="150"/>
      <c r="Z11" s="150"/>
      <c r="AA11" s="49"/>
      <c r="AB11" s="148"/>
      <c r="AC11" s="149"/>
      <c r="AD11" s="149"/>
      <c r="AE11" s="151"/>
      <c r="AF11" s="151"/>
    </row>
    <row r="12" spans="1:33" ht="59.1" customHeight="1" x14ac:dyDescent="0.25">
      <c r="A12" s="867"/>
      <c r="B12" s="870" t="s">
        <v>108</v>
      </c>
      <c r="C12" s="871"/>
      <c r="D12" s="554" t="s">
        <v>109</v>
      </c>
      <c r="E12" s="555" t="s">
        <v>110</v>
      </c>
      <c r="F12" s="156"/>
      <c r="G12" s="182" t="s">
        <v>111</v>
      </c>
      <c r="H12" s="182" t="s">
        <v>111</v>
      </c>
      <c r="I12" s="182" t="s">
        <v>111</v>
      </c>
      <c r="J12" s="182" t="str">
        <f>IF(G5="Small Residential/Office/Shop", " [0: Yes | 3: No]","[0: Yes | 3: No]")</f>
        <v xml:space="preserve"> [0: Yes | 3: No]</v>
      </c>
      <c r="K12" s="152" t="s">
        <v>365</v>
      </c>
      <c r="L12" s="182" t="s">
        <v>112</v>
      </c>
      <c r="M12" s="183" t="s">
        <v>113</v>
      </c>
      <c r="N12" s="107"/>
      <c r="O12" s="195" t="s">
        <v>114</v>
      </c>
      <c r="P12" s="195" t="s">
        <v>366</v>
      </c>
      <c r="Q12" s="153"/>
      <c r="R12" s="184" t="s">
        <v>14</v>
      </c>
      <c r="S12" s="185" t="s">
        <v>113</v>
      </c>
      <c r="U12" s="154"/>
      <c r="V12" s="154"/>
      <c r="W12" s="155"/>
      <c r="X12" s="154"/>
      <c r="Y12" s="154"/>
      <c r="Z12" s="154"/>
      <c r="AA12" s="154"/>
      <c r="AB12" s="107"/>
      <c r="AC12" s="153"/>
      <c r="AD12" s="153"/>
      <c r="AE12" s="154"/>
      <c r="AF12" s="154"/>
    </row>
    <row r="13" spans="1:33" ht="102" customHeight="1" x14ac:dyDescent="0.25">
      <c r="A13" s="854"/>
      <c r="B13" s="638"/>
      <c r="C13" s="550" t="str">
        <f>IF($G$5=Φύλλο2!$A$2,Φύλλο2!A3,IF($G$5=Φύλλο2!$A$22,Φύλλο2!A23,IF($G$5=Φύλλο2!$A$42,Φύλλο2!A43, IF($G$5=Φύλλο2!$A$62,Φύλλο2!A63,Φύλλο2!A83))))</f>
        <v>ALL COMPONENTS - Simplified assessment</v>
      </c>
      <c r="D13" s="633" t="s">
        <v>116</v>
      </c>
      <c r="E13" s="551" t="str">
        <f>IF($G$5=Φύλλο2!$A$2,Φύλλο2!C3,IF($G$5=Φύλλο2!$A$22,Φύλλο2!C23,IF($G$5=Φύλλο2!$A$42,Φύλλο2!C43, IF($G$5=Φύλλο2!$A$62,Φύλλο2!C63,Φύλλο2!C83))))</f>
        <v xml:space="preserve">Damages on the exterior (lifting of the roof, broken windows) or even total destruction; Power losses, malfunction of sensitive electronic devices (TV, computers, IT routers) caused by sudden power surges; unmounting/overturning of exterior AC units, unrooting of trees in the building exterior, risk of accidents from flying debris. </v>
      </c>
      <c r="F13" s="156"/>
      <c r="G13" s="635"/>
      <c r="H13" s="635"/>
      <c r="I13" s="635"/>
      <c r="J13" s="635"/>
      <c r="K13" s="635"/>
      <c r="L13" s="200" t="e">
        <f>IF(C13="N/A","N/A",IF(D13="N/A","N/A",IF(E13="N/A","N/A",AVERAGE(G13:K13))))</f>
        <v>#DIV/0!</v>
      </c>
      <c r="M13" s="176" t="e">
        <f>IF(L13="N/A","N/A",IF(L13&lt;=1,"Low",IF(L13&lt;=2,"Medium","High")))</f>
        <v>#DIV/0!</v>
      </c>
      <c r="N13" s="107"/>
      <c r="O13" s="758"/>
      <c r="P13" s="758"/>
      <c r="Q13" s="153"/>
      <c r="R13" s="202" t="e">
        <f>IF(L13="N/A","N/A",L13-L13*(O13/3))</f>
        <v>#DIV/0!</v>
      </c>
      <c r="S13" s="176" t="e">
        <f>IF(R13="N/A","N/A",IF(R13&lt;=1,"Low",IF(R13&lt;=2,"Medium","High")))</f>
        <v>#DIV/0!</v>
      </c>
      <c r="U13" s="196"/>
      <c r="V13" s="108"/>
      <c r="W13" s="108"/>
      <c r="X13" s="108"/>
      <c r="Y13" s="108"/>
      <c r="Z13" s="108"/>
      <c r="AA13" s="108"/>
      <c r="AB13" s="107"/>
      <c r="AC13" s="108"/>
      <c r="AD13" s="153"/>
      <c r="AE13" s="108"/>
      <c r="AF13" s="108"/>
    </row>
    <row r="14" spans="1:33"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IF($G$5=Φύλλο2!$A$2,Φύλλο2!C4,IF($G$5=Φύλλο2!$A$22,Φύλλο2!C24,IF($G$5=Φύλλο2!$A$42,Φύλλο2!C44, IF($G$5=Φύλλο2!$A$62,Φύλλο2!C64,Φύλλο2!C84))))</f>
        <v>0</v>
      </c>
      <c r="F14" s="162"/>
      <c r="G14" s="158"/>
      <c r="H14" s="158"/>
      <c r="I14" s="163"/>
      <c r="J14" s="159"/>
      <c r="K14" s="635"/>
      <c r="L14" s="200" t="str">
        <f>IF(D14="N/A","N/A",IF(C14=0,"N/A",IF(E14="N/A","N/A",AVERAGE(G14:H14,J14:K14))))</f>
        <v>N/A</v>
      </c>
      <c r="M14" s="176" t="str">
        <f t="shared" ref="M14:M30" si="0">IF(L14="N/A","N/A",IF(L14&lt;=1,"Low",IF(L14&lt;=2,"Medium","High")))</f>
        <v>N/A</v>
      </c>
      <c r="N14" s="111"/>
      <c r="O14" s="159"/>
      <c r="P14" s="161"/>
      <c r="Q14" s="164"/>
      <c r="R14" s="202" t="str">
        <f>IF(L14="N/A","N/A",L14-L14*(AVERAGE(O14:P14)/3))</f>
        <v>N/A</v>
      </c>
      <c r="S14" s="176" t="str">
        <f>IF(R14="N/A","N/A",IF(R14&lt;=1,"Low",IF(R14&lt;=2,"Medium","High")))</f>
        <v>N/A</v>
      </c>
      <c r="U14" s="108"/>
      <c r="V14" s="108"/>
      <c r="W14" s="108"/>
      <c r="X14" s="108"/>
      <c r="Y14" s="108"/>
      <c r="Z14" s="108"/>
      <c r="AA14" s="108"/>
      <c r="AC14" s="108"/>
      <c r="AD14" s="111"/>
      <c r="AE14" s="108"/>
      <c r="AF14" s="108"/>
    </row>
    <row r="15" spans="1:33" ht="47.1"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IF($G$5=Φύλλο2!$A$2,Φύλλο2!C5,IF($G$5=Φύλλο2!$A$22,Φύλλο2!C25,IF($G$5=Φύλλο2!$A$42,Φύλλο2!C45, IF($G$5=Φύλλο2!$A$62,Φύλλο2!C65,Φύλλο2!C85))))</f>
        <v>0</v>
      </c>
      <c r="F15" s="165"/>
      <c r="G15" s="159"/>
      <c r="H15" s="159"/>
      <c r="I15" s="163"/>
      <c r="J15" s="159"/>
      <c r="K15" s="635"/>
      <c r="L15" s="200" t="str">
        <f>IF(D15="N/A","N/A",IF(C15=0,"N/A",IF(E15="N/A","N/A",AVERAGE(G15:H15,J15:K15))))</f>
        <v>N/A</v>
      </c>
      <c r="M15" s="176" t="str">
        <f t="shared" si="0"/>
        <v>N/A</v>
      </c>
      <c r="N15" s="111"/>
      <c r="O15" s="159"/>
      <c r="P15" s="161"/>
      <c r="Q15" s="164"/>
      <c r="R15" s="202" t="str">
        <f>IF(L15="N/A","N/A",L15-L15*(AVERAGE(O15:P15)/3))</f>
        <v>N/A</v>
      </c>
      <c r="S15" s="176" t="str">
        <f t="shared" ref="S15:S30" si="1">IF(R15="N/A","N/A",IF(R15&lt;=1,"Low",IF(R15&lt;=2,"Medium","High")))</f>
        <v>N/A</v>
      </c>
      <c r="U15" s="108"/>
      <c r="V15" s="108"/>
      <c r="W15" s="108"/>
      <c r="X15" s="108"/>
      <c r="Y15" s="108"/>
      <c r="Z15" s="108"/>
      <c r="AA15" s="108"/>
      <c r="AC15" s="108"/>
      <c r="AD15" s="111"/>
      <c r="AE15" s="108"/>
      <c r="AF15" s="108"/>
    </row>
    <row r="16" spans="1:33" ht="54.6" customHeight="1" x14ac:dyDescent="0.25">
      <c r="A16" s="197"/>
      <c r="B16" s="856"/>
      <c r="C16" s="544">
        <f>IF($G$5=Φύλλο2!$A$2,Φύλλο2!A6,IF($G$5=Φύλλο2!$A$22,Φύλλο2!A26,IF($G$5=Φύλλο2!$A$42,Φύλλο2!A46, IF($G$5=Φύλλο2!$A$62,Φύλλο2!A66,Φύλλο2!A86))))</f>
        <v>0</v>
      </c>
      <c r="D16" s="634" t="s">
        <v>117</v>
      </c>
      <c r="E16" s="551">
        <f>IF($G$5=Φύλλο2!$A$2,Φύλλο2!C6,IF($G$5=Φύλλο2!$A$22,Φύλλο2!C26,IF($G$5=Φύλλο2!$A$42,Φύλλο2!C46, IF($G$5=Φύλλο2!$A$62,Φύλλο2!C66,Φύλλο2!C86))))</f>
        <v>0</v>
      </c>
      <c r="F16" s="162"/>
      <c r="G16" s="159"/>
      <c r="H16" s="160"/>
      <c r="I16" s="159"/>
      <c r="J16" s="159"/>
      <c r="K16" s="635"/>
      <c r="L16" s="200" t="str">
        <f>IF(D16="N/A","N/A",IF(C16=0,"N/A",IF(E16="N/A","N/A",AVERAGE(G16,I16:K16))))</f>
        <v>N/A</v>
      </c>
      <c r="M16" s="176" t="str">
        <f t="shared" si="0"/>
        <v>N/A</v>
      </c>
      <c r="N16" s="111"/>
      <c r="O16" s="159"/>
      <c r="P16" s="163"/>
      <c r="Q16" s="164"/>
      <c r="R16" s="202" t="str">
        <f>IF(L16="N/A","N/A",L16-L16*(O16/3))</f>
        <v>N/A</v>
      </c>
      <c r="S16" s="176" t="str">
        <f t="shared" si="1"/>
        <v>N/A</v>
      </c>
      <c r="U16" s="108"/>
      <c r="V16" s="108"/>
      <c r="W16" s="108"/>
      <c r="X16" s="108"/>
      <c r="Y16" s="108"/>
      <c r="Z16" s="108"/>
      <c r="AA16" s="108"/>
      <c r="AC16" s="108"/>
      <c r="AD16" s="111"/>
      <c r="AE16" s="108"/>
      <c r="AF16" s="108"/>
    </row>
    <row r="17" spans="1:32" ht="62.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IF($G$5=Φύλλο2!$A$2,Φύλλο2!C7,IF($G$5=Φύλλο2!$A$22,Φύλλο2!C27,IF($G$5=Φύλλο2!$A$42,Φύλλο2!C47, IF($G$5=Φύλλο2!$A$62,Φύλλο2!C67,Φύλλο2!C87))))</f>
        <v>0</v>
      </c>
      <c r="F17" s="162"/>
      <c r="G17" s="159"/>
      <c r="H17" s="160"/>
      <c r="I17" s="159"/>
      <c r="J17" s="160"/>
      <c r="K17" s="635"/>
      <c r="L17" s="200" t="str">
        <f>IF(D17="N/A","N/A",IF(C17=0,"N/A",IF(E17="N/A","N/A",AVERAGE(G17,K17,I17))))</f>
        <v>N/A</v>
      </c>
      <c r="M17" s="176" t="str">
        <f t="shared" si="0"/>
        <v>N/A</v>
      </c>
      <c r="N17" s="111"/>
      <c r="O17" s="159"/>
      <c r="P17" s="163"/>
      <c r="Q17" s="164"/>
      <c r="R17" s="202" t="str">
        <f>IF(L17="N/A","N/A",L17-L17*(O17/3))</f>
        <v>N/A</v>
      </c>
      <c r="S17" s="176" t="str">
        <f t="shared" si="1"/>
        <v>N/A</v>
      </c>
      <c r="U17" s="108"/>
      <c r="V17" s="108"/>
      <c r="W17" s="108"/>
      <c r="X17" s="108"/>
      <c r="Y17" s="108"/>
      <c r="Z17" s="108"/>
      <c r="AA17" s="108"/>
      <c r="AC17" s="108"/>
      <c r="AD17" s="111"/>
      <c r="AE17" s="108"/>
      <c r="AF17" s="108"/>
    </row>
    <row r="18" spans="1:32" ht="61.5"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IF($G$5=Φύλλο2!$A$2,Φύλλο2!C8,IF($G$5=Φύλλο2!$A$22,Φύλλο2!C28,IF($G$5=Φύλλο2!$A$42,Φύλλο2!C48, IF($G$5=Φύλλο2!$A$62,Φύλλο2!C68,Φύλλο2!C88))))</f>
        <v>0</v>
      </c>
      <c r="F18" s="162"/>
      <c r="G18" s="159"/>
      <c r="H18" s="160"/>
      <c r="I18" s="159"/>
      <c r="J18" s="160"/>
      <c r="K18" s="635"/>
      <c r="L18" s="200" t="str">
        <f>IF(D18="N/A","N/A",IF(C18=0,"N/A",IF(E18="N/A","N/A",AVERAGE(G18,K18,I18))))</f>
        <v>N/A</v>
      </c>
      <c r="M18" s="176" t="str">
        <f t="shared" si="0"/>
        <v>N/A</v>
      </c>
      <c r="N18" s="111"/>
      <c r="O18" s="159"/>
      <c r="P18" s="163"/>
      <c r="Q18" s="164"/>
      <c r="R18" s="202" t="str">
        <f t="shared" ref="R18:R30" si="2">IF(L18="N/A","N/A",L18-L18*(O18/3))</f>
        <v>N/A</v>
      </c>
      <c r="S18" s="176" t="str">
        <f t="shared" si="1"/>
        <v>N/A</v>
      </c>
      <c r="U18" s="111"/>
      <c r="V18" s="111"/>
      <c r="W18" s="108"/>
      <c r="X18" s="108"/>
      <c r="Y18" s="111"/>
      <c r="Z18" s="111"/>
      <c r="AA18" s="103"/>
      <c r="AC18" s="111"/>
      <c r="AD18" s="111"/>
      <c r="AE18" s="62"/>
      <c r="AF18" s="103"/>
    </row>
    <row r="19" spans="1:32"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IF($G$5=Φύλλο2!$A$2,Φύλλο2!C9,IF($G$5=Φύλλο2!$A$22,Φύλλο2!C29,IF($G$5=Φύλλο2!$A$42,Φύλλο2!C49, IF($G$5=Φύλλο2!$A$62,Φύλλο2!C69,Φύλλο2!C89))))</f>
        <v>0</v>
      </c>
      <c r="F19" s="165"/>
      <c r="G19" s="159"/>
      <c r="H19" s="160"/>
      <c r="I19" s="160"/>
      <c r="J19" s="160"/>
      <c r="K19" s="635"/>
      <c r="L19" s="200" t="str">
        <f>IF(D19="N/A","N/A",IF(C19=0,"N/A",IF(E19="N/A","N/A",AVERAGE(G19,K19))))</f>
        <v>N/A</v>
      </c>
      <c r="M19" s="176" t="str">
        <f t="shared" si="0"/>
        <v>N/A</v>
      </c>
      <c r="N19" s="111"/>
      <c r="O19" s="159"/>
      <c r="P19" s="163"/>
      <c r="Q19" s="164"/>
      <c r="R19" s="202" t="str">
        <f t="shared" si="2"/>
        <v>N/A</v>
      </c>
      <c r="S19" s="176" t="str">
        <f t="shared" si="1"/>
        <v>N/A</v>
      </c>
      <c r="U19" s="111"/>
      <c r="V19" s="111"/>
      <c r="W19" s="108"/>
      <c r="X19" s="108"/>
      <c r="Y19" s="111"/>
      <c r="Z19" s="111"/>
      <c r="AA19" s="103"/>
      <c r="AC19" s="111"/>
      <c r="AD19" s="111"/>
      <c r="AE19" s="62"/>
      <c r="AF19" s="103"/>
    </row>
    <row r="20" spans="1:32" ht="41.45"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IF($G$5=Φύλλο2!$A$2,Φύλλο2!C10,IF($G$5=Φύλλο2!$A$22,Φύλλο2!C30,IF($G$5=Φύλλο2!$A$42,Φύλλο2!C50, IF($G$5=Φύλλο2!$A$62,Φύλλο2!C70,Φύλλο2!C90))))</f>
        <v>0</v>
      </c>
      <c r="F20" s="162"/>
      <c r="G20" s="159"/>
      <c r="H20" s="159"/>
      <c r="I20" s="159"/>
      <c r="J20" s="160"/>
      <c r="K20" s="635"/>
      <c r="L20" s="200" t="str">
        <f>IF(D20="N/A","N/A",IF(C20=0,"N/A",IF(E20="N/A","N/A",AVERAGE(G20:I20,K20))))</f>
        <v>N/A</v>
      </c>
      <c r="M20" s="176" t="str">
        <f t="shared" si="0"/>
        <v>N/A</v>
      </c>
      <c r="N20" s="111"/>
      <c r="O20" s="159"/>
      <c r="P20" s="163"/>
      <c r="Q20" s="164"/>
      <c r="R20" s="202" t="str">
        <f t="shared" si="2"/>
        <v>N/A</v>
      </c>
      <c r="S20" s="176" t="str">
        <f t="shared" si="1"/>
        <v>N/A</v>
      </c>
      <c r="U20" s="111"/>
      <c r="V20" s="111"/>
      <c r="W20" s="108"/>
      <c r="X20" s="108"/>
      <c r="Y20" s="111"/>
      <c r="Z20" s="111"/>
      <c r="AA20" s="103"/>
      <c r="AC20" s="111"/>
      <c r="AD20" s="111"/>
      <c r="AE20" s="62"/>
      <c r="AF20" s="103"/>
    </row>
    <row r="21" spans="1:32" ht="60.6"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IF($G$5=Φύλλο2!$A$2,Φύλλο2!C11,IF($G$5=Φύλλο2!$A$22,Φύλλο2!C31,IF($G$5=Φύλλο2!$A$42,Φύλλο2!C51, IF($G$5=Φύλλο2!$A$62,Φύλλο2!C71,Φύλλο2!C91))))</f>
        <v>0</v>
      </c>
      <c r="F21" s="162"/>
      <c r="G21" s="159"/>
      <c r="H21" s="160"/>
      <c r="I21" s="159"/>
      <c r="J21" s="168"/>
      <c r="K21" s="635"/>
      <c r="L21" s="200" t="str">
        <f>IF(D21="N/A","N/A",IF(C21=0,"N/A",IF(E13="N/A","N/A",AVERAGE(G21,K21,I21))))</f>
        <v>N/A</v>
      </c>
      <c r="M21" s="176" t="str">
        <f t="shared" si="0"/>
        <v>N/A</v>
      </c>
      <c r="N21" s="111"/>
      <c r="O21" s="159"/>
      <c r="P21" s="163"/>
      <c r="Q21" s="164"/>
      <c r="R21" s="202" t="str">
        <f t="shared" si="2"/>
        <v>N/A</v>
      </c>
      <c r="S21" s="176" t="str">
        <f t="shared" si="1"/>
        <v>N/A</v>
      </c>
      <c r="U21" s="108"/>
      <c r="V21" s="108"/>
      <c r="W21" s="108"/>
      <c r="X21" s="108"/>
      <c r="Y21" s="108"/>
      <c r="Z21" s="108"/>
      <c r="AA21" s="108"/>
      <c r="AC21" s="108"/>
      <c r="AD21" s="111"/>
      <c r="AE21" s="108"/>
      <c r="AF21" s="108"/>
    </row>
    <row r="22" spans="1:32" ht="54.95" customHeight="1" x14ac:dyDescent="0.25">
      <c r="A22" s="198"/>
      <c r="B22" s="857" t="s">
        <v>118</v>
      </c>
      <c r="C22" s="544">
        <f>IF($G$5=Φύλλο2!$A$2,Φύλλο2!A12,IF($G$5=Φύλλο2!$A$22,Φύλλο2!A32,IF($G$5=Φύλλο2!$A$42,Φύλλο2!A52, IF($G$5=Φύλλο2!$A$62,Φύλλο2!A72,Φύλλο2!A92))))</f>
        <v>0</v>
      </c>
      <c r="D22" s="634" t="s">
        <v>116</v>
      </c>
      <c r="E22" s="551">
        <f>IF($G$5=Φύλλο2!$A$2,Φύλλο2!C12,IF($G$5=Φύλλο2!$A$22,Φύλλο2!C32,IF($G$5=Φύλλο2!$A$42,Φύλλο2!C52, IF($G$5=Φύλλο2!$A$62,Φύλλο2!C72,Φύλλο2!C92))))</f>
        <v>0</v>
      </c>
      <c r="F22" s="162"/>
      <c r="G22" s="159"/>
      <c r="H22" s="160"/>
      <c r="I22" s="160"/>
      <c r="J22" s="160"/>
      <c r="K22" s="168"/>
      <c r="L22" s="200" t="str">
        <f>IF(D22="N/A","N/A",IF(C22=0,"N/A",IF(E22="N/A","N/A",AVERAGE(G22))))</f>
        <v>N/A</v>
      </c>
      <c r="M22" s="176" t="str">
        <f t="shared" si="0"/>
        <v>N/A</v>
      </c>
      <c r="N22" s="111"/>
      <c r="O22" s="159"/>
      <c r="P22" s="163"/>
      <c r="Q22" s="164"/>
      <c r="R22" s="202" t="str">
        <f t="shared" si="2"/>
        <v>N/A</v>
      </c>
      <c r="S22" s="176" t="str">
        <f t="shared" si="1"/>
        <v>N/A</v>
      </c>
      <c r="U22" s="108"/>
      <c r="V22" s="108"/>
      <c r="W22" s="108"/>
      <c r="X22" s="108"/>
      <c r="Y22" s="108"/>
      <c r="Z22" s="108"/>
      <c r="AA22" s="108"/>
      <c r="AC22" s="108"/>
      <c r="AD22" s="111"/>
      <c r="AE22" s="108"/>
      <c r="AF22" s="108"/>
    </row>
    <row r="23" spans="1:32" ht="59.1" customHeight="1" x14ac:dyDescent="0.25">
      <c r="A23" s="198"/>
      <c r="B23" s="858"/>
      <c r="C23" s="544">
        <f>IF($G$5=Φύλλο2!$A$2,Φύλλο2!A13,IF($G$5=Φύλλο2!$A$22,Φύλλο2!A33,IF($G$5=Φύλλο2!$A$42,Φύλλο2!A53, IF($G$5=Φύλλο2!$A$62,Φύλλο2!A73,Φύλλο2!A93))))</f>
        <v>0</v>
      </c>
      <c r="D23" s="634" t="s">
        <v>117</v>
      </c>
      <c r="E23" s="551">
        <f>IF($G$5=Φύλλο2!$A$2,Φύλλο2!C13,IF($G$5=Φύλλο2!$A$22,Φύλλο2!C33,IF($G$5=Φύλλο2!$A$42,Φύλλο2!C53, IF($G$5=Φύλλο2!$A$62,Φύλλο2!C73,Φύλλο2!C93))))</f>
        <v>0</v>
      </c>
      <c r="G23" s="159"/>
      <c r="H23" s="168"/>
      <c r="I23" s="168"/>
      <c r="J23" s="168"/>
      <c r="K23" s="168"/>
      <c r="L23" s="200" t="str">
        <f t="shared" ref="L23:L24" si="3">IF(D23="N/A","N/A",IF(C23=0,"N/A",IF(E23="N/A","N/A",AVERAGE(G23))))</f>
        <v>N/A</v>
      </c>
      <c r="M23" s="176" t="str">
        <f t="shared" si="0"/>
        <v>N/A</v>
      </c>
      <c r="O23" s="159"/>
      <c r="P23" s="163"/>
      <c r="R23" s="202" t="str">
        <f t="shared" si="2"/>
        <v>N/A</v>
      </c>
      <c r="S23" s="176" t="str">
        <f t="shared" si="1"/>
        <v>N/A</v>
      </c>
    </row>
    <row r="24" spans="1:32" ht="51.6" customHeight="1" x14ac:dyDescent="0.25">
      <c r="B24" s="859"/>
      <c r="C24" s="544">
        <f>IF($G$5=Φύλλο2!$A$2,Φύλλο2!A14,IF($G$5=Φύλλο2!$A$22,Φύλλο2!A34,IF($G$5=Φύλλο2!$A$42,Φύλλο2!A54, IF($G$5=Φύλλο2!$A$62,Φύλλο2!A74,Φύλλο2!A94))))</f>
        <v>0</v>
      </c>
      <c r="D24" s="634" t="s">
        <v>117</v>
      </c>
      <c r="E24" s="551">
        <f>IF($G$5=Φύλλο2!$A$2,Φύλλο2!C14,IF($G$5=Φύλλο2!$A$22,Φύλλο2!C34,IF($G$5=Φύλλο2!$A$42,Φύλλο2!C54, IF($G$5=Φύλλο2!$A$62,Φύλλο2!C74,Φύλλο2!C94))))</f>
        <v>0</v>
      </c>
      <c r="G24" s="168"/>
      <c r="H24" s="168"/>
      <c r="I24" s="168"/>
      <c r="J24" s="168"/>
      <c r="K24" s="168"/>
      <c r="L24" s="200" t="str">
        <f t="shared" si="3"/>
        <v>N/A</v>
      </c>
      <c r="M24" s="176" t="str">
        <f t="shared" si="0"/>
        <v>N/A</v>
      </c>
      <c r="O24" s="159"/>
      <c r="P24" s="163"/>
      <c r="R24" s="202" t="str">
        <f t="shared" si="2"/>
        <v>N/A</v>
      </c>
      <c r="S24" s="176" t="str">
        <f t="shared" si="1"/>
        <v>N/A</v>
      </c>
    </row>
    <row r="25" spans="1:32" ht="48.95" customHeight="1" x14ac:dyDescent="0.25">
      <c r="B25" s="860" t="s">
        <v>119</v>
      </c>
      <c r="C25" s="544">
        <f>IF($G$5=Φύλλο2!$A$2,Φύλλο2!A15,IF($G$5=Φύλλο2!$A$22,Φύλλο2!A35,IF($G$5=Φύλλο2!$A$42,Φύλλο2!A55, IF($G$5=Φύλλο2!$A$62,Φύλλο2!A75,Φύλλο2!A95))))</f>
        <v>0</v>
      </c>
      <c r="D25" s="634" t="s">
        <v>117</v>
      </c>
      <c r="E25" s="551">
        <f>IF($G$5=Φύλλο2!$A$2,Φύλλο2!C15,IF($G$5=Φύλλο2!$A$22,Φύλλο2!C35,IF($G$5=Φύλλο2!$A$42,Φύλλο2!C55, IF($G$5=Φύλλο2!$A$62,Φύλλο2!C75,Φύλλο2!C95))))</f>
        <v>0</v>
      </c>
      <c r="G25" s="199"/>
      <c r="H25" s="168"/>
      <c r="I25" s="168"/>
      <c r="J25" s="168"/>
      <c r="K25" s="635"/>
      <c r="L25" s="200" t="str">
        <f>IF(D25="N/A","N/A",IF(C25=0,"N/A",IF(E25="N/A","N/A",AVERAGE(G25,K25))))</f>
        <v>N/A</v>
      </c>
      <c r="M25" s="176" t="str">
        <f t="shared" si="0"/>
        <v>N/A</v>
      </c>
      <c r="O25" s="159"/>
      <c r="P25" s="161"/>
      <c r="R25" s="202" t="str">
        <f>IF(L25="N/A","N/A",L25-L25*(AVERAGE(O25:P25)/3))</f>
        <v>N/A</v>
      </c>
      <c r="S25" s="176" t="str">
        <f t="shared" si="1"/>
        <v>N/A</v>
      </c>
    </row>
    <row r="26" spans="1:32" ht="58.5" customHeight="1" x14ac:dyDescent="0.25">
      <c r="B26" s="861"/>
      <c r="C26" s="544">
        <f>IF($G$5=Φύλλο2!$A$2,Φύλλο2!A16,IF($G$5=Φύλλο2!$A$22,Φύλλο2!A36,IF($G$5=Φύλλο2!$A$42,Φύλλο2!A56, IF($G$5=Φύλλο2!$A$62,Φύλλο2!A76,Φύλλο2!A96))))</f>
        <v>0</v>
      </c>
      <c r="D26" s="634" t="s">
        <v>117</v>
      </c>
      <c r="E26" s="551">
        <f>IF($G$5=Φύλλο2!$A$2,Φύλλο2!C16,IF($G$5=Φύλλο2!$A$22,Φύλλο2!C36,IF($G$5=Φύλλο2!$A$42,Φύλλο2!C56, IF($G$5=Φύλλο2!$A$62,Φύλλο2!C76,Φύλλο2!C96))))</f>
        <v>0</v>
      </c>
      <c r="G26" s="199"/>
      <c r="H26" s="168"/>
      <c r="I26" s="168"/>
      <c r="J26" s="168"/>
      <c r="K26" s="635"/>
      <c r="L26" s="200" t="str">
        <f t="shared" ref="L26:L27" si="4">IF(D26="N/A","N/A",IF(C26=0,"N/A",IF(E26="N/A","N/A",AVERAGE(G26,K26))))</f>
        <v>N/A</v>
      </c>
      <c r="M26" s="176" t="str">
        <f t="shared" si="0"/>
        <v>N/A</v>
      </c>
      <c r="O26" s="159"/>
      <c r="P26" s="161"/>
      <c r="R26" s="202" t="str">
        <f>IF(L26="N/A","N/A",L26-L26*(AVERAGE(O26:P26)/3))</f>
        <v>N/A</v>
      </c>
      <c r="S26" s="176" t="str">
        <f t="shared" si="1"/>
        <v>N/A</v>
      </c>
    </row>
    <row r="27" spans="1:32" ht="51.95" customHeight="1" x14ac:dyDescent="0.25">
      <c r="B27" s="861"/>
      <c r="C27" s="544">
        <f>IF($G$5=Φύλλο2!$A$2,Φύλλο2!A17,IF($G$5=Φύλλο2!$A$22,Φύλλο2!A37,IF($G$5=Φύλλο2!$A$42,Φύλλο2!A57, IF($G$5=Φύλλο2!$A$62,Φύλλο2!A77,Φύλλο2!A97))))</f>
        <v>0</v>
      </c>
      <c r="D27" s="634" t="s">
        <v>117</v>
      </c>
      <c r="E27" s="551">
        <f>IF($G$5=Φύλλο2!$A$2,Φύλλο2!C17,IF($G$5=Φύλλο2!$A$22,Φύλλο2!C37,IF($G$5=Φύλλο2!$A$42,Φύλλο2!C57, IF($G$5=Φύλλο2!$A$62,Φύλλο2!C77,Φύλλο2!C97))))</f>
        <v>0</v>
      </c>
      <c r="G27" s="199"/>
      <c r="H27" s="168"/>
      <c r="I27" s="168"/>
      <c r="J27" s="168"/>
      <c r="K27" s="635"/>
      <c r="L27" s="200" t="str">
        <f t="shared" si="4"/>
        <v>N/A</v>
      </c>
      <c r="M27" s="176" t="str">
        <f t="shared" si="0"/>
        <v>N/A</v>
      </c>
      <c r="O27" s="159"/>
      <c r="P27" s="163"/>
      <c r="R27" s="202" t="str">
        <f>IF(L27="N/A","N/A",L27-L27*(O27/3))</f>
        <v>N/A</v>
      </c>
      <c r="S27" s="176" t="str">
        <f t="shared" si="1"/>
        <v>N/A</v>
      </c>
    </row>
    <row r="28" spans="1:32" ht="53.45" customHeight="1" x14ac:dyDescent="0.45">
      <c r="B28" s="861"/>
      <c r="C28" s="544">
        <f>IF($G$5=Φύλλο2!$A$2,Φύλλο2!A18,IF($G$5=Φύλλο2!$A$22,Φύλλο2!A38,IF($G$5=Φύλλο2!$A$42,Φύλλο2!A58, IF($G$5=Φύλλο2!$A$62,Φύλλο2!A78,Φύλλο2!A98))))</f>
        <v>0</v>
      </c>
      <c r="D28" s="634" t="s">
        <v>116</v>
      </c>
      <c r="E28" s="551">
        <f>IF($G$5=Φύλλο2!$A$2,Φύλλο2!C18,IF($G$5=Φύλλο2!$A$22,Φύλλο2!C38,IF($G$5=Φύλλο2!$A$42,Φύλλο2!C58, IF($G$5=Φύλλο2!$A$62,Φύλλο2!C78,Φύλλο2!C98))))</f>
        <v>0</v>
      </c>
      <c r="F28" s="188"/>
      <c r="G28" s="199"/>
      <c r="H28" s="160"/>
      <c r="I28" s="168"/>
      <c r="J28" s="160"/>
      <c r="K28" s="168"/>
      <c r="L28" s="200" t="str">
        <f>IF(D28="N/A","N/A",IF(C28=0,"N/A",IF(E28="N/A","N/A",AVERAGE(G28))))</f>
        <v>N/A</v>
      </c>
      <c r="M28" s="176" t="str">
        <f t="shared" si="0"/>
        <v>N/A</v>
      </c>
      <c r="O28" s="159"/>
      <c r="P28" s="425"/>
      <c r="R28" s="202" t="str">
        <f t="shared" ref="R28:R29" si="5">IF(L28="N/A","N/A",L28-L28*(O28/3))</f>
        <v>N/A</v>
      </c>
      <c r="S28" s="176" t="str">
        <f t="shared" si="1"/>
        <v>N/A</v>
      </c>
      <c r="T28" s="192" t="s">
        <v>33</v>
      </c>
    </row>
    <row r="29" spans="1:32" ht="56.1" customHeight="1" x14ac:dyDescent="0.25">
      <c r="B29" s="861"/>
      <c r="C29" s="544">
        <f>IF($G$5=Φύλλο2!$A$2,Φύλλο2!A19,IF($G$5=Φύλλο2!$A$22,Φύλλο2!A39,IF($G$5=Φύλλο2!$A$42,Φύλλο2!A59, IF($G$5=Φύλλο2!$A$62,Φύλλο2!A79,Φύλλο2!A99))))</f>
        <v>0</v>
      </c>
      <c r="D29" s="634" t="s">
        <v>116</v>
      </c>
      <c r="E29" s="551">
        <f>IF($G$5=Φύλλο2!$A$2,Φύλλο2!C19,IF($G$5=Φύλλο2!$A$22,Φύλλο2!C39,IF($G$5=Φύλλο2!$A$42,Φύλλο2!C59, IF($G$5=Φύλλο2!$A$62,Φύλλο2!C79,Φύλλο2!C99))))</f>
        <v>0</v>
      </c>
      <c r="F29" s="174"/>
      <c r="G29" s="199"/>
      <c r="H29" s="168"/>
      <c r="I29" s="168"/>
      <c r="J29" s="168"/>
      <c r="K29" s="168"/>
      <c r="L29" s="200" t="str">
        <f>IF(D29="N/A","N/A",IF(C29=0,"N/A",IF(E29="N/A","N/A",AVERAGE(G29))))</f>
        <v>N/A</v>
      </c>
      <c r="M29" s="176" t="str">
        <f t="shared" si="0"/>
        <v>N/A</v>
      </c>
      <c r="O29" s="159"/>
      <c r="P29" s="425"/>
      <c r="R29" s="202" t="str">
        <f t="shared" si="5"/>
        <v>N/A</v>
      </c>
      <c r="S29" s="176" t="str">
        <f t="shared" si="1"/>
        <v>N/A</v>
      </c>
    </row>
    <row r="30" spans="1:32" ht="50.45" customHeight="1" x14ac:dyDescent="0.25">
      <c r="B30" s="862"/>
      <c r="C30" s="544">
        <f>IF($G$5=Φύλλο2!$A$2,Φύλλο2!A20,IF($G$5=Φύλλο2!$A$22,Φύλλο2!A40,IF($G$5=Φύλλο2!$A$42,Φύλλο2!A60, IF($G$5=Φύλλο2!$A$62,Φύλλο2!A80,Φύλλο2!A100))))</f>
        <v>0</v>
      </c>
      <c r="D30" s="634" t="s">
        <v>116</v>
      </c>
      <c r="E30" s="551">
        <f>IF($G$5=Φύλλο2!$A$2,Φύλλο2!C20,IF($G$5=Φύλλο2!$A$22,Φύλλο2!C40,IF($G$5=Φύλλο2!$A$42,Φύλλο2!C60, IF($G$5=Φύλλο2!$A$62,Φύλλο2!C80,Φύλλο2!C100))))</f>
        <v>0</v>
      </c>
      <c r="F30" s="174"/>
      <c r="G30" s="199"/>
      <c r="H30" s="168"/>
      <c r="I30" s="199"/>
      <c r="J30" s="168"/>
      <c r="K30" s="635"/>
      <c r="L30" s="200" t="str">
        <f>IF(D30="N/A","N/A",IF(C30=0,"N/A",IF(E30="N/A","N/A",AVERAGE(G30,K30,I30))))</f>
        <v>N/A</v>
      </c>
      <c r="M30" s="176" t="str">
        <f t="shared" si="0"/>
        <v>N/A</v>
      </c>
      <c r="O30" s="159"/>
      <c r="P30" s="425"/>
      <c r="R30" s="202" t="str">
        <f t="shared" si="2"/>
        <v>N/A</v>
      </c>
      <c r="S30" s="176" t="str">
        <f t="shared" si="1"/>
        <v>N/A</v>
      </c>
    </row>
    <row r="31" spans="1:32" x14ac:dyDescent="0.25">
      <c r="C31" s="190" t="s">
        <v>367</v>
      </c>
      <c r="D31" s="173"/>
      <c r="E31" s="174"/>
      <c r="F31" s="174"/>
      <c r="G31" s="174"/>
    </row>
  </sheetData>
  <sheetProtection algorithmName="SHA-512" hashValue="VHaSBtCg3VKAqPJxAKT+9G8vuC53c88mFpCBBcaVbkW7Ze3X7igvqj2crgVw79lT21chRI+bQisTClX4+H2wAg==" saltValue="6qI7ir0rannocu3Ygz2N6g==" spinCount="100000" sheet="1" selectLockedCells="1"/>
  <mergeCells count="17">
    <mergeCell ref="H5:I5"/>
    <mergeCell ref="B2:E2"/>
    <mergeCell ref="B11:C11"/>
    <mergeCell ref="B22:B24"/>
    <mergeCell ref="B25:B30"/>
    <mergeCell ref="B9:C10"/>
    <mergeCell ref="B12:C12"/>
    <mergeCell ref="A13:A15"/>
    <mergeCell ref="A6:A10"/>
    <mergeCell ref="A11:A12"/>
    <mergeCell ref="B14:B21"/>
    <mergeCell ref="AE8:AF8"/>
    <mergeCell ref="G8:L8"/>
    <mergeCell ref="R8:S8"/>
    <mergeCell ref="U8:Z8"/>
    <mergeCell ref="G9:K9"/>
    <mergeCell ref="O9:P9"/>
  </mergeCells>
  <conditionalFormatting sqref="C13:C30">
    <cfRule type="cellIs" dxfId="72" priority="27" operator="equal">
      <formula>0</formula>
    </cfRule>
  </conditionalFormatting>
  <conditionalFormatting sqref="E13:E30">
    <cfRule type="cellIs" dxfId="71" priority="26" operator="equal">
      <formula>0</formula>
    </cfRule>
  </conditionalFormatting>
  <conditionalFormatting sqref="G13:K13">
    <cfRule type="cellIs" dxfId="70" priority="24" operator="equal">
      <formula>"N/A"</formula>
    </cfRule>
  </conditionalFormatting>
  <conditionalFormatting sqref="K14:K21">
    <cfRule type="cellIs" dxfId="69" priority="5" operator="equal">
      <formula>"N/A"</formula>
    </cfRule>
  </conditionalFormatting>
  <conditionalFormatting sqref="K25:K27">
    <cfRule type="cellIs" dxfId="68" priority="2" operator="equal">
      <formula>"N/A"</formula>
    </cfRule>
  </conditionalFormatting>
  <conditionalFormatting sqref="K30">
    <cfRule type="cellIs" dxfId="67" priority="1" operator="equal">
      <formula>"N/A"</formula>
    </cfRule>
  </conditionalFormatting>
  <conditionalFormatting sqref="L13:L30">
    <cfRule type="cellIs" dxfId="66" priority="28" operator="equal">
      <formula>"N/A"</formula>
    </cfRule>
  </conditionalFormatting>
  <conditionalFormatting sqref="M13:M30">
    <cfRule type="cellIs" dxfId="65" priority="30" operator="equal">
      <formula>"N/A"</formula>
    </cfRule>
    <cfRule type="cellIs" dxfId="64" priority="52" operator="equal">
      <formula>"Low"</formula>
    </cfRule>
    <cfRule type="cellIs" dxfId="63" priority="53" operator="equal">
      <formula>"Medium"</formula>
    </cfRule>
    <cfRule type="cellIs" dxfId="62" priority="54" operator="equal">
      <formula>"High"</formula>
    </cfRule>
  </conditionalFormatting>
  <conditionalFormatting sqref="O13:P13">
    <cfRule type="cellIs" dxfId="61" priority="22" operator="equal">
      <formula>"N/A"</formula>
    </cfRule>
  </conditionalFormatting>
  <conditionalFormatting sqref="R13:S30">
    <cfRule type="cellIs" dxfId="60" priority="14" operator="equal">
      <formula>"N/A"</formula>
    </cfRule>
    <cfRule type="cellIs" dxfId="59" priority="17" operator="equal">
      <formula>"High"</formula>
    </cfRule>
  </conditionalFormatting>
  <conditionalFormatting sqref="S13:S30">
    <cfRule type="cellIs" dxfId="58" priority="15" operator="equal">
      <formula>"Low"</formula>
    </cfRule>
    <cfRule type="cellIs" dxfId="57" priority="16" operator="equal">
      <formula>"Medium"</formula>
    </cfRule>
  </conditionalFormatting>
  <conditionalFormatting sqref="AA18:AA20">
    <cfRule type="cellIs" dxfId="56" priority="180" operator="equal">
      <formula>"Low"</formula>
    </cfRule>
    <cfRule type="cellIs" dxfId="55" priority="181" operator="equal">
      <formula>"Medium"</formula>
    </cfRule>
    <cfRule type="cellIs" dxfId="54" priority="182" operator="equal">
      <formula>"High"</formula>
    </cfRule>
  </conditionalFormatting>
  <conditionalFormatting sqref="AE18:AE20">
    <cfRule type="cellIs" dxfId="53" priority="143" operator="equal">
      <formula>"""Medium"""</formula>
    </cfRule>
    <cfRule type="cellIs" dxfId="52" priority="144" operator="equal">
      <formula>"Low"</formula>
    </cfRule>
  </conditionalFormatting>
  <conditionalFormatting sqref="AE18:AF20">
    <cfRule type="cellIs" dxfId="51" priority="112" operator="equal">
      <formula>"High"</formula>
    </cfRule>
  </conditionalFormatting>
  <conditionalFormatting sqref="AF18:AF20">
    <cfRule type="cellIs" dxfId="50" priority="110" operator="equal">
      <formula>"Low"</formula>
    </cfRule>
    <cfRule type="cellIs" dxfId="49" priority="111" operator="equal">
      <formula>"Medium"</formula>
    </cfRule>
  </conditionalFormatting>
  <dataValidations count="3">
    <dataValidation type="list" allowBlank="1" showInputMessage="1" showErrorMessage="1" sqref="D13:D30" xr:uid="{24DA707D-8C15-4A73-AD16-65F739C5B91C}">
      <formula1>"Active, N/A"</formula1>
    </dataValidation>
    <dataValidation type="list" allowBlank="1" showInputMessage="1" showErrorMessage="1" sqref="G13:G23 G25:G30 H13:H15 H20 I13 I16:I18 I20:I21 P25:P26 P13:P15 I30 J13:K16 K17:K21 K25:K27 K30" xr:uid="{792952AD-D7F4-417F-ADC7-7DF77964F965}">
      <formula1>"0,3"</formula1>
    </dataValidation>
    <dataValidation type="list" allowBlank="1" showInputMessage="1" showErrorMessage="1" sqref="O13:O30" xr:uid="{396599FE-A314-40F7-BCD7-D5C8762DBEBB}">
      <formula1>"0,1,2,3"</formula1>
    </dataValidation>
  </dataValidations>
  <pageMargins left="0.7" right="0.7" top="0.75" bottom="0.75" header="0.3" footer="0.3"/>
  <headerFooter>
    <oddHeader>&amp;C&amp;"Calibri"&amp;10&amp;K808080 Corporate Use&amp;1#_x000D_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9B4-145A-4A7E-BCB2-43B60631469A}">
  <sheetPr codeName="Sheet12">
    <tabColor theme="0" tint="-0.499984740745262"/>
  </sheetPr>
  <dimension ref="A2:Z88"/>
  <sheetViews>
    <sheetView zoomScale="70" zoomScaleNormal="70" workbookViewId="0">
      <selection activeCell="K31" sqref="K31:L31"/>
    </sheetView>
  </sheetViews>
  <sheetFormatPr defaultColWidth="9.140625" defaultRowHeight="15" x14ac:dyDescent="0.25"/>
  <cols>
    <col min="1" max="1" width="41.140625" style="29" customWidth="1"/>
    <col min="2" max="2" width="8.42578125" style="29" customWidth="1"/>
    <col min="3" max="3" width="2.5703125" style="29" customWidth="1"/>
    <col min="4" max="4" width="6.28515625" style="29" customWidth="1"/>
    <col min="5" max="5" width="39.5703125" style="141" customWidth="1"/>
    <col min="6" max="8" width="36.140625" style="29" customWidth="1"/>
    <col min="9" max="9" width="34.5703125" style="29" customWidth="1"/>
    <col min="10" max="10" width="34.140625" style="29" customWidth="1"/>
    <col min="11" max="11" width="32.140625" style="29" customWidth="1"/>
    <col min="12" max="12" width="33.140625" style="29" customWidth="1"/>
    <col min="13" max="15" width="38.140625" style="29" customWidth="1"/>
    <col min="16" max="16" width="23.140625" style="29" customWidth="1"/>
    <col min="17" max="17" width="3.140625" style="29" customWidth="1"/>
    <col min="18" max="20" width="36.5703125" style="29" customWidth="1"/>
    <col min="21" max="21" width="19" style="29" customWidth="1"/>
    <col min="22" max="22" width="2.85546875" style="29" customWidth="1"/>
    <col min="23" max="26" width="19.5703125" style="29" customWidth="1"/>
    <col min="27" max="16384" width="9.140625" style="29"/>
  </cols>
  <sheetData>
    <row r="2" spans="1:12" ht="36.75" customHeight="1" x14ac:dyDescent="0.3">
      <c r="A2" s="30"/>
      <c r="B2" s="30"/>
      <c r="C2" s="30"/>
      <c r="D2" s="91" t="s">
        <v>368</v>
      </c>
      <c r="J2" s="191"/>
      <c r="K2" s="191"/>
      <c r="L2" s="191"/>
    </row>
    <row r="3" spans="1:12" ht="41.45" customHeight="1" thickBot="1" x14ac:dyDescent="0.5">
      <c r="A3" s="30"/>
      <c r="B3" s="30"/>
      <c r="C3" s="30"/>
      <c r="D3" s="203" t="s">
        <v>369</v>
      </c>
      <c r="E3" s="204"/>
      <c r="F3" s="205"/>
      <c r="G3" s="205"/>
      <c r="H3" s="205"/>
      <c r="I3" s="205"/>
      <c r="J3" s="191"/>
      <c r="K3" s="191"/>
      <c r="L3" s="191"/>
    </row>
    <row r="4" spans="1:12" ht="22.5" customHeight="1" thickTop="1" x14ac:dyDescent="0.3">
      <c r="A4" s="30"/>
      <c r="B4" s="30"/>
      <c r="C4" s="30"/>
      <c r="D4" s="1033" t="s">
        <v>122</v>
      </c>
      <c r="E4" s="1033"/>
      <c r="F4" s="1033"/>
      <c r="G4" s="1033"/>
      <c r="H4" s="1033"/>
      <c r="I4" s="1033"/>
      <c r="J4" s="191"/>
      <c r="K4" s="191"/>
      <c r="L4" s="191"/>
    </row>
    <row r="5" spans="1:12" ht="15" customHeight="1" thickBot="1" x14ac:dyDescent="0.35">
      <c r="A5" s="140"/>
      <c r="B5" s="140"/>
      <c r="D5" s="589"/>
      <c r="E5" s="592"/>
      <c r="F5" s="766">
        <f>IFERROR(AVERAGE(F10:F26),0)</f>
        <v>0</v>
      </c>
      <c r="G5" s="769"/>
      <c r="H5" s="769"/>
      <c r="I5" s="769"/>
      <c r="J5" s="280"/>
      <c r="K5" s="191"/>
      <c r="L5" s="191"/>
    </row>
    <row r="6" spans="1:12" ht="30.6" customHeight="1" x14ac:dyDescent="0.3">
      <c r="A6" s="851"/>
      <c r="B6" s="38"/>
      <c r="C6" s="30"/>
      <c r="D6" s="978"/>
      <c r="E6" s="1034" t="s">
        <v>125</v>
      </c>
      <c r="F6" s="596" t="s">
        <v>267</v>
      </c>
      <c r="G6" s="596" t="s">
        <v>127</v>
      </c>
      <c r="H6" s="987" t="s">
        <v>128</v>
      </c>
      <c r="I6" s="1032"/>
      <c r="J6" s="760" t="s">
        <v>370</v>
      </c>
      <c r="K6" s="437"/>
      <c r="L6" s="426"/>
    </row>
    <row r="7" spans="1:12" ht="23.1" customHeight="1" x14ac:dyDescent="0.3">
      <c r="A7" s="851"/>
      <c r="B7" s="38"/>
      <c r="C7" s="30"/>
      <c r="D7" s="888"/>
      <c r="E7" s="1035"/>
      <c r="F7" s="560" t="s">
        <v>14</v>
      </c>
      <c r="G7" s="559" t="s">
        <v>14</v>
      </c>
      <c r="H7" s="561" t="s">
        <v>129</v>
      </c>
      <c r="I7" s="562" t="s">
        <v>113</v>
      </c>
      <c r="J7" s="437"/>
      <c r="K7" s="437"/>
      <c r="L7" s="426"/>
    </row>
    <row r="8" spans="1:12" ht="21.6" customHeight="1" x14ac:dyDescent="0.3">
      <c r="A8" s="150"/>
      <c r="B8" s="150"/>
      <c r="C8" s="36"/>
      <c r="D8" s="234"/>
      <c r="E8" s="235"/>
      <c r="F8" s="236" t="s">
        <v>130</v>
      </c>
      <c r="G8" s="236" t="s">
        <v>131</v>
      </c>
      <c r="H8" s="236" t="s">
        <v>269</v>
      </c>
      <c r="I8" s="236" t="s">
        <v>132</v>
      </c>
      <c r="J8" s="437"/>
      <c r="K8" s="437"/>
      <c r="L8" s="426"/>
    </row>
    <row r="9" spans="1:12" ht="36.6" customHeight="1" x14ac:dyDescent="0.3">
      <c r="A9" s="854"/>
      <c r="B9" s="50"/>
      <c r="C9" s="36"/>
      <c r="D9" s="625"/>
      <c r="E9" s="626" t="str">
        <f>'Wind-Step 2'!C13</f>
        <v>ALL COMPONENTS - Simplified assessment</v>
      </c>
      <c r="F9" s="705" t="e">
        <f>'Wind-Step 2'!R13</f>
        <v>#DIV/0!</v>
      </c>
      <c r="G9" s="742" t="e">
        <f>IF(E9=0,"N/A",MAX('Wind-Step 1'!$V$26,'Wind-Step 1'!$V$14))</f>
        <v>#DIV/0!</v>
      </c>
      <c r="H9" s="743" t="e">
        <f>IF(E9=0,"N/A",IF(F9="N/A","N/A",F9*G9))</f>
        <v>#DIV/0!</v>
      </c>
      <c r="I9" s="643" t="e">
        <f t="shared" ref="I9:I26" si="0">IF(H9="N/A", "N/A", IF(H9&lt;3,"Low",IF(H9&gt;6,"High", "Medium")))</f>
        <v>#DIV/0!</v>
      </c>
      <c r="J9" s="437"/>
      <c r="K9" s="437"/>
      <c r="L9" s="426"/>
    </row>
    <row r="10" spans="1:12" ht="46.5" customHeight="1" x14ac:dyDescent="0.25">
      <c r="A10" s="854"/>
      <c r="B10" s="50"/>
      <c r="C10" s="50"/>
      <c r="D10" s="855" t="s">
        <v>115</v>
      </c>
      <c r="E10" s="708" cm="1">
        <f t="array" ref="E10:E11">_xlfn._xlws.FILTER('Wind-Step 2'!C14:C21,'Wind-Step 2'!D14:D21="Active")</f>
        <v>0</v>
      </c>
      <c r="F10" s="705" t="str" cm="1">
        <f t="array" ref="F10:F11">_xlfn._xlws.FILTER('Wind-Step 2'!R14:R21,'Wind-Step 2'!D14:D21="Active")</f>
        <v>N/A</v>
      </c>
      <c r="G10" s="706" t="str">
        <f>IF(E10=0,"N/A",MAX('Wind-Step 1'!$V$26,'Wind-Step 1'!$V$14))</f>
        <v>N/A</v>
      </c>
      <c r="H10" s="707" t="str">
        <f t="shared" ref="H10:H26" si="1">IF(E10=0,"N/A",IF(F10="N/A","N/A",F10*G10))</f>
        <v>N/A</v>
      </c>
      <c r="I10" s="643" t="str">
        <f t="shared" si="0"/>
        <v>N/A</v>
      </c>
      <c r="J10" s="761" t="e">
        <f>IF(E9="N/A",F5*'Wind-Step 1'!$X$26,'Wind-Step 3'!F9*'Wind-Step 1'!$X$26)</f>
        <v>#DIV/0!</v>
      </c>
      <c r="K10" s="437" t="s">
        <v>371</v>
      </c>
      <c r="L10" s="426"/>
    </row>
    <row r="11" spans="1:12" ht="39.6" customHeight="1" x14ac:dyDescent="0.25">
      <c r="A11" s="50"/>
      <c r="B11" s="50"/>
      <c r="C11" s="50"/>
      <c r="D11" s="855"/>
      <c r="E11" s="709">
        <v>0</v>
      </c>
      <c r="F11" s="705" t="str">
        <v>N/A</v>
      </c>
      <c r="G11" s="706" t="str">
        <f>IF(E11=0,"N/A",MAX('Wind-Step 1'!$V$26,'Wind-Step 1'!$V$14))</f>
        <v>N/A</v>
      </c>
      <c r="H11" s="707" t="str">
        <f t="shared" si="1"/>
        <v>N/A</v>
      </c>
      <c r="I11" s="643" t="str">
        <f t="shared" si="0"/>
        <v>N/A</v>
      </c>
      <c r="J11" s="761" t="e">
        <f>IF(E9="N/A",F28*'Wind-Step 1'!$X$26,F9*'Wind-Step 1'!$X$26)</f>
        <v>#DIV/0!</v>
      </c>
      <c r="K11" s="437" t="s">
        <v>372</v>
      </c>
      <c r="L11" s="426"/>
    </row>
    <row r="12" spans="1:12" ht="47.45" customHeight="1" x14ac:dyDescent="0.25">
      <c r="A12" s="166"/>
      <c r="B12" s="166"/>
      <c r="C12" s="50"/>
      <c r="D12" s="855"/>
      <c r="E12" s="709"/>
      <c r="F12" s="705"/>
      <c r="G12" s="706" t="str">
        <f>IF(E12=0,"N/A",MAX('Wind-Step 1'!$V$26,'Wind-Step 1'!$V$14))</f>
        <v>N/A</v>
      </c>
      <c r="H12" s="707" t="str">
        <f t="shared" si="1"/>
        <v>N/A</v>
      </c>
      <c r="I12" s="643" t="str">
        <f t="shared" si="0"/>
        <v>N/A</v>
      </c>
      <c r="J12" s="437" t="s">
        <v>33</v>
      </c>
      <c r="K12" s="437"/>
      <c r="L12" s="426"/>
    </row>
    <row r="13" spans="1:12" ht="44.1" customHeight="1" x14ac:dyDescent="0.25">
      <c r="A13" s="206"/>
      <c r="B13" s="206"/>
      <c r="C13" s="50"/>
      <c r="D13" s="855"/>
      <c r="E13" s="709"/>
      <c r="F13" s="705"/>
      <c r="G13" s="706" t="str">
        <f>IF(E13=0,"N/A",MAX('Wind-Step 1'!$V$26,'Wind-Step 1'!$V$14))</f>
        <v>N/A</v>
      </c>
      <c r="H13" s="707" t="str">
        <f t="shared" si="1"/>
        <v>N/A</v>
      </c>
      <c r="I13" s="643" t="str">
        <f t="shared" si="0"/>
        <v>N/A</v>
      </c>
      <c r="J13" s="426"/>
      <c r="K13" s="426"/>
      <c r="L13" s="426"/>
    </row>
    <row r="14" spans="1:12" ht="60" customHeight="1" x14ac:dyDescent="0.25">
      <c r="A14" s="207"/>
      <c r="B14" s="207"/>
      <c r="C14" s="53"/>
      <c r="D14" s="855"/>
      <c r="E14" s="710"/>
      <c r="F14" s="705"/>
      <c r="G14" s="706" t="str">
        <f>IF(E14=0,"N/A",MAX('Wind-Step 1'!$V$26,'Wind-Step 1'!$V$14))</f>
        <v>N/A</v>
      </c>
      <c r="H14" s="707" t="str">
        <f t="shared" si="1"/>
        <v>N/A</v>
      </c>
      <c r="I14" s="643" t="str">
        <f t="shared" si="0"/>
        <v>N/A</v>
      </c>
      <c r="J14" s="426"/>
      <c r="K14" s="426"/>
      <c r="L14" s="426"/>
    </row>
    <row r="15" spans="1:12" ht="70.5" customHeight="1" x14ac:dyDescent="0.25">
      <c r="A15" s="208"/>
      <c r="B15" s="208"/>
      <c r="C15" s="53"/>
      <c r="D15" s="855"/>
      <c r="E15" s="677"/>
      <c r="F15" s="705"/>
      <c r="G15" s="706" t="str">
        <f>IF(E15=0,"N/A",MAX('Wind-Step 1'!$V$26,'Wind-Step 1'!$V$14))</f>
        <v>N/A</v>
      </c>
      <c r="H15" s="707" t="str">
        <f t="shared" si="1"/>
        <v>N/A</v>
      </c>
      <c r="I15" s="643" t="str">
        <f t="shared" si="0"/>
        <v>N/A</v>
      </c>
      <c r="J15" s="191"/>
      <c r="K15" s="191"/>
      <c r="L15" s="191"/>
    </row>
    <row r="16" spans="1:12" ht="70.5" customHeight="1" x14ac:dyDescent="0.25">
      <c r="A16" s="208"/>
      <c r="B16" s="208"/>
      <c r="C16" s="53"/>
      <c r="D16" s="855"/>
      <c r="E16" s="677"/>
      <c r="F16" s="705"/>
      <c r="G16" s="706" t="str">
        <f>IF(E16=0,"N/A",MAX('Wind-Step 1'!$V$26,'Wind-Step 1'!$V$14))</f>
        <v>N/A</v>
      </c>
      <c r="H16" s="707" t="str">
        <f t="shared" si="1"/>
        <v>N/A</v>
      </c>
      <c r="I16" s="643" t="str">
        <f t="shared" si="0"/>
        <v>N/A</v>
      </c>
    </row>
    <row r="17" spans="1:12" ht="39.6" customHeight="1" x14ac:dyDescent="0.25">
      <c r="A17" s="207"/>
      <c r="B17" s="207"/>
      <c r="C17" s="209"/>
      <c r="D17" s="855"/>
      <c r="E17" s="544"/>
      <c r="F17" s="705"/>
      <c r="G17" s="706" t="str">
        <f>IF(E17=0,"N/A",MAX('Wind-Step 1'!$V$26,'Wind-Step 1'!$V$14))</f>
        <v>N/A</v>
      </c>
      <c r="H17" s="707" t="str">
        <f t="shared" si="1"/>
        <v>N/A</v>
      </c>
      <c r="I17" s="643" t="str">
        <f t="shared" si="0"/>
        <v>N/A</v>
      </c>
    </row>
    <row r="18" spans="1:12" ht="55.5" customHeight="1" x14ac:dyDescent="0.25">
      <c r="A18" s="210"/>
      <c r="B18" s="210"/>
      <c r="C18" s="66"/>
      <c r="D18" s="857" t="s">
        <v>118</v>
      </c>
      <c r="E18" s="626" cm="1">
        <f t="array" ref="E18">_xlfn._xlws.FILTER('Wind-Step 2'!C22:C24,'Wind-Step 2'!D22:D24="Active")</f>
        <v>0</v>
      </c>
      <c r="F18" s="705" t="str" cm="1">
        <f t="array" ref="F18">_xlfn._xlws.FILTER('Wind-Step 2'!R22:R24,'Wind-Step 2'!D22:D24="Active")</f>
        <v>N/A</v>
      </c>
      <c r="G18" s="706" t="str">
        <f>IF(E18=0,"N/A",MAX('Wind-Step 1'!$V$26,'Wind-Step 1'!$V$14))</f>
        <v>N/A</v>
      </c>
      <c r="H18" s="707" t="str">
        <f t="shared" si="1"/>
        <v>N/A</v>
      </c>
      <c r="I18" s="643" t="str">
        <f t="shared" si="0"/>
        <v>N/A</v>
      </c>
    </row>
    <row r="19" spans="1:12" ht="48.95" customHeight="1" x14ac:dyDescent="0.25">
      <c r="A19" s="198"/>
      <c r="B19" s="198"/>
      <c r="C19" s="238"/>
      <c r="D19" s="858"/>
      <c r="E19" s="711"/>
      <c r="F19" s="705"/>
      <c r="G19" s="706" t="str">
        <f>IF(E19=0,"N/A",MAX('Wind-Step 1'!$V$26,'Wind-Step 1'!$V$14))</f>
        <v>N/A</v>
      </c>
      <c r="H19" s="707" t="str">
        <f t="shared" si="1"/>
        <v>N/A</v>
      </c>
      <c r="I19" s="643" t="str">
        <f t="shared" si="0"/>
        <v>N/A</v>
      </c>
    </row>
    <row r="20" spans="1:12" ht="39" customHeight="1" x14ac:dyDescent="0.25">
      <c r="A20" s="198"/>
      <c r="B20" s="198"/>
      <c r="C20" s="212"/>
      <c r="D20" s="858"/>
      <c r="E20" s="626"/>
      <c r="F20" s="705"/>
      <c r="G20" s="706" t="str">
        <f>IF(E20=0,"N/A",MAX('Wind-Step 1'!$V$26,'Wind-Step 1'!$V$14))</f>
        <v>N/A</v>
      </c>
      <c r="H20" s="707" t="str">
        <f t="shared" si="1"/>
        <v>N/A</v>
      </c>
      <c r="I20" s="643" t="str">
        <f t="shared" si="0"/>
        <v>N/A</v>
      </c>
    </row>
    <row r="21" spans="1:12" ht="24.95" customHeight="1" x14ac:dyDescent="0.25">
      <c r="C21" s="213"/>
      <c r="D21" s="899" t="s">
        <v>119</v>
      </c>
      <c r="E21" s="711" cm="1">
        <f t="array" ref="E21:E23">_xlfn._xlws.FILTER('Wind-Step 2'!C25:C30,'Wind-Step 2'!D25:D30="Active")</f>
        <v>0</v>
      </c>
      <c r="F21" s="705" t="str" cm="1">
        <f t="array" ref="F21:F23">_xlfn._xlws.FILTER('Wind-Step 2'!R25:R30,'Wind-Step 2'!D25:D30="Active")</f>
        <v>N/A</v>
      </c>
      <c r="G21" s="706" t="str">
        <f>IF(E21=0,"N/A",MAX('Wind-Step 1'!$V$26,'Wind-Step 1'!$V$14))</f>
        <v>N/A</v>
      </c>
      <c r="H21" s="707" t="str">
        <f t="shared" si="1"/>
        <v>N/A</v>
      </c>
      <c r="I21" s="643" t="str">
        <f t="shared" si="0"/>
        <v>N/A</v>
      </c>
    </row>
    <row r="22" spans="1:12" ht="35.450000000000003" customHeight="1" x14ac:dyDescent="0.25">
      <c r="C22" s="213"/>
      <c r="D22" s="899"/>
      <c r="E22" s="711">
        <v>0</v>
      </c>
      <c r="F22" s="705" t="str">
        <v>N/A</v>
      </c>
      <c r="G22" s="706" t="str">
        <f>IF(E22=0,"N/A",MAX('Wind-Step 1'!$V$26,'Wind-Step 1'!$V$14))</f>
        <v>N/A</v>
      </c>
      <c r="H22" s="707" t="str">
        <f t="shared" si="1"/>
        <v>N/A</v>
      </c>
      <c r="I22" s="643" t="str">
        <f t="shared" si="0"/>
        <v>N/A</v>
      </c>
    </row>
    <row r="23" spans="1:12" ht="31.5" customHeight="1" x14ac:dyDescent="0.25">
      <c r="C23" s="213"/>
      <c r="D23" s="899"/>
      <c r="E23" s="711">
        <v>0</v>
      </c>
      <c r="F23" s="705" t="str">
        <v>N/A</v>
      </c>
      <c r="G23" s="706" t="str">
        <f>IF(E23=0,"N/A",MAX('Wind-Step 1'!$V$26,'Wind-Step 1'!$V$14))</f>
        <v>N/A</v>
      </c>
      <c r="H23" s="707" t="str">
        <f t="shared" si="1"/>
        <v>N/A</v>
      </c>
      <c r="I23" s="643" t="str">
        <f t="shared" si="0"/>
        <v>N/A</v>
      </c>
    </row>
    <row r="24" spans="1:12" ht="30.95" customHeight="1" x14ac:dyDescent="0.25">
      <c r="D24" s="899"/>
      <c r="E24" s="711"/>
      <c r="F24" s="705"/>
      <c r="G24" s="706" t="str">
        <f>IF(E24=0,"N/A",MAX('Wind-Step 1'!$V$26,'Wind-Step 1'!$V$14))</f>
        <v>N/A</v>
      </c>
      <c r="H24" s="707" t="str">
        <f t="shared" si="1"/>
        <v>N/A</v>
      </c>
      <c r="I24" s="643" t="str">
        <f t="shared" si="0"/>
        <v>N/A</v>
      </c>
    </row>
    <row r="25" spans="1:12" ht="38.1" customHeight="1" x14ac:dyDescent="0.25">
      <c r="D25" s="899"/>
      <c r="E25" s="712"/>
      <c r="F25" s="705"/>
      <c r="G25" s="706" t="str">
        <f>IF(E25=0,"N/A",MAX('Wind-Step 1'!$V$26,'Wind-Step 1'!$V$14))</f>
        <v>N/A</v>
      </c>
      <c r="H25" s="707" t="str">
        <f t="shared" si="1"/>
        <v>N/A</v>
      </c>
      <c r="I25" s="643" t="str">
        <f t="shared" si="0"/>
        <v>N/A</v>
      </c>
      <c r="L25" s="103"/>
    </row>
    <row r="26" spans="1:12" ht="26.45" customHeight="1" x14ac:dyDescent="0.25">
      <c r="C26" s="209"/>
      <c r="D26" s="860"/>
      <c r="E26" s="712"/>
      <c r="F26" s="705"/>
      <c r="G26" s="706" t="str">
        <f>IF(E26=0,"N/A",MAX('Wind-Step 1'!$V$26,'Wind-Step 1'!$V$14))</f>
        <v>N/A</v>
      </c>
      <c r="H26" s="707" t="str">
        <f t="shared" si="1"/>
        <v>N/A</v>
      </c>
      <c r="I26" s="643" t="str">
        <f t="shared" si="0"/>
        <v>N/A</v>
      </c>
      <c r="L26" s="103"/>
    </row>
    <row r="27" spans="1:12" ht="29.45" customHeight="1" x14ac:dyDescent="0.25">
      <c r="A27" s="52"/>
      <c r="B27" s="52"/>
      <c r="C27" s="238"/>
      <c r="D27" s="639"/>
      <c r="E27" s="620"/>
      <c r="F27" s="621"/>
      <c r="G27" s="764"/>
      <c r="H27" s="765"/>
      <c r="I27" s="765"/>
      <c r="J27" s="754"/>
      <c r="K27" s="776"/>
      <c r="L27" s="777"/>
    </row>
    <row r="28" spans="1:12" s="754" customFormat="1" ht="24.6" customHeight="1" x14ac:dyDescent="0.25">
      <c r="A28" s="774"/>
      <c r="B28" s="774"/>
      <c r="C28" s="775"/>
      <c r="D28" s="887"/>
      <c r="E28" s="620"/>
      <c r="F28" s="766"/>
      <c r="G28" s="764"/>
      <c r="H28" s="437"/>
      <c r="I28" s="765"/>
      <c r="K28" s="776"/>
      <c r="L28" s="777"/>
    </row>
    <row r="29" spans="1:12" s="754" customFormat="1" ht="18.600000000000001" customHeight="1" x14ac:dyDescent="0.25">
      <c r="A29" s="778"/>
      <c r="B29" s="778"/>
      <c r="C29" s="775"/>
      <c r="D29" s="887"/>
      <c r="E29" s="620"/>
      <c r="F29" s="621"/>
      <c r="G29" s="764"/>
      <c r="H29" s="765" t="e">
        <f>IF(E9="N/A",MAX(H10:H17,H21:H26),H9)</f>
        <v>#DIV/0!</v>
      </c>
      <c r="I29" s="765"/>
      <c r="K29" s="776"/>
      <c r="L29" s="777"/>
    </row>
    <row r="30" spans="1:12" s="754" customFormat="1" ht="36.6" customHeight="1" x14ac:dyDescent="0.25">
      <c r="D30" s="887"/>
      <c r="E30" s="620"/>
      <c r="F30" s="621"/>
      <c r="G30" s="764"/>
      <c r="H30" s="765" t="str">
        <f>IF(E9="N/A",MAX(H18:H20),"N/A")</f>
        <v>N/A</v>
      </c>
      <c r="I30" s="765"/>
      <c r="K30" s="776"/>
      <c r="L30" s="777"/>
    </row>
    <row r="31" spans="1:12" ht="38.1" customHeight="1" x14ac:dyDescent="0.25">
      <c r="D31" s="887"/>
      <c r="E31" s="623"/>
      <c r="F31" s="624"/>
      <c r="G31" s="764"/>
      <c r="H31" s="765"/>
      <c r="I31" s="773"/>
      <c r="J31" s="754"/>
      <c r="K31" s="776"/>
      <c r="L31" s="777"/>
    </row>
    <row r="32" spans="1:12" x14ac:dyDescent="0.25">
      <c r="C32" s="239"/>
      <c r="E32" s="780"/>
      <c r="F32" s="754"/>
      <c r="G32" s="754"/>
      <c r="H32" s="754"/>
      <c r="I32" s="754"/>
      <c r="J32" s="754"/>
      <c r="K32" s="754"/>
      <c r="L32" s="754"/>
    </row>
    <row r="33" spans="1:26" ht="16.5" x14ac:dyDescent="0.25">
      <c r="C33" s="240"/>
      <c r="D33" s="221"/>
    </row>
    <row r="34" spans="1:26" ht="14.45" customHeight="1" x14ac:dyDescent="0.25">
      <c r="C34" s="64"/>
      <c r="D34" s="794"/>
      <c r="E34" s="794"/>
      <c r="F34" s="794"/>
      <c r="G34" s="794"/>
      <c r="H34" s="794"/>
      <c r="I34" s="794"/>
      <c r="K34" s="794"/>
      <c r="L34" s="794"/>
      <c r="M34" s="794"/>
      <c r="N34" s="794"/>
      <c r="O34" s="794"/>
      <c r="P34" s="794"/>
      <c r="R34" s="873"/>
      <c r="S34" s="873"/>
      <c r="T34" s="873"/>
      <c r="U34" s="873"/>
      <c r="V34" s="136"/>
      <c r="W34" s="873"/>
      <c r="X34" s="873"/>
      <c r="Y34" s="873"/>
      <c r="Z34" s="873"/>
    </row>
    <row r="35" spans="1:26" ht="42" customHeight="1" x14ac:dyDescent="0.25">
      <c r="C35" s="64"/>
      <c r="J35" s="222"/>
      <c r="K35" s="222"/>
      <c r="L35" s="95"/>
      <c r="M35" s="95"/>
      <c r="N35" s="95"/>
      <c r="O35" s="95"/>
      <c r="P35" s="148"/>
      <c r="R35" s="95"/>
      <c r="S35" s="95"/>
      <c r="T35" s="95"/>
      <c r="W35" s="58"/>
      <c r="X35" s="58"/>
      <c r="Y35" s="58"/>
      <c r="Z35" s="58"/>
    </row>
    <row r="36" spans="1:26" ht="66.95" customHeight="1" x14ac:dyDescent="0.25">
      <c r="C36" s="64"/>
      <c r="D36" s="221"/>
      <c r="E36" s="29"/>
      <c r="K36" s="52"/>
      <c r="L36" s="150"/>
      <c r="M36" s="150"/>
      <c r="N36" s="150"/>
      <c r="O36" s="49"/>
      <c r="P36" s="223"/>
      <c r="R36" s="49"/>
      <c r="S36" s="49"/>
      <c r="T36" s="150"/>
      <c r="U36" s="223"/>
      <c r="V36" s="150"/>
      <c r="W36" s="224"/>
      <c r="X36" s="224"/>
      <c r="Y36" s="224"/>
      <c r="Z36" s="224"/>
    </row>
    <row r="37" spans="1:26" ht="21.95" customHeight="1" x14ac:dyDescent="0.25">
      <c r="C37" s="64"/>
      <c r="D37" s="874"/>
      <c r="E37" s="875"/>
      <c r="F37" s="119"/>
      <c r="G37" s="119"/>
      <c r="H37" s="119"/>
      <c r="I37" s="119"/>
      <c r="K37" s="876"/>
      <c r="L37" s="225"/>
      <c r="M37" s="225"/>
      <c r="N37" s="225"/>
      <c r="O37" s="225"/>
      <c r="P37" s="154"/>
      <c r="R37" s="225"/>
      <c r="S37" s="225"/>
      <c r="T37" s="225"/>
      <c r="U37" s="154"/>
      <c r="V37" s="154"/>
      <c r="W37" s="154"/>
      <c r="X37" s="154"/>
      <c r="Y37" s="154"/>
      <c r="Z37" s="154"/>
    </row>
    <row r="38" spans="1:26" ht="21.95" customHeight="1" x14ac:dyDescent="0.25">
      <c r="C38" s="64"/>
      <c r="D38" s="874"/>
      <c r="E38" s="875"/>
      <c r="F38" s="226"/>
      <c r="G38" s="226"/>
      <c r="H38" s="226"/>
      <c r="I38" s="226"/>
      <c r="K38" s="876"/>
      <c r="L38" s="227"/>
      <c r="M38" s="227"/>
      <c r="N38" s="227"/>
      <c r="O38" s="227"/>
      <c r="P38" s="227"/>
      <c r="R38" s="103"/>
      <c r="S38" s="103"/>
      <c r="T38" s="103"/>
      <c r="U38" s="111"/>
      <c r="V38" s="154"/>
      <c r="W38" s="111"/>
      <c r="X38" s="103"/>
      <c r="Y38" s="227"/>
      <c r="Z38" s="103"/>
    </row>
    <row r="39" spans="1:26" ht="26.1" customHeight="1" x14ac:dyDescent="0.25">
      <c r="C39" s="64"/>
      <c r="D39" s="191"/>
      <c r="E39" s="172"/>
      <c r="F39" s="228"/>
      <c r="G39" s="228"/>
      <c r="H39" s="228"/>
      <c r="I39" s="228"/>
      <c r="K39" s="876"/>
      <c r="L39" s="103"/>
      <c r="M39" s="103"/>
      <c r="N39" s="103"/>
      <c r="O39" s="103"/>
      <c r="P39" s="103"/>
      <c r="Q39" s="136"/>
      <c r="V39" s="136"/>
      <c r="W39" s="111"/>
      <c r="X39" s="103"/>
      <c r="Y39" s="111"/>
      <c r="Z39" s="103"/>
    </row>
    <row r="40" spans="1:26" ht="21.6" customHeight="1" x14ac:dyDescent="0.25">
      <c r="C40" s="64"/>
      <c r="D40" s="191"/>
      <c r="E40" s="229"/>
      <c r="F40" s="230"/>
      <c r="G40" s="230"/>
      <c r="H40" s="103"/>
      <c r="I40" s="230"/>
      <c r="K40" s="83"/>
      <c r="L40" s="103"/>
      <c r="M40" s="103"/>
      <c r="N40" s="103"/>
      <c r="O40" s="103"/>
      <c r="P40" s="103"/>
      <c r="Q40" s="136"/>
      <c r="R40" s="136"/>
      <c r="S40" s="136"/>
      <c r="T40" s="136"/>
      <c r="U40" s="136"/>
      <c r="V40" s="136"/>
      <c r="W40" s="111"/>
      <c r="X40" s="103"/>
      <c r="Y40" s="111"/>
      <c r="Z40" s="103"/>
    </row>
    <row r="41" spans="1:26" ht="18" customHeight="1" x14ac:dyDescent="0.25">
      <c r="A41" s="877"/>
      <c r="B41" s="231"/>
      <c r="D41" s="878"/>
      <c r="E41" s="216"/>
      <c r="F41" s="103"/>
      <c r="G41" s="103"/>
      <c r="H41" s="103"/>
      <c r="I41" s="103"/>
      <c r="K41" s="83"/>
      <c r="L41" s="103"/>
      <c r="M41" s="103"/>
      <c r="N41" s="103"/>
      <c r="O41" s="103"/>
      <c r="P41" s="103"/>
      <c r="Q41" s="136"/>
      <c r="R41" s="136"/>
      <c r="S41" s="136"/>
      <c r="T41" s="136"/>
      <c r="U41" s="136"/>
      <c r="V41" s="136"/>
      <c r="W41" s="103"/>
      <c r="X41" s="103"/>
      <c r="Y41" s="103"/>
      <c r="Z41" s="103"/>
    </row>
    <row r="42" spans="1:26" x14ac:dyDescent="0.25">
      <c r="A42" s="877"/>
      <c r="B42" s="231"/>
      <c r="D42" s="879"/>
      <c r="E42" s="216"/>
      <c r="F42" s="103"/>
      <c r="G42" s="103"/>
      <c r="H42" s="103"/>
      <c r="I42" s="103"/>
      <c r="L42" s="103"/>
      <c r="M42" s="103"/>
      <c r="N42" s="103"/>
      <c r="O42" s="103"/>
      <c r="P42" s="103"/>
      <c r="Q42" s="136"/>
      <c r="R42" s="103"/>
      <c r="S42" s="103"/>
      <c r="T42" s="103"/>
      <c r="U42" s="111"/>
      <c r="V42" s="219"/>
      <c r="W42" s="103"/>
      <c r="X42" s="103"/>
      <c r="Y42" s="103"/>
      <c r="Z42" s="103"/>
    </row>
    <row r="43" spans="1:26" x14ac:dyDescent="0.25">
      <c r="D43" s="879"/>
      <c r="E43" s="232"/>
      <c r="F43" s="103"/>
      <c r="G43" s="103"/>
      <c r="H43" s="103"/>
      <c r="I43" s="103"/>
      <c r="L43" s="103"/>
      <c r="M43" s="103"/>
      <c r="N43" s="103"/>
      <c r="O43" s="103"/>
      <c r="P43" s="103"/>
      <c r="Q43" s="136"/>
      <c r="R43" s="103"/>
      <c r="S43" s="103"/>
      <c r="T43" s="103"/>
      <c r="U43" s="111"/>
      <c r="V43" s="219"/>
      <c r="W43" s="103"/>
      <c r="X43" s="103"/>
      <c r="Y43" s="103"/>
      <c r="Z43" s="103"/>
    </row>
    <row r="44" spans="1:26" x14ac:dyDescent="0.25">
      <c r="D44" s="879"/>
      <c r="E44" s="216"/>
      <c r="F44" s="103"/>
      <c r="G44" s="103"/>
      <c r="H44" s="103"/>
      <c r="I44" s="103"/>
      <c r="L44" s="103"/>
      <c r="M44" s="103"/>
      <c r="N44" s="103"/>
      <c r="O44" s="103"/>
      <c r="P44" s="103"/>
      <c r="Q44" s="136"/>
      <c r="R44" s="103"/>
      <c r="S44" s="103"/>
      <c r="T44" s="103"/>
      <c r="U44" s="111"/>
      <c r="V44" s="103"/>
      <c r="W44" s="103"/>
      <c r="X44" s="103"/>
      <c r="Y44" s="103"/>
      <c r="Z44" s="103"/>
    </row>
    <row r="45" spans="1:26" x14ac:dyDescent="0.25">
      <c r="D45" s="879"/>
      <c r="E45" s="216"/>
      <c r="F45" s="103"/>
      <c r="G45" s="103"/>
      <c r="H45" s="103"/>
      <c r="I45" s="103"/>
      <c r="L45" s="103"/>
      <c r="M45" s="103"/>
      <c r="N45" s="103"/>
      <c r="O45" s="103"/>
      <c r="P45" s="103"/>
      <c r="Q45" s="136"/>
      <c r="R45" s="103"/>
      <c r="S45" s="103"/>
      <c r="T45" s="103"/>
      <c r="U45" s="111"/>
      <c r="V45" s="219"/>
      <c r="W45" s="103"/>
      <c r="X45" s="103"/>
      <c r="Y45" s="103"/>
      <c r="Z45" s="103"/>
    </row>
    <row r="46" spans="1:26" x14ac:dyDescent="0.25">
      <c r="D46" s="878"/>
      <c r="E46" s="216"/>
      <c r="F46" s="103"/>
      <c r="G46" s="103"/>
      <c r="H46" s="103"/>
      <c r="I46" s="103"/>
      <c r="L46" s="103"/>
      <c r="M46" s="103"/>
      <c r="N46" s="103"/>
      <c r="O46" s="103"/>
      <c r="P46" s="103"/>
      <c r="Q46" s="136"/>
      <c r="R46" s="103"/>
      <c r="S46" s="103"/>
      <c r="T46" s="103"/>
      <c r="U46" s="111"/>
      <c r="V46" s="219"/>
      <c r="W46" s="103"/>
      <c r="X46" s="103"/>
      <c r="Y46" s="103"/>
      <c r="Z46" s="103"/>
    </row>
    <row r="47" spans="1:26" x14ac:dyDescent="0.25">
      <c r="D47" s="879"/>
      <c r="E47" s="216"/>
      <c r="F47" s="103"/>
      <c r="G47" s="103"/>
      <c r="H47" s="103"/>
      <c r="I47" s="103"/>
      <c r="L47" s="103"/>
      <c r="M47" s="103"/>
      <c r="N47" s="103"/>
      <c r="O47" s="103"/>
      <c r="P47" s="103"/>
      <c r="Q47" s="136"/>
      <c r="R47" s="103"/>
      <c r="S47" s="103"/>
      <c r="T47" s="103"/>
      <c r="U47" s="111"/>
      <c r="V47" s="219"/>
      <c r="W47" s="103"/>
      <c r="X47" s="103"/>
      <c r="Y47" s="103"/>
      <c r="Z47" s="103"/>
    </row>
    <row r="48" spans="1:26" x14ac:dyDescent="0.25">
      <c r="D48" s="879"/>
      <c r="E48" s="216"/>
      <c r="F48" s="103"/>
      <c r="G48" s="103"/>
      <c r="H48" s="103"/>
      <c r="I48" s="103"/>
      <c r="L48" s="103"/>
      <c r="M48" s="103"/>
      <c r="N48" s="103"/>
      <c r="O48" s="103"/>
      <c r="P48" s="103"/>
      <c r="Q48" s="136"/>
      <c r="R48" s="103"/>
      <c r="S48" s="103"/>
      <c r="T48" s="103"/>
      <c r="U48" s="111"/>
      <c r="V48" s="219"/>
      <c r="W48" s="103"/>
      <c r="X48" s="103"/>
      <c r="Y48" s="103"/>
      <c r="Z48" s="103"/>
    </row>
    <row r="49" spans="4:26" x14ac:dyDescent="0.25">
      <c r="D49" s="882"/>
      <c r="E49" s="216"/>
      <c r="F49" s="103"/>
      <c r="G49" s="103"/>
      <c r="H49" s="103"/>
      <c r="I49" s="103"/>
      <c r="L49" s="103"/>
      <c r="M49" s="103"/>
      <c r="N49" s="103"/>
      <c r="O49" s="103"/>
      <c r="P49" s="103"/>
      <c r="Q49" s="136"/>
      <c r="R49" s="103"/>
      <c r="S49" s="103"/>
      <c r="T49" s="103"/>
      <c r="U49" s="111"/>
      <c r="V49" s="219"/>
      <c r="W49" s="103"/>
      <c r="X49" s="103"/>
      <c r="Y49" s="103"/>
      <c r="Z49" s="103"/>
    </row>
    <row r="50" spans="4:26" x14ac:dyDescent="0.25">
      <c r="D50" s="882"/>
      <c r="E50" s="216"/>
      <c r="F50" s="103"/>
      <c r="G50" s="103"/>
      <c r="H50" s="103"/>
      <c r="I50" s="103"/>
      <c r="L50" s="103"/>
      <c r="M50" s="103"/>
      <c r="N50" s="103"/>
      <c r="O50" s="103"/>
      <c r="P50" s="103"/>
      <c r="Q50" s="136"/>
      <c r="R50" s="103"/>
      <c r="S50" s="103"/>
      <c r="T50" s="103"/>
      <c r="U50" s="111"/>
      <c r="V50" s="219"/>
      <c r="W50" s="103"/>
      <c r="X50" s="103"/>
      <c r="Y50" s="103"/>
      <c r="Z50" s="103"/>
    </row>
    <row r="51" spans="4:26" x14ac:dyDescent="0.25">
      <c r="D51" s="883"/>
      <c r="E51" s="215"/>
      <c r="F51" s="103"/>
      <c r="G51" s="103"/>
      <c r="H51" s="103"/>
      <c r="I51" s="103"/>
      <c r="L51" s="103"/>
      <c r="M51" s="103"/>
      <c r="N51" s="103"/>
      <c r="O51" s="103"/>
      <c r="P51" s="103"/>
      <c r="Q51" s="136"/>
      <c r="R51" s="103"/>
      <c r="S51" s="103"/>
      <c r="T51" s="103"/>
      <c r="U51" s="111"/>
      <c r="V51" s="219"/>
      <c r="W51" s="103"/>
      <c r="X51" s="103"/>
      <c r="Y51" s="103"/>
      <c r="Z51" s="103"/>
    </row>
    <row r="52" spans="4:26" x14ac:dyDescent="0.25">
      <c r="D52" s="881"/>
      <c r="E52" s="215"/>
      <c r="F52" s="103"/>
      <c r="G52" s="103"/>
      <c r="H52" s="103"/>
      <c r="I52" s="103"/>
      <c r="L52" s="103"/>
      <c r="M52" s="103"/>
      <c r="N52" s="103"/>
      <c r="O52" s="103"/>
      <c r="P52" s="103"/>
      <c r="Q52" s="136"/>
      <c r="R52" s="103"/>
      <c r="S52" s="103"/>
      <c r="T52" s="103"/>
      <c r="U52" s="111"/>
      <c r="V52" s="219"/>
      <c r="W52" s="103"/>
      <c r="X52" s="103"/>
      <c r="Y52" s="103"/>
      <c r="Z52" s="103"/>
    </row>
    <row r="53" spans="4:26" x14ac:dyDescent="0.25">
      <c r="D53" s="881"/>
      <c r="E53" s="232"/>
      <c r="F53" s="103"/>
      <c r="G53" s="103"/>
      <c r="H53" s="103"/>
      <c r="I53" s="103"/>
      <c r="L53" s="103"/>
      <c r="M53" s="103"/>
      <c r="N53" s="103"/>
      <c r="O53" s="103"/>
      <c r="P53" s="103"/>
      <c r="Q53" s="136"/>
      <c r="R53" s="103"/>
      <c r="S53" s="103"/>
      <c r="T53" s="103"/>
      <c r="U53" s="111"/>
      <c r="V53" s="219"/>
      <c r="W53" s="103"/>
      <c r="X53" s="103"/>
      <c r="Y53" s="103"/>
      <c r="Z53" s="103"/>
    </row>
    <row r="54" spans="4:26" x14ac:dyDescent="0.25">
      <c r="D54" s="881"/>
      <c r="E54" s="216"/>
      <c r="F54" s="103"/>
      <c r="G54" s="103"/>
      <c r="H54" s="103"/>
      <c r="I54" s="103"/>
      <c r="L54" s="103"/>
      <c r="M54" s="103"/>
      <c r="N54" s="103"/>
      <c r="O54" s="103"/>
      <c r="P54" s="103"/>
      <c r="Q54" s="136"/>
      <c r="R54" s="103"/>
      <c r="S54" s="103"/>
      <c r="T54" s="103"/>
      <c r="U54" s="111"/>
      <c r="V54" s="219"/>
      <c r="W54" s="103"/>
      <c r="X54" s="103"/>
      <c r="Y54" s="103"/>
      <c r="Z54" s="103"/>
    </row>
    <row r="55" spans="4:26" x14ac:dyDescent="0.25">
      <c r="D55" s="881"/>
      <c r="E55" s="215"/>
      <c r="F55" s="103"/>
      <c r="G55" s="103"/>
      <c r="H55" s="103"/>
      <c r="I55" s="103"/>
      <c r="L55" s="103"/>
      <c r="M55" s="103"/>
      <c r="N55" s="103"/>
      <c r="O55" s="103"/>
      <c r="P55" s="103"/>
      <c r="Q55" s="136"/>
      <c r="R55" s="103"/>
      <c r="S55" s="103"/>
      <c r="T55" s="103"/>
      <c r="U55" s="111"/>
      <c r="V55" s="219"/>
      <c r="W55" s="103"/>
      <c r="X55" s="103"/>
      <c r="Y55" s="103"/>
      <c r="Z55" s="103"/>
    </row>
    <row r="56" spans="4:26" ht="30.6" customHeight="1" x14ac:dyDescent="0.25">
      <c r="D56" s="881"/>
      <c r="E56" s="216"/>
      <c r="F56" s="103"/>
      <c r="G56" s="103"/>
      <c r="H56" s="103"/>
      <c r="I56" s="103"/>
      <c r="L56" s="103"/>
      <c r="M56" s="103"/>
      <c r="N56" s="103"/>
      <c r="O56" s="103"/>
      <c r="P56" s="103"/>
      <c r="Q56" s="136"/>
      <c r="R56" s="103"/>
      <c r="S56" s="103"/>
      <c r="T56" s="103"/>
      <c r="U56" s="111"/>
      <c r="V56" s="219"/>
      <c r="W56" s="103"/>
      <c r="X56" s="103"/>
      <c r="Y56" s="103"/>
      <c r="Z56" s="103"/>
    </row>
    <row r="57" spans="4:26" ht="23.45" customHeight="1" x14ac:dyDescent="0.25">
      <c r="D57" s="881"/>
      <c r="E57" s="215"/>
      <c r="F57" s="103"/>
      <c r="G57" s="103"/>
      <c r="H57" s="103"/>
      <c r="I57" s="103"/>
      <c r="L57" s="103"/>
      <c r="M57" s="103"/>
      <c r="N57" s="103"/>
      <c r="O57" s="103"/>
      <c r="P57" s="103"/>
      <c r="Q57" s="136"/>
      <c r="R57" s="103"/>
      <c r="S57" s="103"/>
      <c r="T57" s="103"/>
      <c r="U57" s="111"/>
      <c r="V57" s="219"/>
      <c r="W57" s="103"/>
      <c r="X57" s="103"/>
      <c r="Y57" s="103"/>
      <c r="Z57" s="103"/>
    </row>
    <row r="58" spans="4:26" x14ac:dyDescent="0.25">
      <c r="D58" s="884"/>
      <c r="E58" s="216"/>
      <c r="F58" s="103"/>
      <c r="G58" s="103"/>
      <c r="H58" s="103"/>
      <c r="I58" s="103"/>
      <c r="L58" s="103"/>
      <c r="M58" s="103"/>
      <c r="N58" s="103"/>
      <c r="O58" s="103"/>
      <c r="P58" s="103"/>
      <c r="Q58" s="136"/>
      <c r="R58" s="103"/>
      <c r="S58" s="103"/>
      <c r="T58" s="103"/>
      <c r="U58" s="111"/>
      <c r="V58" s="219"/>
      <c r="W58" s="103"/>
      <c r="X58" s="103"/>
      <c r="Y58" s="103"/>
      <c r="Z58" s="103"/>
    </row>
    <row r="59" spans="4:26" ht="36.6" customHeight="1" x14ac:dyDescent="0.25">
      <c r="D59" s="884"/>
      <c r="E59" s="216"/>
      <c r="F59" s="103"/>
      <c r="G59" s="103"/>
      <c r="H59" s="103"/>
      <c r="I59" s="103"/>
      <c r="L59" s="219"/>
      <c r="M59" s="219"/>
      <c r="N59" s="219"/>
      <c r="O59" s="219"/>
      <c r="P59" s="219"/>
      <c r="Q59" s="136"/>
      <c r="R59" s="103"/>
      <c r="S59" s="103"/>
      <c r="T59" s="103"/>
      <c r="U59" s="111"/>
      <c r="V59" s="219"/>
      <c r="W59" s="219"/>
      <c r="X59" s="219"/>
      <c r="Y59" s="219"/>
      <c r="Z59" s="219"/>
    </row>
    <row r="60" spans="4:26" x14ac:dyDescent="0.25">
      <c r="D60" s="881"/>
      <c r="E60" s="216"/>
      <c r="F60" s="103"/>
      <c r="G60" s="103"/>
      <c r="H60" s="103"/>
      <c r="I60" s="103"/>
      <c r="R60" s="885"/>
      <c r="S60" s="885"/>
      <c r="T60" s="233"/>
      <c r="U60" s="886"/>
      <c r="V60" s="222"/>
    </row>
    <row r="61" spans="4:26" x14ac:dyDescent="0.25">
      <c r="D61" s="881"/>
      <c r="E61" s="218"/>
      <c r="F61" s="103"/>
      <c r="G61" s="103"/>
      <c r="H61" s="103"/>
      <c r="I61" s="103"/>
      <c r="L61" s="222"/>
      <c r="M61" s="222"/>
      <c r="N61" s="222"/>
      <c r="O61" s="222"/>
      <c r="P61" s="219"/>
      <c r="R61" s="885"/>
      <c r="S61" s="885"/>
      <c r="T61" s="233"/>
      <c r="U61" s="886"/>
      <c r="V61" s="222"/>
      <c r="W61" s="222"/>
      <c r="X61" s="222"/>
      <c r="Y61" s="222"/>
      <c r="Z61" s="222"/>
    </row>
    <row r="62" spans="4:26" x14ac:dyDescent="0.25">
      <c r="D62" s="214"/>
      <c r="E62" s="218"/>
      <c r="F62" s="219"/>
      <c r="G62" s="219"/>
      <c r="H62" s="219"/>
      <c r="I62" s="219"/>
      <c r="L62" s="52"/>
      <c r="M62" s="52"/>
      <c r="N62" s="52"/>
    </row>
    <row r="63" spans="4:26" ht="13.5" customHeight="1" x14ac:dyDescent="0.25">
      <c r="D63" s="874"/>
      <c r="E63" s="875"/>
      <c r="F63" s="119"/>
      <c r="G63" s="119"/>
      <c r="H63" s="119"/>
      <c r="I63" s="119"/>
      <c r="K63" s="876"/>
    </row>
    <row r="64" spans="4:26" ht="0.6" customHeight="1" x14ac:dyDescent="0.25">
      <c r="D64" s="874"/>
      <c r="E64" s="875"/>
      <c r="F64" s="226"/>
      <c r="G64" s="226"/>
      <c r="H64" s="226"/>
      <c r="I64" s="226"/>
      <c r="K64" s="876"/>
    </row>
    <row r="65" spans="4:11" ht="14.45" customHeight="1" x14ac:dyDescent="0.25">
      <c r="D65" s="191"/>
      <c r="E65" s="172"/>
      <c r="F65" s="228"/>
      <c r="G65" s="228"/>
      <c r="H65" s="228"/>
      <c r="I65" s="228"/>
      <c r="K65" s="876"/>
    </row>
    <row r="66" spans="4:11" x14ac:dyDescent="0.25">
      <c r="D66" s="191"/>
      <c r="E66" s="229"/>
      <c r="F66" s="230"/>
      <c r="G66" s="230"/>
      <c r="H66" s="103"/>
      <c r="I66" s="230"/>
      <c r="K66" s="83"/>
    </row>
    <row r="67" spans="4:11" x14ac:dyDescent="0.25">
      <c r="D67" s="878"/>
      <c r="E67" s="216"/>
      <c r="F67" s="103"/>
      <c r="G67" s="103"/>
      <c r="H67" s="103"/>
      <c r="I67" s="103"/>
      <c r="K67" s="83"/>
    </row>
    <row r="68" spans="4:11" x14ac:dyDescent="0.25">
      <c r="D68" s="879"/>
      <c r="E68" s="216"/>
      <c r="F68" s="103"/>
      <c r="G68" s="103"/>
      <c r="H68" s="103"/>
      <c r="I68" s="103"/>
    </row>
    <row r="69" spans="4:11" x14ac:dyDescent="0.25">
      <c r="D69" s="879"/>
      <c r="E69" s="232"/>
      <c r="F69" s="103"/>
      <c r="G69" s="103"/>
      <c r="H69" s="103"/>
      <c r="I69" s="103"/>
    </row>
    <row r="70" spans="4:11" x14ac:dyDescent="0.25">
      <c r="D70" s="879"/>
      <c r="E70" s="216"/>
      <c r="F70" s="103"/>
      <c r="G70" s="103"/>
      <c r="H70" s="103"/>
      <c r="I70" s="103"/>
    </row>
    <row r="71" spans="4:11" x14ac:dyDescent="0.25">
      <c r="D71" s="879"/>
      <c r="E71" s="216"/>
      <c r="F71" s="103"/>
      <c r="G71" s="103"/>
      <c r="H71" s="103"/>
      <c r="I71" s="103"/>
    </row>
    <row r="72" spans="4:11" x14ac:dyDescent="0.25">
      <c r="D72" s="878"/>
      <c r="E72" s="216"/>
      <c r="F72" s="103"/>
      <c r="G72" s="103"/>
      <c r="H72" s="103"/>
      <c r="I72" s="103"/>
    </row>
    <row r="73" spans="4:11" x14ac:dyDescent="0.25">
      <c r="D73" s="879"/>
      <c r="E73" s="216"/>
      <c r="F73" s="103"/>
      <c r="G73" s="103"/>
      <c r="H73" s="103"/>
      <c r="I73" s="103"/>
    </row>
    <row r="74" spans="4:11" x14ac:dyDescent="0.25">
      <c r="D74" s="879"/>
      <c r="E74" s="216"/>
      <c r="F74" s="103"/>
      <c r="G74" s="103"/>
      <c r="H74" s="103"/>
      <c r="I74" s="103"/>
    </row>
    <row r="75" spans="4:11" x14ac:dyDescent="0.25">
      <c r="D75" s="882"/>
      <c r="E75" s="216"/>
      <c r="F75" s="103"/>
      <c r="G75" s="103"/>
      <c r="H75" s="103"/>
      <c r="I75" s="103"/>
    </row>
    <row r="76" spans="4:11" x14ac:dyDescent="0.25">
      <c r="D76" s="882"/>
      <c r="E76" s="216"/>
      <c r="F76" s="103"/>
      <c r="G76" s="103"/>
      <c r="H76" s="103"/>
      <c r="I76" s="103"/>
    </row>
    <row r="77" spans="4:11" x14ac:dyDescent="0.25">
      <c r="D77" s="882"/>
      <c r="E77" s="215"/>
      <c r="F77" s="103"/>
      <c r="G77" s="103"/>
      <c r="H77" s="103"/>
      <c r="I77" s="103"/>
    </row>
    <row r="78" spans="4:11" x14ac:dyDescent="0.25">
      <c r="D78" s="879"/>
      <c r="E78" s="215"/>
      <c r="F78" s="103"/>
      <c r="G78" s="103"/>
      <c r="H78" s="103"/>
      <c r="I78" s="103"/>
    </row>
    <row r="79" spans="4:11" x14ac:dyDescent="0.25">
      <c r="D79" s="879"/>
      <c r="E79" s="232"/>
      <c r="F79" s="103"/>
      <c r="G79" s="103"/>
      <c r="H79" s="103"/>
      <c r="I79" s="103"/>
    </row>
    <row r="80" spans="4:11" x14ac:dyDescent="0.25">
      <c r="D80" s="879"/>
      <c r="E80" s="216"/>
      <c r="F80" s="103"/>
      <c r="G80" s="103"/>
      <c r="H80" s="103"/>
      <c r="I80" s="103"/>
    </row>
    <row r="81" spans="4:9" x14ac:dyDescent="0.25">
      <c r="D81" s="879"/>
      <c r="E81" s="215"/>
      <c r="F81" s="103"/>
      <c r="G81" s="103"/>
      <c r="H81" s="103"/>
      <c r="I81" s="103"/>
    </row>
    <row r="82" spans="4:9" x14ac:dyDescent="0.25">
      <c r="D82" s="879"/>
      <c r="E82" s="216"/>
      <c r="F82" s="103"/>
      <c r="G82" s="103"/>
      <c r="H82" s="103"/>
      <c r="I82" s="103"/>
    </row>
    <row r="83" spans="4:9" ht="15.75" thickBot="1" x14ac:dyDescent="0.3">
      <c r="D83" s="879"/>
      <c r="E83" s="215"/>
      <c r="F83" s="103"/>
      <c r="G83" s="103"/>
      <c r="H83" s="103"/>
      <c r="I83" s="103"/>
    </row>
    <row r="84" spans="4:9" ht="21.95" customHeight="1" x14ac:dyDescent="0.25">
      <c r="D84" s="989"/>
      <c r="E84" s="216"/>
      <c r="F84" s="103"/>
      <c r="G84" s="103"/>
      <c r="H84" s="103"/>
      <c r="I84" s="103"/>
    </row>
    <row r="85" spans="4:9" ht="22.5" customHeight="1" x14ac:dyDescent="0.25">
      <c r="D85" s="882"/>
      <c r="E85" s="216"/>
      <c r="F85" s="103"/>
      <c r="G85" s="103"/>
      <c r="H85" s="103"/>
      <c r="I85" s="103"/>
    </row>
    <row r="86" spans="4:9" ht="28.5" customHeight="1" x14ac:dyDescent="0.25">
      <c r="D86" s="893"/>
      <c r="E86" s="216"/>
      <c r="F86" s="103"/>
      <c r="G86" s="103"/>
      <c r="H86" s="103"/>
      <c r="I86" s="103"/>
    </row>
    <row r="87" spans="4:9" ht="27.6" customHeight="1" thickBot="1" x14ac:dyDescent="0.3">
      <c r="D87" s="894"/>
      <c r="E87" s="218"/>
      <c r="F87" s="103"/>
      <c r="G87" s="103"/>
      <c r="H87" s="103"/>
      <c r="I87" s="103"/>
    </row>
    <row r="88" spans="4:9" x14ac:dyDescent="0.25">
      <c r="D88" s="214"/>
      <c r="E88" s="218"/>
      <c r="F88" s="219"/>
      <c r="G88" s="219"/>
      <c r="H88" s="219"/>
      <c r="I88" s="219"/>
    </row>
  </sheetData>
  <sheetProtection algorithmName="SHA-512" hashValue="ZmrM2s0L1dLzgxvXeU9sPzi0Cz9mFMqEjmLkpzGUDa8ESueVnS1ah49sGPG3ZWpsa7IIm/IUJ5TuoCcBemgH1A==" saltValue="XC0D8BRdCxS8KMVHwKSimA==" spinCount="100000" sheet="1" selectLockedCells="1"/>
  <mergeCells count="36">
    <mergeCell ref="R34:U34"/>
    <mergeCell ref="W34:Z34"/>
    <mergeCell ref="A41:A42"/>
    <mergeCell ref="D28:D31"/>
    <mergeCell ref="D34:I34"/>
    <mergeCell ref="D37:D38"/>
    <mergeCell ref="E37:E38"/>
    <mergeCell ref="K37:K39"/>
    <mergeCell ref="D41:D45"/>
    <mergeCell ref="K34:P34"/>
    <mergeCell ref="U60:U61"/>
    <mergeCell ref="D63:D64"/>
    <mergeCell ref="E63:E64"/>
    <mergeCell ref="K63:K65"/>
    <mergeCell ref="D67:D71"/>
    <mergeCell ref="R60:R61"/>
    <mergeCell ref="D46:D48"/>
    <mergeCell ref="D49:D51"/>
    <mergeCell ref="D52:D57"/>
    <mergeCell ref="D60:D61"/>
    <mergeCell ref="S60:S61"/>
    <mergeCell ref="D58:D59"/>
    <mergeCell ref="D72:D74"/>
    <mergeCell ref="D75:D77"/>
    <mergeCell ref="D78:D83"/>
    <mergeCell ref="D84:D85"/>
    <mergeCell ref="D86:D87"/>
    <mergeCell ref="H6:I6"/>
    <mergeCell ref="D18:D20"/>
    <mergeCell ref="D21:D26"/>
    <mergeCell ref="D4:I4"/>
    <mergeCell ref="A6:A7"/>
    <mergeCell ref="A9:A10"/>
    <mergeCell ref="D6:D7"/>
    <mergeCell ref="E6:E7"/>
    <mergeCell ref="D10:D17"/>
  </mergeCells>
  <conditionalFormatting sqref="E9:E26">
    <cfRule type="cellIs" dxfId="48" priority="4" operator="equal">
      <formula>0</formula>
    </cfRule>
  </conditionalFormatting>
  <conditionalFormatting sqref="F9:G26">
    <cfRule type="containsBlanks" dxfId="47" priority="24">
      <formula>LEN(TRIM(F9))=0</formula>
    </cfRule>
  </conditionalFormatting>
  <conditionalFormatting sqref="H9:H27 H31">
    <cfRule type="cellIs" dxfId="46" priority="15" operator="equal">
      <formula>"Low"</formula>
    </cfRule>
    <cfRule type="cellIs" dxfId="45" priority="16" operator="equal">
      <formula>"Medium"</formula>
    </cfRule>
    <cfRule type="cellIs" dxfId="44" priority="17" operator="equal">
      <formula>"High"</formula>
    </cfRule>
  </conditionalFormatting>
  <conditionalFormatting sqref="I9:I26">
    <cfRule type="cellIs" dxfId="43" priority="3" operator="equal">
      <formula>"N/A"</formula>
    </cfRule>
    <cfRule type="cellIs" dxfId="42" priority="9" operator="equal">
      <formula>"Low"</formula>
    </cfRule>
    <cfRule type="cellIs" dxfId="41" priority="10" operator="equal">
      <formula>"Medium"</formula>
    </cfRule>
    <cfRule type="cellIs" dxfId="40" priority="11" operator="equal">
      <formula>"High"</formula>
    </cfRule>
  </conditionalFormatting>
  <conditionalFormatting sqref="L25:L31">
    <cfRule type="cellIs" dxfId="39" priority="12" operator="equal">
      <formula>"Low"</formula>
    </cfRule>
    <cfRule type="cellIs" dxfId="38" priority="13" operator="equal">
      <formula>"Medium"</formula>
    </cfRule>
    <cfRule type="cellIs" dxfId="37" priority="14" operator="equal">
      <formula>"High"</formula>
    </cfRule>
  </conditionalFormatting>
  <conditionalFormatting sqref="X38:X40">
    <cfRule type="cellIs" dxfId="36" priority="21" operator="equal">
      <formula>"Low"</formula>
    </cfRule>
    <cfRule type="cellIs" dxfId="35" priority="22" operator="equal">
      <formula>"Medium"</formula>
    </cfRule>
    <cfRule type="cellIs" dxfId="34" priority="23" operator="equal">
      <formula>"High"</formula>
    </cfRule>
  </conditionalFormatting>
  <conditionalFormatting sqref="Z38:Z40">
    <cfRule type="cellIs" dxfId="33" priority="18" operator="equal">
      <formula>"Low"</formula>
    </cfRule>
    <cfRule type="cellIs" dxfId="32" priority="19" operator="equal">
      <formula>"Medium"</formula>
    </cfRule>
    <cfRule type="cellIs" dxfId="31" priority="20"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541A-9156-4F4B-AAB7-1D770F58AB9D}">
  <sheetPr codeName="Sheet13">
    <tabColor theme="0" tint="-0.499984740745262"/>
  </sheetPr>
  <dimension ref="A2:AG66"/>
  <sheetViews>
    <sheetView zoomScale="70" zoomScaleNormal="70" workbookViewId="0">
      <selection activeCell="AD37" sqref="AD37"/>
    </sheetView>
  </sheetViews>
  <sheetFormatPr defaultColWidth="9.140625" defaultRowHeight="15" x14ac:dyDescent="0.25"/>
  <cols>
    <col min="1" max="1" width="41.42578125" style="29" customWidth="1"/>
    <col min="2" max="2" width="3.5703125" style="191" customWidth="1"/>
    <col min="3" max="3" width="5.85546875" style="29" customWidth="1"/>
    <col min="4" max="4" width="55.7109375" style="29" customWidth="1"/>
    <col min="5" max="5" width="21.140625" style="29" customWidth="1"/>
    <col min="6" max="8" width="16.140625" style="29" customWidth="1"/>
    <col min="9" max="9" width="19.7109375" style="29" customWidth="1"/>
    <col min="10" max="10" width="20.85546875" style="29" customWidth="1"/>
    <col min="11" max="16" width="16.140625" style="29" customWidth="1"/>
    <col min="17" max="17" width="20.5703125" style="29" customWidth="1"/>
    <col min="18" max="18" width="16.140625" style="29" customWidth="1"/>
    <col min="19" max="19" width="25.5703125" style="29" customWidth="1"/>
    <col min="20" max="21" width="16.140625" style="29" customWidth="1"/>
    <col min="22" max="22" width="24.42578125" style="29" customWidth="1"/>
    <col min="23" max="23" width="1.85546875" style="29" customWidth="1"/>
    <col min="24" max="24" width="31.42578125" style="29" customWidth="1"/>
    <col min="25" max="25" width="4" style="29" customWidth="1"/>
    <col min="26" max="26" width="25.140625" style="29" customWidth="1"/>
    <col min="27" max="16384" width="9.140625" style="29"/>
  </cols>
  <sheetData>
    <row r="2" spans="1:33" ht="36.75" customHeight="1" x14ac:dyDescent="0.3">
      <c r="D2" s="91" t="s">
        <v>344</v>
      </c>
      <c r="E2" s="37"/>
      <c r="F2" s="37"/>
    </row>
    <row r="3" spans="1:33" ht="41.45" customHeight="1" thickBot="1" x14ac:dyDescent="0.5">
      <c r="D3" s="242" t="s">
        <v>136</v>
      </c>
      <c r="E3" s="242"/>
      <c r="F3" s="242"/>
      <c r="G3" s="242"/>
      <c r="H3" s="242"/>
      <c r="I3" s="205"/>
      <c r="J3" s="205"/>
      <c r="K3" s="205"/>
      <c r="L3" s="205"/>
      <c r="M3" s="205"/>
      <c r="N3" s="205"/>
      <c r="O3" s="205"/>
      <c r="P3" s="205"/>
      <c r="Q3" s="205"/>
      <c r="R3" s="205"/>
      <c r="S3" s="205"/>
      <c r="T3" s="205"/>
      <c r="U3" s="205"/>
      <c r="V3" s="205"/>
      <c r="X3" s="19"/>
      <c r="Y3" s="19"/>
      <c r="Z3" s="19"/>
    </row>
    <row r="4" spans="1:33" ht="24" customHeight="1" thickTop="1" x14ac:dyDescent="0.45">
      <c r="B4" s="36"/>
      <c r="D4" s="73"/>
      <c r="E4" s="35"/>
      <c r="F4" s="35"/>
      <c r="G4" s="35"/>
      <c r="H4" s="35"/>
      <c r="X4" s="19"/>
      <c r="Y4" s="19"/>
      <c r="Z4" s="19"/>
    </row>
    <row r="5" spans="1:33" ht="17.45" customHeight="1" x14ac:dyDescent="0.45">
      <c r="A5" s="36"/>
      <c r="B5" s="96"/>
      <c r="C5" s="37"/>
      <c r="D5" s="243"/>
      <c r="E5" s="35"/>
      <c r="F5" s="35"/>
      <c r="G5" s="35"/>
      <c r="H5" s="35"/>
      <c r="Q5" s="907" t="s">
        <v>137</v>
      </c>
      <c r="R5" s="907"/>
      <c r="S5" s="907"/>
      <c r="T5" s="907"/>
      <c r="U5" s="907"/>
      <c r="V5" s="907"/>
      <c r="X5" s="19"/>
      <c r="Y5" s="19"/>
      <c r="Z5" s="19"/>
    </row>
    <row r="6" spans="1:33" ht="19.5" customHeight="1" x14ac:dyDescent="0.45">
      <c r="A6" s="244"/>
      <c r="B6" s="96"/>
      <c r="C6" s="37"/>
      <c r="D6" s="243" t="s">
        <v>138</v>
      </c>
      <c r="E6" s="35"/>
      <c r="F6" s="35"/>
      <c r="G6" s="35"/>
      <c r="H6" s="35"/>
      <c r="Q6" s="1040" t="str">
        <f>'Wind-Step 2'!G5</f>
        <v>Small Residential/Office/Shop</v>
      </c>
      <c r="R6" s="1040"/>
      <c r="S6" s="1040"/>
      <c r="T6" s="1040"/>
      <c r="U6" s="1040"/>
      <c r="V6" s="1040"/>
      <c r="X6" s="19"/>
      <c r="Y6" s="19"/>
      <c r="Z6" s="19"/>
    </row>
    <row r="7" spans="1:33" ht="6.6" customHeight="1" x14ac:dyDescent="0.45">
      <c r="A7" s="36"/>
      <c r="B7" s="96"/>
      <c r="C7" s="37"/>
      <c r="D7" s="243"/>
      <c r="E7" s="35"/>
      <c r="F7" s="35"/>
      <c r="G7" s="35"/>
      <c r="H7" s="35"/>
      <c r="R7" s="1041"/>
      <c r="S7" s="1041"/>
      <c r="T7" s="1041"/>
      <c r="U7" s="1041"/>
      <c r="V7" s="1041"/>
      <c r="X7" s="19"/>
      <c r="Y7" s="19"/>
      <c r="Z7" s="19"/>
    </row>
    <row r="8" spans="1:33" ht="27.75" customHeight="1" x14ac:dyDescent="0.25">
      <c r="A8" s="867"/>
      <c r="B8" s="96"/>
      <c r="D8" s="417"/>
      <c r="E8" s="597" t="s">
        <v>271</v>
      </c>
      <c r="F8" s="1003" t="s">
        <v>115</v>
      </c>
      <c r="G8" s="1004"/>
      <c r="H8" s="1004"/>
      <c r="I8" s="1004"/>
      <c r="J8" s="1004"/>
      <c r="K8" s="1004"/>
      <c r="L8" s="1004"/>
      <c r="M8" s="1005"/>
      <c r="N8" s="900" t="s">
        <v>118</v>
      </c>
      <c r="O8" s="901"/>
      <c r="P8" s="914"/>
      <c r="Q8" s="900" t="s">
        <v>119</v>
      </c>
      <c r="R8" s="901"/>
      <c r="S8" s="901"/>
      <c r="T8" s="901"/>
      <c r="U8" s="901"/>
      <c r="V8" s="901"/>
      <c r="W8" s="78"/>
      <c r="X8" s="19"/>
      <c r="Y8" s="19"/>
      <c r="Z8" s="19"/>
    </row>
    <row r="9" spans="1:33" ht="75.95" customHeight="1" thickBot="1" x14ac:dyDescent="0.3">
      <c r="A9" s="867"/>
      <c r="B9" s="245"/>
      <c r="D9" s="420" t="s">
        <v>272</v>
      </c>
      <c r="E9" s="293" t="str" cm="1">
        <f t="array" ref="E9:V9">TRANSPOSE('Wind-Step 3'!E9:E26)</f>
        <v>ALL COMPONENTS - Simplified assessment</v>
      </c>
      <c r="F9" s="293">
        <v>0</v>
      </c>
      <c r="G9" s="293">
        <v>0</v>
      </c>
      <c r="H9" s="293">
        <v>0</v>
      </c>
      <c r="I9" s="293">
        <v>0</v>
      </c>
      <c r="J9" s="293">
        <v>0</v>
      </c>
      <c r="K9" s="293">
        <v>0</v>
      </c>
      <c r="L9" s="293">
        <v>0</v>
      </c>
      <c r="M9" s="293">
        <v>0</v>
      </c>
      <c r="N9" s="293">
        <v>0</v>
      </c>
      <c r="O9" s="293">
        <v>0</v>
      </c>
      <c r="P9" s="293">
        <v>0</v>
      </c>
      <c r="Q9" s="293">
        <v>0</v>
      </c>
      <c r="R9" s="293">
        <v>0</v>
      </c>
      <c r="S9" s="293">
        <v>0</v>
      </c>
      <c r="T9" s="293">
        <v>0</v>
      </c>
      <c r="U9" s="293">
        <v>0</v>
      </c>
      <c r="V9" s="293">
        <v>0</v>
      </c>
      <c r="W9" s="78"/>
      <c r="X9" s="437"/>
      <c r="Y9" s="437"/>
      <c r="Z9" s="437"/>
      <c r="AA9" s="439"/>
      <c r="AB9" s="439"/>
      <c r="AC9" s="439"/>
      <c r="AD9" s="439"/>
      <c r="AE9" s="439"/>
    </row>
    <row r="10" spans="1:33" ht="48.6" customHeight="1" thickBot="1" x14ac:dyDescent="0.3">
      <c r="A10" s="867"/>
      <c r="B10" s="246"/>
      <c r="C10" s="247" t="s">
        <v>140</v>
      </c>
      <c r="D10" s="294" t="s">
        <v>373</v>
      </c>
      <c r="E10" s="295" t="e" cm="1">
        <f t="array" ref="E10:V10">TRANSPOSE('Wind-Step 3'!I9:I26)</f>
        <v>#DIV/0!</v>
      </c>
      <c r="F10" s="295" t="str">
        <v>N/A</v>
      </c>
      <c r="G10" s="295" t="str">
        <v>N/A</v>
      </c>
      <c r="H10" s="295" t="str">
        <v>N/A</v>
      </c>
      <c r="I10" s="295" t="str">
        <v>N/A</v>
      </c>
      <c r="J10" s="295" t="str">
        <v>N/A</v>
      </c>
      <c r="K10" s="296" t="str">
        <v>N/A</v>
      </c>
      <c r="L10" s="296" t="str">
        <v>N/A</v>
      </c>
      <c r="M10" s="296" t="str">
        <v>N/A</v>
      </c>
      <c r="N10" s="296" t="str">
        <v>N/A</v>
      </c>
      <c r="O10" s="296" t="str">
        <v>N/A</v>
      </c>
      <c r="P10" s="296" t="str">
        <v>N/A</v>
      </c>
      <c r="Q10" s="296" t="str">
        <v>N/A</v>
      </c>
      <c r="R10" s="296" t="str">
        <v>N/A</v>
      </c>
      <c r="S10" s="296" t="str">
        <v>N/A</v>
      </c>
      <c r="T10" s="296" t="str">
        <v>N/A</v>
      </c>
      <c r="U10" s="296" t="str">
        <v>N/A</v>
      </c>
      <c r="V10" s="296" t="str">
        <v>N/A</v>
      </c>
      <c r="W10" s="78"/>
      <c r="X10" s="437" t="s">
        <v>142</v>
      </c>
      <c r="Y10" s="437"/>
      <c r="Z10" s="437"/>
      <c r="AA10" s="439"/>
      <c r="AB10" s="439"/>
      <c r="AC10" s="439"/>
      <c r="AD10" s="439"/>
      <c r="AE10" s="439"/>
    </row>
    <row r="11" spans="1:33" ht="19.5" customHeight="1" x14ac:dyDescent="0.25">
      <c r="A11" s="867"/>
      <c r="B11" s="249"/>
      <c r="C11" s="74" t="s">
        <v>143</v>
      </c>
      <c r="D11" s="355" t="s">
        <v>374</v>
      </c>
      <c r="E11" s="250"/>
      <c r="F11" s="250"/>
      <c r="G11" s="250"/>
      <c r="H11" s="250"/>
      <c r="I11" s="250"/>
      <c r="J11" s="250"/>
      <c r="K11" s="250"/>
      <c r="L11" s="250"/>
      <c r="M11" s="250"/>
      <c r="N11" s="250"/>
      <c r="O11" s="250"/>
      <c r="P11" s="250"/>
      <c r="Q11" s="250"/>
      <c r="R11" s="250"/>
      <c r="S11" s="250"/>
      <c r="T11" s="250"/>
      <c r="U11" s="250"/>
      <c r="V11" s="250"/>
      <c r="X11" s="752"/>
      <c r="Y11" s="752"/>
      <c r="Z11" s="752"/>
      <c r="AA11" s="755"/>
      <c r="AB11" s="755"/>
      <c r="AC11" s="755"/>
      <c r="AD11" s="755"/>
      <c r="AE11" s="755"/>
      <c r="AF11" s="754"/>
      <c r="AG11" s="754"/>
    </row>
    <row r="12" spans="1:33" ht="13.5" customHeight="1" x14ac:dyDescent="0.25">
      <c r="A12" s="854"/>
      <c r="C12" s="74"/>
      <c r="D12" s="356" t="s">
        <v>290</v>
      </c>
      <c r="E12" s="332"/>
      <c r="F12" s="332"/>
      <c r="G12" s="332"/>
      <c r="H12" s="332"/>
      <c r="I12" s="332"/>
      <c r="J12" s="332"/>
      <c r="K12" s="332"/>
      <c r="L12" s="332"/>
      <c r="M12" s="332"/>
      <c r="N12" s="332"/>
      <c r="O12" s="332"/>
      <c r="P12" s="332"/>
      <c r="Q12" s="332"/>
      <c r="R12" s="332"/>
      <c r="S12" s="332"/>
      <c r="T12" s="332"/>
      <c r="U12" s="332"/>
      <c r="V12" s="332"/>
      <c r="X12" s="752"/>
      <c r="Y12" s="752"/>
      <c r="Z12" s="752"/>
      <c r="AA12" s="755"/>
      <c r="AB12" s="755"/>
      <c r="AC12" s="755"/>
      <c r="AD12" s="755"/>
      <c r="AE12" s="755"/>
      <c r="AF12" s="754"/>
      <c r="AG12" s="754"/>
    </row>
    <row r="13" spans="1:33" ht="15.95" customHeight="1" x14ac:dyDescent="0.25">
      <c r="A13" s="854"/>
      <c r="B13" s="253"/>
      <c r="D13" s="357" t="s">
        <v>147</v>
      </c>
      <c r="E13" s="334"/>
      <c r="F13" s="334"/>
      <c r="G13" s="334"/>
      <c r="H13" s="334"/>
      <c r="I13" s="334"/>
      <c r="J13" s="334"/>
      <c r="K13" s="334"/>
      <c r="L13" s="335"/>
      <c r="M13" s="336"/>
      <c r="N13" s="334"/>
      <c r="O13" s="334"/>
      <c r="P13" s="334"/>
      <c r="Q13" s="334"/>
      <c r="R13" s="334"/>
      <c r="S13" s="334"/>
      <c r="T13" s="334"/>
      <c r="U13" s="334"/>
      <c r="V13" s="334"/>
      <c r="X13" s="752"/>
      <c r="Y13" s="752"/>
      <c r="Z13" s="752"/>
      <c r="AA13" s="755"/>
      <c r="AB13" s="755"/>
      <c r="AC13" s="755"/>
      <c r="AD13" s="755"/>
      <c r="AE13" s="755"/>
      <c r="AF13" s="754"/>
      <c r="AG13" s="754"/>
    </row>
    <row r="14" spans="1:33" ht="16.5" customHeight="1" x14ac:dyDescent="0.25">
      <c r="A14" s="854"/>
      <c r="B14" s="246"/>
      <c r="D14" s="357" t="s">
        <v>147</v>
      </c>
      <c r="E14" s="334"/>
      <c r="F14" s="334"/>
      <c r="G14" s="334"/>
      <c r="H14" s="334"/>
      <c r="I14" s="334"/>
      <c r="J14" s="334"/>
      <c r="K14" s="334"/>
      <c r="L14" s="337"/>
      <c r="M14" s="338"/>
      <c r="N14" s="334"/>
      <c r="O14" s="334"/>
      <c r="P14" s="334"/>
      <c r="Q14" s="334"/>
      <c r="R14" s="334"/>
      <c r="S14" s="334"/>
      <c r="T14" s="334"/>
      <c r="U14" s="334"/>
      <c r="V14" s="334"/>
      <c r="X14" s="752"/>
      <c r="Y14" s="752"/>
      <c r="Z14" s="752"/>
      <c r="AA14" s="755"/>
      <c r="AB14" s="755"/>
      <c r="AC14" s="755"/>
      <c r="AD14" s="755"/>
      <c r="AE14" s="755"/>
      <c r="AF14" s="754"/>
      <c r="AG14" s="754"/>
    </row>
    <row r="15" spans="1:33" ht="20.100000000000001" customHeight="1" x14ac:dyDescent="0.25">
      <c r="A15" s="854"/>
      <c r="B15" s="260"/>
      <c r="D15" s="357" t="s">
        <v>147</v>
      </c>
      <c r="E15" s="334"/>
      <c r="F15" s="334"/>
      <c r="G15" s="334"/>
      <c r="H15" s="334"/>
      <c r="I15" s="334"/>
      <c r="J15" s="334"/>
      <c r="K15" s="334"/>
      <c r="L15" s="337"/>
      <c r="M15" s="337"/>
      <c r="N15" s="334"/>
      <c r="O15" s="334"/>
      <c r="P15" s="334"/>
      <c r="Q15" s="334"/>
      <c r="R15" s="334"/>
      <c r="S15" s="334"/>
      <c r="T15" s="334"/>
      <c r="U15" s="334"/>
      <c r="V15" s="334"/>
      <c r="X15" s="752"/>
      <c r="Y15" s="752"/>
      <c r="Z15" s="752"/>
      <c r="AA15" s="755"/>
      <c r="AB15" s="755"/>
      <c r="AC15" s="755"/>
      <c r="AD15" s="755"/>
      <c r="AE15" s="755"/>
      <c r="AF15" s="754"/>
      <c r="AG15" s="754"/>
    </row>
    <row r="16" spans="1:33" ht="20.100000000000001" customHeight="1" x14ac:dyDescent="0.25">
      <c r="A16" s="854"/>
      <c r="B16" s="260"/>
      <c r="D16" s="357" t="s">
        <v>147</v>
      </c>
      <c r="E16" s="339"/>
      <c r="F16" s="339"/>
      <c r="G16" s="339"/>
      <c r="H16" s="339"/>
      <c r="I16" s="339"/>
      <c r="J16" s="339"/>
      <c r="K16" s="339"/>
      <c r="L16" s="340"/>
      <c r="M16" s="340"/>
      <c r="N16" s="339"/>
      <c r="O16" s="339"/>
      <c r="P16" s="339"/>
      <c r="Q16" s="339"/>
      <c r="R16" s="339"/>
      <c r="S16" s="339"/>
      <c r="T16" s="339"/>
      <c r="U16" s="339"/>
      <c r="V16" s="339"/>
      <c r="X16" s="752"/>
      <c r="Y16" s="752"/>
      <c r="Z16" s="752"/>
      <c r="AA16" s="755"/>
      <c r="AB16" s="755"/>
      <c r="AC16" s="755"/>
      <c r="AD16" s="755"/>
      <c r="AE16" s="755"/>
      <c r="AF16" s="754"/>
      <c r="AG16" s="754"/>
    </row>
    <row r="17" spans="1:33" ht="15" customHeight="1" x14ac:dyDescent="0.25">
      <c r="A17" s="854"/>
      <c r="B17" s="260"/>
      <c r="D17" s="357" t="s">
        <v>147</v>
      </c>
      <c r="E17" s="339"/>
      <c r="F17" s="339"/>
      <c r="G17" s="339"/>
      <c r="H17" s="339"/>
      <c r="I17" s="339"/>
      <c r="J17" s="339"/>
      <c r="K17" s="339"/>
      <c r="L17" s="340"/>
      <c r="M17" s="340"/>
      <c r="N17" s="339"/>
      <c r="O17" s="339"/>
      <c r="P17" s="339"/>
      <c r="Q17" s="339"/>
      <c r="R17" s="339"/>
      <c r="S17" s="339"/>
      <c r="T17" s="339"/>
      <c r="U17" s="339"/>
      <c r="V17" s="339"/>
      <c r="X17" s="752"/>
      <c r="Y17" s="752"/>
      <c r="Z17" s="752"/>
      <c r="AA17" s="752"/>
      <c r="AB17" s="755"/>
      <c r="AC17" s="755"/>
      <c r="AD17" s="755"/>
      <c r="AE17" s="755"/>
      <c r="AF17" s="754"/>
      <c r="AG17" s="754"/>
    </row>
    <row r="18" spans="1:33" ht="15" customHeight="1" x14ac:dyDescent="0.25">
      <c r="A18" s="854"/>
      <c r="B18" s="260"/>
      <c r="D18" s="357" t="s">
        <v>147</v>
      </c>
      <c r="E18" s="339"/>
      <c r="F18" s="339"/>
      <c r="G18" s="339"/>
      <c r="H18" s="339"/>
      <c r="I18" s="339"/>
      <c r="J18" s="339"/>
      <c r="K18" s="339"/>
      <c r="L18" s="340"/>
      <c r="M18" s="340"/>
      <c r="N18" s="339"/>
      <c r="O18" s="339"/>
      <c r="P18" s="339"/>
      <c r="Q18" s="339"/>
      <c r="R18" s="339"/>
      <c r="S18" s="339"/>
      <c r="T18" s="339"/>
      <c r="U18" s="339"/>
      <c r="V18" s="339"/>
      <c r="X18" s="752"/>
      <c r="Y18" s="752"/>
      <c r="Z18" s="752"/>
      <c r="AA18" s="752"/>
      <c r="AB18" s="755"/>
      <c r="AC18" s="755"/>
      <c r="AD18" s="755"/>
      <c r="AE18" s="755"/>
      <c r="AF18" s="754"/>
      <c r="AG18" s="754"/>
    </row>
    <row r="19" spans="1:33" ht="15" customHeight="1" x14ac:dyDescent="0.25">
      <c r="A19" s="854"/>
      <c r="B19" s="260"/>
      <c r="D19" s="357" t="s">
        <v>147</v>
      </c>
      <c r="E19" s="339"/>
      <c r="F19" s="339"/>
      <c r="G19" s="339"/>
      <c r="H19" s="339"/>
      <c r="I19" s="339"/>
      <c r="J19" s="339"/>
      <c r="K19" s="339"/>
      <c r="L19" s="340"/>
      <c r="M19" s="340"/>
      <c r="N19" s="339"/>
      <c r="O19" s="339"/>
      <c r="P19" s="339"/>
      <c r="Q19" s="339"/>
      <c r="R19" s="339"/>
      <c r="S19" s="339"/>
      <c r="T19" s="339"/>
      <c r="U19" s="339"/>
      <c r="V19" s="339"/>
      <c r="X19" s="752"/>
      <c r="Y19" s="752"/>
      <c r="Z19" s="752"/>
      <c r="AA19" s="752"/>
      <c r="AB19" s="755"/>
      <c r="AC19" s="755"/>
      <c r="AD19" s="755"/>
      <c r="AE19" s="755"/>
      <c r="AF19" s="754"/>
      <c r="AG19" s="754"/>
    </row>
    <row r="20" spans="1:33" ht="15" customHeight="1" x14ac:dyDescent="0.25">
      <c r="A20" s="854"/>
      <c r="B20" s="260"/>
      <c r="D20" s="357" t="s">
        <v>147</v>
      </c>
      <c r="E20" s="339"/>
      <c r="F20" s="339"/>
      <c r="G20" s="339"/>
      <c r="H20" s="339"/>
      <c r="I20" s="339"/>
      <c r="J20" s="339"/>
      <c r="K20" s="339"/>
      <c r="L20" s="340"/>
      <c r="M20" s="340"/>
      <c r="N20" s="339"/>
      <c r="O20" s="339"/>
      <c r="P20" s="339"/>
      <c r="Q20" s="339"/>
      <c r="R20" s="339"/>
      <c r="S20" s="339"/>
      <c r="T20" s="339"/>
      <c r="U20" s="339"/>
      <c r="V20" s="339"/>
      <c r="X20" s="437"/>
      <c r="Y20" s="437"/>
      <c r="Z20" s="437"/>
      <c r="AA20" s="437"/>
      <c r="AB20" s="755"/>
      <c r="AC20" s="755"/>
      <c r="AD20" s="755"/>
      <c r="AE20" s="755"/>
      <c r="AF20" s="754"/>
      <c r="AG20" s="754"/>
    </row>
    <row r="21" spans="1:33" ht="15" customHeight="1" x14ac:dyDescent="0.25">
      <c r="A21" s="854"/>
      <c r="B21" s="260"/>
      <c r="D21" s="357" t="s">
        <v>147</v>
      </c>
      <c r="E21" s="339"/>
      <c r="F21" s="339"/>
      <c r="G21" s="339"/>
      <c r="H21" s="339"/>
      <c r="I21" s="339"/>
      <c r="J21" s="339"/>
      <c r="K21" s="339"/>
      <c r="L21" s="340"/>
      <c r="M21" s="340"/>
      <c r="N21" s="339"/>
      <c r="O21" s="339"/>
      <c r="P21" s="339"/>
      <c r="Q21" s="339"/>
      <c r="R21" s="339"/>
      <c r="S21" s="339"/>
      <c r="T21" s="339"/>
      <c r="U21" s="339"/>
      <c r="V21" s="339"/>
      <c r="X21" s="437"/>
      <c r="Y21" s="437"/>
      <c r="Z21" s="437"/>
      <c r="AA21" s="437"/>
      <c r="AB21" s="755"/>
      <c r="AC21" s="755"/>
      <c r="AD21" s="755"/>
      <c r="AE21" s="755"/>
      <c r="AF21" s="754"/>
      <c r="AG21" s="754"/>
    </row>
    <row r="22" spans="1:33" ht="20.100000000000001" customHeight="1" thickBot="1" x14ac:dyDescent="0.3">
      <c r="A22" s="854"/>
      <c r="B22" s="260"/>
      <c r="D22" s="358" t="s">
        <v>147</v>
      </c>
      <c r="E22" s="339"/>
      <c r="F22" s="339"/>
      <c r="G22" s="339"/>
      <c r="H22" s="339"/>
      <c r="I22" s="339"/>
      <c r="J22" s="339"/>
      <c r="K22" s="339"/>
      <c r="L22" s="339"/>
      <c r="M22" s="339"/>
      <c r="N22" s="339"/>
      <c r="O22" s="339"/>
      <c r="P22" s="339"/>
      <c r="Q22" s="339"/>
      <c r="R22" s="339"/>
      <c r="S22" s="339"/>
      <c r="T22" s="339"/>
      <c r="U22" s="339"/>
      <c r="V22" s="339"/>
      <c r="X22" s="437"/>
      <c r="Y22" s="437"/>
      <c r="Z22" s="437" t="e" cm="1">
        <f t="array" ref="Z22">IF(MAX(Y23:Y25)=0,E25,INDEX(X23:X25,Z23,1))</f>
        <v>#DIV/0!</v>
      </c>
      <c r="AA22" s="437"/>
      <c r="AB22" s="755"/>
      <c r="AC22" s="755"/>
      <c r="AD22" s="755"/>
      <c r="AE22" s="755"/>
      <c r="AF22" s="754"/>
      <c r="AG22" s="754"/>
    </row>
    <row r="23" spans="1:33" ht="35.1" customHeight="1" x14ac:dyDescent="0.25">
      <c r="A23" s="854"/>
      <c r="B23" s="253"/>
      <c r="C23" s="47" t="s">
        <v>148</v>
      </c>
      <c r="D23" s="264" t="s">
        <v>149</v>
      </c>
      <c r="E23" s="905" t="s">
        <v>117</v>
      </c>
      <c r="F23" s="905" t="s">
        <v>117</v>
      </c>
      <c r="G23" s="905" t="s">
        <v>154</v>
      </c>
      <c r="H23" s="905" t="s">
        <v>117</v>
      </c>
      <c r="I23" s="905" t="s">
        <v>117</v>
      </c>
      <c r="J23" s="905" t="s">
        <v>117</v>
      </c>
      <c r="K23" s="905" t="s">
        <v>117</v>
      </c>
      <c r="L23" s="905" t="s">
        <v>117</v>
      </c>
      <c r="M23" s="905" t="s">
        <v>117</v>
      </c>
      <c r="N23" s="905" t="s">
        <v>117</v>
      </c>
      <c r="O23" s="905" t="s">
        <v>117</v>
      </c>
      <c r="P23" s="905" t="s">
        <v>117</v>
      </c>
      <c r="Q23" s="905" t="s">
        <v>117</v>
      </c>
      <c r="R23" s="905" t="s">
        <v>117</v>
      </c>
      <c r="S23" s="905" t="s">
        <v>117</v>
      </c>
      <c r="T23" s="905" t="s">
        <v>117</v>
      </c>
      <c r="U23" s="905" t="s">
        <v>117</v>
      </c>
      <c r="V23" s="905" t="s">
        <v>117</v>
      </c>
      <c r="X23" s="438" t="s">
        <v>142</v>
      </c>
      <c r="Y23" s="438">
        <f>COUNTIF(F25:V25,X23)</f>
        <v>0</v>
      </c>
      <c r="Z23" s="652">
        <f>MATCH(MAX(Y23:Y25),Y23:Y25,0)</f>
        <v>1</v>
      </c>
      <c r="AA23" s="713">
        <f>IF(Z23="Low",1,IF(Z23="Medium",2,3))</f>
        <v>3</v>
      </c>
      <c r="AB23" s="755"/>
      <c r="AC23" s="755"/>
      <c r="AD23" s="755"/>
      <c r="AE23" s="755"/>
      <c r="AF23" s="754"/>
      <c r="AG23" s="754"/>
    </row>
    <row r="24" spans="1:33" ht="30" customHeight="1" thickBot="1" x14ac:dyDescent="0.3">
      <c r="A24" s="854"/>
      <c r="B24" s="253"/>
      <c r="C24" s="47"/>
      <c r="D24" s="423" t="s">
        <v>375</v>
      </c>
      <c r="E24" s="906"/>
      <c r="F24" s="906"/>
      <c r="G24" s="906"/>
      <c r="H24" s="906"/>
      <c r="I24" s="906"/>
      <c r="J24" s="906"/>
      <c r="K24" s="906"/>
      <c r="L24" s="906"/>
      <c r="M24" s="906"/>
      <c r="N24" s="906"/>
      <c r="O24" s="906"/>
      <c r="P24" s="906"/>
      <c r="Q24" s="906"/>
      <c r="R24" s="906"/>
      <c r="S24" s="906"/>
      <c r="T24" s="906"/>
      <c r="U24" s="906"/>
      <c r="V24" s="906"/>
      <c r="X24" s="438" t="s">
        <v>153</v>
      </c>
      <c r="Y24" s="438">
        <f>COUNTIF(F25:V25,X24)</f>
        <v>0</v>
      </c>
      <c r="Z24" s="438"/>
      <c r="AA24" s="437"/>
      <c r="AB24" s="755"/>
      <c r="AC24" s="755"/>
      <c r="AD24" s="755"/>
      <c r="AE24" s="755"/>
      <c r="AF24" s="754"/>
      <c r="AG24" s="754"/>
    </row>
    <row r="25" spans="1:33" ht="32.450000000000003" customHeight="1" thickBot="1" x14ac:dyDescent="0.3">
      <c r="A25" s="854"/>
      <c r="B25" s="265"/>
      <c r="C25" s="131" t="s">
        <v>151</v>
      </c>
      <c r="D25" s="266" t="s">
        <v>376</v>
      </c>
      <c r="E25" s="267" t="e">
        <f>IF(E10="N/A","N/A",IF(E23="N/A",E10,IF(E23="High","Low",IF(E10="High","Medium","Low"))))</f>
        <v>#DIV/0!</v>
      </c>
      <c r="F25" s="267" t="str">
        <f>IF(F10="N/A","N/A",IF(F23="N/A",F10,IF(F23="High","Low",IF(F10="High","Medium","Low"))))</f>
        <v>N/A</v>
      </c>
      <c r="G25" s="267" t="str">
        <f t="shared" ref="G25:V25" si="0">IF(G10="N/A","N/A",IF(G23="N/A",G10,IF(G23="High","Low",IF(G10="High","Medium","Low"))))</f>
        <v>N/A</v>
      </c>
      <c r="H25" s="267" t="str">
        <f t="shared" si="0"/>
        <v>N/A</v>
      </c>
      <c r="I25" s="267" t="str">
        <f t="shared" si="0"/>
        <v>N/A</v>
      </c>
      <c r="J25" s="267" t="str">
        <f t="shared" si="0"/>
        <v>N/A</v>
      </c>
      <c r="K25" s="267" t="str">
        <f t="shared" si="0"/>
        <v>N/A</v>
      </c>
      <c r="L25" s="267" t="str">
        <f t="shared" si="0"/>
        <v>N/A</v>
      </c>
      <c r="M25" s="267" t="str">
        <f t="shared" si="0"/>
        <v>N/A</v>
      </c>
      <c r="N25" s="267" t="str">
        <f t="shared" si="0"/>
        <v>N/A</v>
      </c>
      <c r="O25" s="267" t="str">
        <f t="shared" si="0"/>
        <v>N/A</v>
      </c>
      <c r="P25" s="267" t="str">
        <f t="shared" si="0"/>
        <v>N/A</v>
      </c>
      <c r="Q25" s="267" t="str">
        <f t="shared" si="0"/>
        <v>N/A</v>
      </c>
      <c r="R25" s="267" t="str">
        <f t="shared" si="0"/>
        <v>N/A</v>
      </c>
      <c r="S25" s="267" t="str">
        <f t="shared" si="0"/>
        <v>N/A</v>
      </c>
      <c r="T25" s="267" t="str">
        <f t="shared" si="0"/>
        <v>N/A</v>
      </c>
      <c r="U25" s="267" t="str">
        <f t="shared" si="0"/>
        <v>N/A</v>
      </c>
      <c r="V25" s="267" t="str">
        <f t="shared" si="0"/>
        <v>N/A</v>
      </c>
      <c r="X25" s="438" t="s">
        <v>154</v>
      </c>
      <c r="Y25" s="438">
        <f>COUNTIF(F25:V25,X25)</f>
        <v>0</v>
      </c>
      <c r="Z25" s="437"/>
      <c r="AA25" s="438"/>
      <c r="AB25" s="755"/>
      <c r="AC25" s="755"/>
      <c r="AD25" s="755"/>
      <c r="AE25" s="755"/>
      <c r="AF25" s="754"/>
      <c r="AG25" s="754"/>
    </row>
    <row r="26" spans="1:33" ht="24.95" customHeight="1" x14ac:dyDescent="0.25">
      <c r="A26" s="854"/>
      <c r="B26" s="268"/>
      <c r="C26" s="47"/>
      <c r="E26" s="269"/>
      <c r="F26" s="768"/>
      <c r="G26" s="269"/>
      <c r="H26" s="269"/>
      <c r="I26" s="269"/>
      <c r="J26" s="269"/>
      <c r="K26" s="269"/>
      <c r="L26" s="269"/>
      <c r="M26" s="269"/>
      <c r="N26" s="269"/>
      <c r="O26" s="269"/>
      <c r="P26" s="269"/>
      <c r="Q26" s="269"/>
      <c r="R26" s="269"/>
      <c r="S26" s="269"/>
      <c r="T26" s="269"/>
      <c r="U26" s="269"/>
      <c r="V26" s="269"/>
      <c r="X26" s="438" t="s">
        <v>154</v>
      </c>
      <c r="Y26" s="437">
        <f>COUNTIF(E25:V25,X26)</f>
        <v>0</v>
      </c>
      <c r="Z26" s="437"/>
      <c r="AA26" s="437"/>
      <c r="AB26" s="755"/>
      <c r="AC26" s="755"/>
      <c r="AD26" s="755"/>
      <c r="AE26" s="755"/>
      <c r="AF26" s="754"/>
      <c r="AG26" s="754"/>
    </row>
    <row r="27" spans="1:33" ht="19.5" customHeight="1" x14ac:dyDescent="0.25">
      <c r="A27" s="854"/>
      <c r="B27" s="253"/>
      <c r="C27" s="247"/>
      <c r="E27" s="270"/>
      <c r="F27" s="270"/>
      <c r="G27" s="270"/>
      <c r="H27" s="270"/>
      <c r="I27" s="270"/>
      <c r="J27" s="270"/>
      <c r="K27" s="270"/>
      <c r="L27" s="270"/>
      <c r="M27" s="270"/>
      <c r="N27" s="270"/>
      <c r="O27" s="270"/>
      <c r="P27" s="270"/>
      <c r="Q27" s="270"/>
      <c r="R27" s="270"/>
      <c r="S27" s="270"/>
      <c r="T27" s="270"/>
      <c r="U27" s="270"/>
      <c r="V27" s="270"/>
      <c r="X27" s="437"/>
      <c r="Y27" s="437"/>
      <c r="Z27" s="437"/>
      <c r="AA27" s="437"/>
      <c r="AB27" s="754"/>
      <c r="AC27" s="754"/>
      <c r="AD27" s="754"/>
      <c r="AE27" s="754"/>
      <c r="AF27" s="754"/>
      <c r="AG27" s="754"/>
    </row>
    <row r="28" spans="1:33" ht="19.5" customHeight="1" x14ac:dyDescent="0.25">
      <c r="A28" s="854"/>
      <c r="B28" s="253"/>
      <c r="C28" s="247"/>
      <c r="D28" s="37"/>
      <c r="E28" s="270"/>
      <c r="F28" s="270"/>
      <c r="G28" s="270"/>
      <c r="H28" s="270"/>
      <c r="I28" s="270"/>
      <c r="J28" s="270"/>
      <c r="K28" s="270"/>
      <c r="L28" s="270"/>
      <c r="M28" s="270"/>
      <c r="N28" s="270"/>
      <c r="O28" s="270"/>
      <c r="P28" s="248"/>
      <c r="Q28" s="907" t="s">
        <v>137</v>
      </c>
      <c r="R28" s="907"/>
      <c r="S28" s="907"/>
      <c r="T28" s="907"/>
      <c r="U28" s="907"/>
      <c r="V28" s="907"/>
      <c r="X28" s="19"/>
      <c r="Y28" s="19"/>
      <c r="Z28" s="19"/>
      <c r="AA28" s="191"/>
      <c r="AB28" s="754"/>
      <c r="AC28" s="754"/>
      <c r="AD28" s="754"/>
      <c r="AE28" s="754"/>
      <c r="AF28" s="754"/>
      <c r="AG28" s="754"/>
    </row>
    <row r="29" spans="1:33" ht="24.95" customHeight="1" x14ac:dyDescent="0.25">
      <c r="A29" s="854"/>
      <c r="B29" s="253"/>
      <c r="C29" s="247"/>
      <c r="D29" s="37" t="s">
        <v>377</v>
      </c>
      <c r="E29" s="270"/>
      <c r="F29" s="270"/>
      <c r="G29" s="270"/>
      <c r="H29" s="270"/>
      <c r="I29" s="270"/>
      <c r="J29" s="270"/>
      <c r="K29" s="270"/>
      <c r="L29" s="270"/>
      <c r="M29" s="270"/>
      <c r="N29" s="270"/>
      <c r="O29" s="270"/>
      <c r="P29" s="270"/>
      <c r="Q29" s="910" t="str">
        <f>Q6</f>
        <v>Small Residential/Office/Shop</v>
      </c>
      <c r="R29" s="910"/>
      <c r="S29" s="910"/>
      <c r="T29" s="910"/>
      <c r="U29" s="910"/>
      <c r="V29" s="910"/>
      <c r="X29" s="19"/>
      <c r="Y29" s="19"/>
      <c r="Z29" s="19"/>
    </row>
    <row r="30" spans="1:33" ht="12.95" customHeight="1" x14ac:dyDescent="0.25">
      <c r="A30" s="854"/>
      <c r="B30" s="253"/>
      <c r="C30" s="247"/>
      <c r="D30" s="37"/>
      <c r="E30" s="270"/>
      <c r="F30" s="270"/>
      <c r="G30" s="270"/>
      <c r="H30" s="270"/>
      <c r="I30" s="270"/>
      <c r="J30" s="270"/>
      <c r="K30" s="270"/>
      <c r="L30" s="270"/>
      <c r="M30" s="270"/>
      <c r="N30" s="270"/>
      <c r="O30" s="270"/>
      <c r="P30" s="270"/>
      <c r="Q30" s="271"/>
      <c r="R30" s="271"/>
      <c r="S30" s="271"/>
      <c r="T30" s="271"/>
      <c r="U30" s="271"/>
      <c r="V30" s="271"/>
    </row>
    <row r="31" spans="1:33" ht="27.95" customHeight="1" x14ac:dyDescent="0.25">
      <c r="A31" s="854"/>
      <c r="B31" s="253"/>
      <c r="C31" s="74"/>
      <c r="D31" s="586"/>
      <c r="E31" s="714" t="s">
        <v>271</v>
      </c>
      <c r="F31" s="1003" t="s">
        <v>115</v>
      </c>
      <c r="G31" s="1004"/>
      <c r="H31" s="1004"/>
      <c r="I31" s="1004"/>
      <c r="J31" s="1004"/>
      <c r="K31" s="1004"/>
      <c r="L31" s="1004"/>
      <c r="M31" s="1005"/>
      <c r="N31" s="900" t="s">
        <v>118</v>
      </c>
      <c r="O31" s="901"/>
      <c r="P31" s="914"/>
      <c r="Q31" s="900" t="s">
        <v>119</v>
      </c>
      <c r="R31" s="901"/>
      <c r="S31" s="901"/>
      <c r="T31" s="901"/>
      <c r="U31" s="901"/>
      <c r="V31" s="901"/>
      <c r="W31"/>
      <c r="X31" s="349" t="s">
        <v>157</v>
      </c>
      <c r="Z31" s="272" t="s">
        <v>158</v>
      </c>
    </row>
    <row r="32" spans="1:33" ht="51" customHeight="1" x14ac:dyDescent="0.25">
      <c r="A32" s="854"/>
      <c r="B32" s="253"/>
      <c r="C32" s="74"/>
      <c r="D32" s="994" t="s">
        <v>159</v>
      </c>
      <c r="E32" s="1000" t="str">
        <f>E9</f>
        <v>ALL COMPONENTS - Simplified assessment</v>
      </c>
      <c r="F32" s="1000">
        <f t="shared" ref="F32:V32" si="1">F9</f>
        <v>0</v>
      </c>
      <c r="G32" s="1000">
        <f t="shared" si="1"/>
        <v>0</v>
      </c>
      <c r="H32" s="1000">
        <f t="shared" si="1"/>
        <v>0</v>
      </c>
      <c r="I32" s="1000">
        <f t="shared" si="1"/>
        <v>0</v>
      </c>
      <c r="J32" s="1000">
        <f t="shared" si="1"/>
        <v>0</v>
      </c>
      <c r="K32" s="1000">
        <f t="shared" si="1"/>
        <v>0</v>
      </c>
      <c r="L32" s="1000">
        <f t="shared" si="1"/>
        <v>0</v>
      </c>
      <c r="M32" s="1000">
        <f t="shared" si="1"/>
        <v>0</v>
      </c>
      <c r="N32" s="1000">
        <f t="shared" si="1"/>
        <v>0</v>
      </c>
      <c r="O32" s="1000">
        <f t="shared" si="1"/>
        <v>0</v>
      </c>
      <c r="P32" s="1000">
        <f t="shared" si="1"/>
        <v>0</v>
      </c>
      <c r="Q32" s="1000">
        <f t="shared" si="1"/>
        <v>0</v>
      </c>
      <c r="R32" s="1000">
        <f t="shared" si="1"/>
        <v>0</v>
      </c>
      <c r="S32" s="1000">
        <f t="shared" si="1"/>
        <v>0</v>
      </c>
      <c r="T32" s="1000">
        <f t="shared" si="1"/>
        <v>0</v>
      </c>
      <c r="U32" s="1000">
        <f t="shared" si="1"/>
        <v>0</v>
      </c>
      <c r="V32" s="1000">
        <f t="shared" si="1"/>
        <v>0</v>
      </c>
      <c r="W32"/>
      <c r="X32" s="350" t="s">
        <v>160</v>
      </c>
      <c r="Z32" s="273" t="s">
        <v>161</v>
      </c>
    </row>
    <row r="33" spans="1:26" ht="56.1" customHeight="1" x14ac:dyDescent="0.25">
      <c r="A33" s="854"/>
      <c r="B33" s="253"/>
      <c r="D33" s="994"/>
      <c r="E33" s="1039"/>
      <c r="F33" s="1039"/>
      <c r="G33" s="1039"/>
      <c r="H33" s="1039"/>
      <c r="I33" s="1039"/>
      <c r="J33" s="1039"/>
      <c r="K33" s="1039"/>
      <c r="L33" s="1039"/>
      <c r="M33" s="1039"/>
      <c r="N33" s="1039"/>
      <c r="O33" s="1039"/>
      <c r="P33" s="1039"/>
      <c r="Q33" s="1039"/>
      <c r="R33" s="1039"/>
      <c r="S33" s="1039"/>
      <c r="T33" s="1039"/>
      <c r="U33" s="1039"/>
      <c r="V33" s="1039"/>
      <c r="W33"/>
      <c r="X33" s="353"/>
      <c r="Z33" s="354" t="s">
        <v>299</v>
      </c>
    </row>
    <row r="34" spans="1:26" ht="39.6" customHeight="1" x14ac:dyDescent="0.25">
      <c r="A34" s="854"/>
      <c r="B34" s="253"/>
      <c r="D34" s="715" t="s">
        <v>378</v>
      </c>
      <c r="E34" s="716"/>
      <c r="F34" s="717" t="str">
        <f>IF(F$32="N/A"," ",IF(F$32=0," ","High"))</f>
        <v xml:space="preserve"> </v>
      </c>
      <c r="G34" s="717" t="str">
        <f>IF(G$32="N/A"," ",IF(G$32=0," ","High"))</f>
        <v xml:space="preserve"> </v>
      </c>
      <c r="H34" s="718"/>
      <c r="I34" s="718"/>
      <c r="J34" s="718"/>
      <c r="K34" s="718"/>
      <c r="L34" s="719"/>
      <c r="M34" s="720"/>
      <c r="N34" s="718"/>
      <c r="O34" s="718"/>
      <c r="P34" s="718"/>
      <c r="Q34" s="718"/>
      <c r="R34" s="718"/>
      <c r="S34" s="718"/>
      <c r="T34" s="718"/>
      <c r="U34" s="718"/>
      <c r="V34" s="721"/>
      <c r="W34" s="722"/>
      <c r="X34" s="662" t="s">
        <v>164</v>
      </c>
      <c r="Z34" s="277"/>
    </row>
    <row r="35" spans="1:26" ht="38.450000000000003" customHeight="1" x14ac:dyDescent="0.25">
      <c r="A35" s="854"/>
      <c r="B35" s="253"/>
      <c r="D35" s="677" t="s">
        <v>379</v>
      </c>
      <c r="E35" s="716" t="str">
        <f>IF(E$32="N/A"," ",IF(E$32=0," ","High"))</f>
        <v>High</v>
      </c>
      <c r="F35" s="723"/>
      <c r="G35" s="717" t="str">
        <f>IF(G$32="N/A"," ",IF(G$32=0," ","High"))</f>
        <v xml:space="preserve"> </v>
      </c>
      <c r="H35" s="301"/>
      <c r="I35" s="301"/>
      <c r="J35" s="301"/>
      <c r="K35" s="301"/>
      <c r="L35" s="306"/>
      <c r="M35" s="307"/>
      <c r="N35" s="301"/>
      <c r="O35" s="301"/>
      <c r="P35" s="301"/>
      <c r="Q35" s="301"/>
      <c r="R35" s="301"/>
      <c r="S35" s="301"/>
      <c r="T35" s="301"/>
      <c r="U35" s="301"/>
      <c r="V35" s="660"/>
      <c r="W35" s="724"/>
      <c r="X35" s="662" t="s">
        <v>164</v>
      </c>
      <c r="Z35" s="279"/>
    </row>
    <row r="36" spans="1:26" ht="39.950000000000003" customHeight="1" x14ac:dyDescent="0.25">
      <c r="A36" s="150"/>
      <c r="B36" s="253"/>
      <c r="D36" s="677" t="s">
        <v>380</v>
      </c>
      <c r="E36" s="300"/>
      <c r="F36" s="717" t="str">
        <f>IF(F$32="N/A"," ",IF(F$32=0," ","High"))</f>
        <v xml:space="preserve"> </v>
      </c>
      <c r="G36" s="717" t="str">
        <f>IF(G$32="N/A"," ",IF(G$32=0," ","High"))</f>
        <v xml:space="preserve"> </v>
      </c>
      <c r="H36" s="301"/>
      <c r="I36" s="301"/>
      <c r="J36" s="301"/>
      <c r="K36" s="301"/>
      <c r="L36" s="306"/>
      <c r="M36" s="306"/>
      <c r="N36" s="301"/>
      <c r="O36" s="301"/>
      <c r="P36" s="301"/>
      <c r="Q36" s="301"/>
      <c r="R36" s="301"/>
      <c r="S36" s="301"/>
      <c r="T36" s="301"/>
      <c r="U36" s="301"/>
      <c r="V36" s="660"/>
      <c r="W36" s="724"/>
      <c r="X36" s="658" t="s">
        <v>175</v>
      </c>
      <c r="Z36" s="279"/>
    </row>
    <row r="37" spans="1:26" ht="29.45" customHeight="1" x14ac:dyDescent="0.25">
      <c r="A37" s="280"/>
      <c r="B37" s="253"/>
      <c r="D37" s="677" t="s">
        <v>381</v>
      </c>
      <c r="E37" s="716" t="str">
        <f>IF(E$32="N/A"," ",IF(E$32=0," ","High"))</f>
        <v>High</v>
      </c>
      <c r="F37" s="717" t="str">
        <f>IF(F$32="N/A"," ",IF(F$32=0," ","High"))</f>
        <v xml:space="preserve"> </v>
      </c>
      <c r="G37" s="717" t="str">
        <f>IF(G$32="N/A"," ",IF(G$32=0," ","High"))</f>
        <v xml:space="preserve"> </v>
      </c>
      <c r="H37" s="717" t="str">
        <f t="shared" ref="H37:M37" si="2">IF(H$32="N/A"," ",IF(H$32=0," ","High"))</f>
        <v xml:space="preserve"> </v>
      </c>
      <c r="I37" s="717" t="str">
        <f t="shared" si="2"/>
        <v xml:space="preserve"> </v>
      </c>
      <c r="J37" s="717" t="str">
        <f t="shared" si="2"/>
        <v xml:space="preserve"> </v>
      </c>
      <c r="K37" s="717" t="str">
        <f t="shared" si="2"/>
        <v xml:space="preserve"> </v>
      </c>
      <c r="L37" s="717" t="str">
        <f t="shared" si="2"/>
        <v xml:space="preserve"> </v>
      </c>
      <c r="M37" s="717" t="str">
        <f t="shared" si="2"/>
        <v xml:space="preserve"> </v>
      </c>
      <c r="N37" s="301"/>
      <c r="O37" s="301"/>
      <c r="P37" s="301"/>
      <c r="Q37" s="301"/>
      <c r="R37" s="717" t="str">
        <f>IF(R$32="N/A"," ",IF(R$32=0," ","Low"))</f>
        <v xml:space="preserve"> </v>
      </c>
      <c r="S37" s="725" t="str">
        <f>IF($S$32=0," ","Low")</f>
        <v xml:space="preserve"> </v>
      </c>
      <c r="T37" s="717" t="str">
        <f>IF(T$32="N/A"," ",IF(T$32=0," ","Low"))</f>
        <v xml:space="preserve"> </v>
      </c>
      <c r="U37" s="301"/>
      <c r="V37" s="725" t="str">
        <f>IF($V$32=0," ","High")</f>
        <v xml:space="preserve"> </v>
      </c>
      <c r="W37" s="724"/>
      <c r="X37" s="686" t="s">
        <v>170</v>
      </c>
      <c r="Z37" s="279"/>
    </row>
    <row r="38" spans="1:26" ht="24" customHeight="1" x14ac:dyDescent="0.25">
      <c r="A38" s="280"/>
      <c r="B38" s="253"/>
      <c r="C38" s="918"/>
      <c r="D38" s="664" t="s">
        <v>382</v>
      </c>
      <c r="E38" s="716" t="str">
        <f>IF(E$32="N/A"," ",IF(E$32=0," ","Low"))</f>
        <v>Low</v>
      </c>
      <c r="F38" s="726"/>
      <c r="G38" s="717" t="str">
        <f>IF(G$32="N/A"," ",IF(G$32=0," ","Low"))</f>
        <v xml:space="preserve"> </v>
      </c>
      <c r="H38" s="311"/>
      <c r="I38" s="311"/>
      <c r="J38" s="311"/>
      <c r="K38" s="311"/>
      <c r="L38" s="311"/>
      <c r="M38" s="311"/>
      <c r="N38" s="311"/>
      <c r="O38" s="311"/>
      <c r="P38" s="311"/>
      <c r="Q38" s="717" t="str">
        <f>IF(Q$32="N/A"," ",IF(Q$32=0," ","Low"))</f>
        <v xml:space="preserve"> </v>
      </c>
      <c r="R38" s="717" t="str">
        <f>IF(R$32="N/A"," ",IF(R$32=0," ","Low"))</f>
        <v xml:space="preserve"> </v>
      </c>
      <c r="S38" s="725" t="str">
        <f>IF($S$32=0," ","Low")</f>
        <v xml:space="preserve"> </v>
      </c>
      <c r="T38" s="311"/>
      <c r="U38" s="311"/>
      <c r="V38" s="727"/>
      <c r="W38" s="724"/>
      <c r="X38" s="686" t="s">
        <v>170</v>
      </c>
      <c r="Z38" s="279"/>
    </row>
    <row r="39" spans="1:26" ht="32.1" customHeight="1" x14ac:dyDescent="0.25">
      <c r="A39" s="280"/>
      <c r="B39" s="253"/>
      <c r="C39" s="918"/>
      <c r="D39" s="709" t="s">
        <v>383</v>
      </c>
      <c r="E39" s="311"/>
      <c r="F39" s="726"/>
      <c r="G39" s="717" t="str">
        <f>IF(G$32="N/A"," ",IF(G$32=0," ","High"))</f>
        <v xml:space="preserve"> </v>
      </c>
      <c r="H39" s="311"/>
      <c r="I39" s="311"/>
      <c r="J39" s="311"/>
      <c r="K39" s="311"/>
      <c r="L39" s="311"/>
      <c r="M39" s="311"/>
      <c r="N39" s="311"/>
      <c r="O39" s="311"/>
      <c r="P39" s="311"/>
      <c r="Q39" s="311"/>
      <c r="R39" s="311"/>
      <c r="S39" s="311"/>
      <c r="T39" s="311"/>
      <c r="U39" s="311"/>
      <c r="V39" s="727"/>
      <c r="W39" s="724"/>
      <c r="X39" s="658" t="s">
        <v>175</v>
      </c>
      <c r="Z39" s="279"/>
    </row>
    <row r="40" spans="1:26" ht="22.5" customHeight="1" x14ac:dyDescent="0.25">
      <c r="A40" s="919"/>
      <c r="B40" s="253"/>
      <c r="C40" s="74"/>
      <c r="D40" s="664" t="s">
        <v>384</v>
      </c>
      <c r="E40" s="300"/>
      <c r="F40" s="717" t="str">
        <f>IF(F$32="N/A"," ",IF(F$32=0," ","Low"))</f>
        <v xml:space="preserve"> </v>
      </c>
      <c r="G40" s="312"/>
      <c r="H40" s="312"/>
      <c r="I40" s="312"/>
      <c r="J40" s="312"/>
      <c r="K40" s="312"/>
      <c r="L40" s="312"/>
      <c r="M40" s="312"/>
      <c r="N40" s="312"/>
      <c r="O40" s="312"/>
      <c r="P40" s="312"/>
      <c r="Q40" s="312"/>
      <c r="R40" s="312"/>
      <c r="S40" s="312"/>
      <c r="T40" s="312"/>
      <c r="U40" s="312"/>
      <c r="V40" s="666"/>
      <c r="W40" s="724"/>
      <c r="X40" s="686" t="s">
        <v>170</v>
      </c>
      <c r="Z40" s="279"/>
    </row>
    <row r="41" spans="1:26" ht="17.45" customHeight="1" x14ac:dyDescent="0.25">
      <c r="A41" s="919"/>
      <c r="B41" s="253"/>
      <c r="C41" s="247"/>
      <c r="D41" s="664" t="s">
        <v>385</v>
      </c>
      <c r="E41" s="716" t="str">
        <f>IF(E$32="N/A"," ",IF(E$32=0," ","Low"))</f>
        <v>Low</v>
      </c>
      <c r="F41" s="717" t="str">
        <f>IF(F$32="N/A"," ",IF(F$32=0," ","Low"))</f>
        <v xml:space="preserve"> </v>
      </c>
      <c r="G41" s="717" t="str">
        <f>IF(G$32="N/A"," ",IF(G$32=0," ","Low"))</f>
        <v xml:space="preserve"> </v>
      </c>
      <c r="H41" s="313"/>
      <c r="I41" s="313"/>
      <c r="J41" s="313"/>
      <c r="K41" s="313"/>
      <c r="L41" s="313"/>
      <c r="M41" s="313"/>
      <c r="N41" s="313"/>
      <c r="O41" s="313"/>
      <c r="P41" s="313"/>
      <c r="Q41" s="313"/>
      <c r="R41" s="313"/>
      <c r="S41" s="313"/>
      <c r="T41" s="313"/>
      <c r="U41" s="313"/>
      <c r="V41" s="668"/>
      <c r="W41" s="724"/>
      <c r="X41" s="686" t="s">
        <v>170</v>
      </c>
      <c r="Z41" s="279"/>
    </row>
    <row r="42" spans="1:26" ht="38.450000000000003" customHeight="1" x14ac:dyDescent="0.25">
      <c r="A42" s="281"/>
      <c r="B42" s="253"/>
      <c r="C42" s="247"/>
      <c r="D42" s="708" t="s">
        <v>386</v>
      </c>
      <c r="E42" s="300"/>
      <c r="F42" s="728"/>
      <c r="G42" s="313"/>
      <c r="H42" s="313"/>
      <c r="I42" s="313"/>
      <c r="J42" s="313"/>
      <c r="K42" s="717" t="str">
        <f>IF(K$32="N/A"," ",IF(K$32=0," ","Low"))</f>
        <v xml:space="preserve"> </v>
      </c>
      <c r="L42" s="313"/>
      <c r="M42" s="313"/>
      <c r="N42" s="313"/>
      <c r="O42" s="313"/>
      <c r="P42" s="313"/>
      <c r="Q42" s="313"/>
      <c r="R42" s="313"/>
      <c r="S42" s="313"/>
      <c r="T42" s="313"/>
      <c r="U42" s="313"/>
      <c r="V42" s="668"/>
      <c r="W42" s="724"/>
      <c r="X42" s="658" t="s">
        <v>175</v>
      </c>
      <c r="Z42" s="279"/>
    </row>
    <row r="43" spans="1:26" ht="28.5" customHeight="1" x14ac:dyDescent="0.25">
      <c r="A43" s="281"/>
      <c r="B43" s="253"/>
      <c r="C43" s="247"/>
      <c r="D43" s="664" t="s">
        <v>387</v>
      </c>
      <c r="E43" s="716" t="str">
        <f>IF(E$32="N/A"," ",IF(E$32=0," ","High"))</f>
        <v>High</v>
      </c>
      <c r="F43" s="717" t="str">
        <f>IF(F$32="N/A"," ",IF(F$32=0," ","High"))</f>
        <v xml:space="preserve"> </v>
      </c>
      <c r="G43" s="717" t="str">
        <f>IF(G$32="N/A"," ",IF(G$32=0," ","High"))</f>
        <v xml:space="preserve"> </v>
      </c>
      <c r="H43" s="313"/>
      <c r="I43" s="313"/>
      <c r="J43" s="313"/>
      <c r="K43" s="313"/>
      <c r="L43" s="313"/>
      <c r="M43" s="313"/>
      <c r="N43" s="717" t="str">
        <f>IF(N$32="N/A"," ",IF(N$32=0," ","High"))</f>
        <v xml:space="preserve"> </v>
      </c>
      <c r="O43" s="717"/>
      <c r="P43" s="313"/>
      <c r="Q43" s="313"/>
      <c r="R43" s="313"/>
      <c r="S43" s="313"/>
      <c r="T43" s="313"/>
      <c r="U43" s="313"/>
      <c r="V43" s="725" t="str">
        <f>IF($V$32=0," ","High")</f>
        <v xml:space="preserve"> </v>
      </c>
      <c r="W43" s="724"/>
      <c r="X43" s="686" t="s">
        <v>170</v>
      </c>
      <c r="Z43" s="279"/>
    </row>
    <row r="44" spans="1:26" ht="35.1" customHeight="1" x14ac:dyDescent="0.25">
      <c r="A44" s="281"/>
      <c r="B44" s="253"/>
      <c r="C44" s="247"/>
      <c r="D44" s="664" t="s">
        <v>388</v>
      </c>
      <c r="E44" s="300"/>
      <c r="F44" s="728"/>
      <c r="G44" s="300"/>
      <c r="H44" s="313"/>
      <c r="I44" s="717" t="str">
        <f>IF(I$32="N/A"," ",IF(I$32=0," ","High"))</f>
        <v xml:space="preserve"> </v>
      </c>
      <c r="J44" s="300"/>
      <c r="K44" s="313"/>
      <c r="L44" s="717" t="str">
        <f>IF(L$32="N/A"," ",IF(L$32=0," ","High"))</f>
        <v xml:space="preserve"> </v>
      </c>
      <c r="M44" s="717" t="str">
        <f>IF(M$32="N/A"," ",IF(M$32=0," ","High"))</f>
        <v xml:space="preserve"> </v>
      </c>
      <c r="N44" s="313"/>
      <c r="O44" s="313"/>
      <c r="P44" s="313"/>
      <c r="Q44" s="313"/>
      <c r="R44" s="313"/>
      <c r="S44" s="313"/>
      <c r="T44" s="313"/>
      <c r="U44" s="313"/>
      <c r="V44" s="665"/>
      <c r="W44" s="724"/>
      <c r="X44" s="658" t="s">
        <v>175</v>
      </c>
      <c r="Z44" s="279"/>
    </row>
    <row r="45" spans="1:26" ht="24.95" customHeight="1" x14ac:dyDescent="0.25">
      <c r="A45" s="281"/>
      <c r="B45" s="253"/>
      <c r="C45" s="247"/>
      <c r="D45" s="664" t="s">
        <v>389</v>
      </c>
      <c r="E45" s="300"/>
      <c r="F45" s="728"/>
      <c r="G45" s="300"/>
      <c r="H45" s="313"/>
      <c r="I45" s="300"/>
      <c r="J45" s="300"/>
      <c r="K45" s="313"/>
      <c r="L45" s="300" t="s">
        <v>142</v>
      </c>
      <c r="M45" s="300"/>
      <c r="N45" s="313"/>
      <c r="O45" s="313"/>
      <c r="P45" s="313"/>
      <c r="Q45" s="313"/>
      <c r="R45" s="313"/>
      <c r="S45" s="313"/>
      <c r="T45" s="313"/>
      <c r="U45" s="313"/>
      <c r="V45" s="665"/>
      <c r="W45" s="724"/>
      <c r="X45" s="658" t="s">
        <v>175</v>
      </c>
      <c r="Z45" s="279"/>
    </row>
    <row r="46" spans="1:26" ht="28.5" customHeight="1" x14ac:dyDescent="0.25">
      <c r="A46" s="281"/>
      <c r="B46" s="253"/>
      <c r="C46" s="247"/>
      <c r="D46" s="677" t="s">
        <v>390</v>
      </c>
      <c r="E46" s="300"/>
      <c r="F46" s="728"/>
      <c r="G46" s="313"/>
      <c r="H46" s="313"/>
      <c r="I46" s="313"/>
      <c r="J46" s="313"/>
      <c r="K46" s="313"/>
      <c r="L46" s="300" t="s">
        <v>154</v>
      </c>
      <c r="M46" s="313"/>
      <c r="N46" s="313"/>
      <c r="O46" s="313"/>
      <c r="P46" s="313"/>
      <c r="Q46" s="315"/>
      <c r="R46" s="315"/>
      <c r="S46" s="725" t="str">
        <f>IF($S$32=0," ","High")</f>
        <v xml:space="preserve"> </v>
      </c>
      <c r="T46" s="313"/>
      <c r="U46" s="313"/>
      <c r="V46" s="668"/>
      <c r="W46" s="724"/>
      <c r="X46" s="686" t="s">
        <v>170</v>
      </c>
      <c r="Z46" s="279"/>
    </row>
    <row r="47" spans="1:26" ht="28.5" customHeight="1" x14ac:dyDescent="0.25">
      <c r="A47" s="281"/>
      <c r="B47" s="253"/>
      <c r="C47" s="247"/>
      <c r="D47" s="677" t="s">
        <v>391</v>
      </c>
      <c r="E47" s="300"/>
      <c r="F47" s="728"/>
      <c r="G47" s="313"/>
      <c r="H47" s="313"/>
      <c r="I47" s="300" t="s">
        <v>154</v>
      </c>
      <c r="J47" s="300" t="s">
        <v>154</v>
      </c>
      <c r="K47" s="313"/>
      <c r="L47" s="300"/>
      <c r="M47" s="313"/>
      <c r="N47" s="313"/>
      <c r="O47" s="313"/>
      <c r="P47" s="313"/>
      <c r="Q47" s="315"/>
      <c r="R47" s="725" t="str">
        <f>IF($R$32=0," ","Low")</f>
        <v xml:space="preserve"> </v>
      </c>
      <c r="S47" s="315"/>
      <c r="T47" s="313"/>
      <c r="U47" s="313"/>
      <c r="V47" s="668"/>
      <c r="W47" s="724"/>
      <c r="X47" s="662" t="s">
        <v>164</v>
      </c>
      <c r="Z47" s="279"/>
    </row>
    <row r="48" spans="1:26" ht="47.1" customHeight="1" x14ac:dyDescent="0.25">
      <c r="A48" s="281"/>
      <c r="B48" s="253"/>
      <c r="C48" s="1036" t="s">
        <v>392</v>
      </c>
      <c r="D48" s="708" t="s">
        <v>393</v>
      </c>
      <c r="E48" s="300"/>
      <c r="F48" s="728"/>
      <c r="G48" s="313"/>
      <c r="H48" s="313"/>
      <c r="I48" s="313"/>
      <c r="J48" s="300" t="s">
        <v>142</v>
      </c>
      <c r="K48" s="313"/>
      <c r="L48" s="313"/>
      <c r="M48" s="313"/>
      <c r="N48" s="313"/>
      <c r="O48" s="313"/>
      <c r="P48" s="313"/>
      <c r="Q48" s="315"/>
      <c r="R48" s="725" t="str">
        <f>IF($R$32=0," ","High")</f>
        <v xml:space="preserve"> </v>
      </c>
      <c r="S48" s="725" t="str">
        <f>IF($S$32=0," ","High")</f>
        <v xml:space="preserve"> </v>
      </c>
      <c r="T48" s="313"/>
      <c r="U48" s="725" t="str">
        <f>IF($U$32=0," ","High")</f>
        <v xml:space="preserve"> </v>
      </c>
      <c r="V48" s="668"/>
      <c r="W48" s="724"/>
      <c r="X48" s="658" t="s">
        <v>175</v>
      </c>
      <c r="Z48" s="279"/>
    </row>
    <row r="49" spans="1:26" ht="47.1" customHeight="1" x14ac:dyDescent="0.25">
      <c r="A49" s="281"/>
      <c r="B49" s="253"/>
      <c r="C49" s="1037"/>
      <c r="D49" s="708" t="s">
        <v>394</v>
      </c>
      <c r="E49" s="300"/>
      <c r="F49" s="728"/>
      <c r="G49" s="313"/>
      <c r="H49" s="313"/>
      <c r="I49" s="313"/>
      <c r="J49" s="300"/>
      <c r="K49" s="313"/>
      <c r="L49" s="313"/>
      <c r="M49" s="313"/>
      <c r="N49" s="300" t="s">
        <v>142</v>
      </c>
      <c r="O49" s="300"/>
      <c r="P49" s="313"/>
      <c r="Q49" s="315"/>
      <c r="R49" s="315"/>
      <c r="S49" s="315"/>
      <c r="T49" s="313"/>
      <c r="U49" s="725" t="str">
        <f>IF($U$32=0," ","High")</f>
        <v xml:space="preserve"> </v>
      </c>
      <c r="V49" s="668"/>
      <c r="W49" s="729"/>
      <c r="X49" s="686" t="s">
        <v>170</v>
      </c>
      <c r="Z49" s="279"/>
    </row>
    <row r="50" spans="1:26" ht="36.950000000000003" customHeight="1" x14ac:dyDescent="0.25">
      <c r="A50" s="281"/>
      <c r="B50" s="253"/>
      <c r="C50" s="1037"/>
      <c r="D50" s="708" t="s">
        <v>395</v>
      </c>
      <c r="E50" s="300"/>
      <c r="F50" s="728"/>
      <c r="G50" s="313"/>
      <c r="H50" s="313"/>
      <c r="I50" s="313"/>
      <c r="J50" s="300"/>
      <c r="K50" s="300" t="s">
        <v>154</v>
      </c>
      <c r="L50" s="313"/>
      <c r="M50" s="313"/>
      <c r="N50" s="313"/>
      <c r="O50" s="313"/>
      <c r="P50" s="313"/>
      <c r="Q50" s="315"/>
      <c r="R50" s="315"/>
      <c r="S50" s="315"/>
      <c r="T50" s="313"/>
      <c r="U50" s="313"/>
      <c r="V50" s="668"/>
      <c r="W50" s="729"/>
      <c r="X50" s="658" t="s">
        <v>175</v>
      </c>
      <c r="Z50" s="279"/>
    </row>
    <row r="51" spans="1:26" ht="36.950000000000003" customHeight="1" thickBot="1" x14ac:dyDescent="0.3">
      <c r="A51" s="281"/>
      <c r="B51" s="253"/>
      <c r="C51" s="1038"/>
      <c r="D51" s="730" t="s">
        <v>396</v>
      </c>
      <c r="E51" s="328"/>
      <c r="F51" s="717" t="str">
        <f>IF(F$32="N/A"," ",IF(F$32=0," ","Low"))</f>
        <v xml:space="preserve"> </v>
      </c>
      <c r="G51" s="731"/>
      <c r="H51" s="731"/>
      <c r="I51" s="731"/>
      <c r="J51" s="328"/>
      <c r="K51" s="731"/>
      <c r="L51" s="731"/>
      <c r="M51" s="731"/>
      <c r="N51" s="731"/>
      <c r="O51" s="731"/>
      <c r="P51" s="731"/>
      <c r="Q51" s="680"/>
      <c r="R51" s="680"/>
      <c r="S51" s="680"/>
      <c r="T51" s="731"/>
      <c r="U51" s="731"/>
      <c r="V51" s="732"/>
      <c r="W51" s="729"/>
      <c r="X51" s="686" t="s">
        <v>170</v>
      </c>
      <c r="Z51" s="284"/>
    </row>
    <row r="52" spans="1:26" ht="26.1" customHeight="1" thickBot="1" x14ac:dyDescent="0.3">
      <c r="D52" s="321" t="s">
        <v>193</v>
      </c>
      <c r="E52" s="321"/>
      <c r="F52" s="321"/>
      <c r="G52" s="683"/>
      <c r="H52" s="683"/>
      <c r="I52" s="683"/>
      <c r="J52" s="683"/>
      <c r="K52" s="683"/>
      <c r="L52" s="683"/>
      <c r="M52" s="683"/>
      <c r="N52" s="683"/>
      <c r="O52" s="683"/>
      <c r="P52" s="683"/>
      <c r="Q52" s="683"/>
      <c r="R52" s="683"/>
      <c r="S52" s="683"/>
      <c r="T52" s="683"/>
      <c r="U52" s="683"/>
      <c r="V52" s="683"/>
      <c r="W52"/>
      <c r="X52" s="683"/>
      <c r="Z52" s="286"/>
    </row>
    <row r="53" spans="1:26" ht="24" customHeight="1" x14ac:dyDescent="0.25">
      <c r="D53" s="733" t="s">
        <v>340</v>
      </c>
      <c r="E53" s="584" t="str">
        <f>IF(E$32="N/A"," ",IF(E$32=0," ","Low"))</f>
        <v>Low</v>
      </c>
      <c r="F53" s="734"/>
      <c r="G53" s="584"/>
      <c r="H53" s="584"/>
      <c r="I53" s="584"/>
      <c r="J53" s="584"/>
      <c r="K53" s="584"/>
      <c r="L53" s="584"/>
      <c r="M53" s="584"/>
      <c r="N53" s="584"/>
      <c r="O53" s="584"/>
      <c r="P53" s="584"/>
      <c r="Q53" s="584"/>
      <c r="R53" s="584"/>
      <c r="S53" s="584"/>
      <c r="T53" s="584"/>
      <c r="U53" s="584"/>
      <c r="V53" s="735"/>
      <c r="W53" s="729"/>
      <c r="X53" s="736" t="s">
        <v>170</v>
      </c>
      <c r="Z53" s="277"/>
    </row>
    <row r="54" spans="1:26" ht="30.6" customHeight="1" x14ac:dyDescent="0.25">
      <c r="C54" s="913"/>
      <c r="D54" s="737" t="s">
        <v>342</v>
      </c>
      <c r="E54" s="325"/>
      <c r="F54" s="717" t="str">
        <f>IF(F$32="N/A"," ",IF(F$32=0," ","High"))</f>
        <v xml:space="preserve"> </v>
      </c>
      <c r="G54" s="717" t="str">
        <f>IF(G$32="N/A"," ",IF(G$32=0," ","High"))</f>
        <v xml:space="preserve"> </v>
      </c>
      <c r="H54" s="300"/>
      <c r="I54" s="300"/>
      <c r="J54" s="300"/>
      <c r="K54" s="300"/>
      <c r="L54" s="300"/>
      <c r="M54" s="300"/>
      <c r="N54" s="300"/>
      <c r="O54" s="300"/>
      <c r="P54" s="300"/>
      <c r="Q54" s="717" t="str">
        <f>IF(R$32="N/A"," ",IF(R$32=0," ","High"))</f>
        <v xml:space="preserve"> </v>
      </c>
      <c r="R54" s="717" t="str">
        <f>IF(S$32="N/A"," ",IF(S$32=0," ","High"))</f>
        <v xml:space="preserve"> </v>
      </c>
      <c r="S54" s="729"/>
      <c r="T54" s="300"/>
      <c r="U54" s="300"/>
      <c r="V54" s="665"/>
      <c r="W54" s="729"/>
      <c r="X54" s="686" t="s">
        <v>170</v>
      </c>
      <c r="Z54" s="279"/>
    </row>
    <row r="55" spans="1:26" ht="36.950000000000003" customHeight="1" x14ac:dyDescent="0.25">
      <c r="C55" s="913"/>
      <c r="D55" s="664" t="s">
        <v>397</v>
      </c>
      <c r="E55" s="325"/>
      <c r="F55" s="717" t="str">
        <f>IF(F$32="N/A"," ",IF(F$32=0," ","High"))</f>
        <v xml:space="preserve"> </v>
      </c>
      <c r="G55" s="717" t="str">
        <f>IF(G$32="N/A"," ",IF(G$32=0," ","High"))</f>
        <v xml:space="preserve"> </v>
      </c>
      <c r="H55" s="300"/>
      <c r="I55" s="300"/>
      <c r="J55" s="300"/>
      <c r="K55" s="717" t="str">
        <f>IF(K$32="N/A"," ",IF(K$32=0," ","High"))</f>
        <v xml:space="preserve"> </v>
      </c>
      <c r="L55" s="300"/>
      <c r="M55" s="300"/>
      <c r="N55" s="300"/>
      <c r="O55" s="300"/>
      <c r="P55" s="300"/>
      <c r="Q55" s="300"/>
      <c r="R55" s="300"/>
      <c r="S55" s="717" t="str">
        <f>IF(S$32="N/A"," ",IF(S$32=0," ","High"))</f>
        <v xml:space="preserve"> </v>
      </c>
      <c r="T55" s="300"/>
      <c r="U55" s="300"/>
      <c r="V55" s="665"/>
      <c r="W55" s="729"/>
      <c r="X55" s="686" t="s">
        <v>175</v>
      </c>
      <c r="Z55" s="279"/>
    </row>
    <row r="56" spans="1:26" ht="48.95" customHeight="1" x14ac:dyDescent="0.25">
      <c r="C56" s="913"/>
      <c r="D56" s="664" t="s">
        <v>398</v>
      </c>
      <c r="E56" s="325"/>
      <c r="F56" s="717" t="str">
        <f>IF(F$32="N/A"," ",IF(F$32=0," ","Low"))</f>
        <v xml:space="preserve"> </v>
      </c>
      <c r="G56" s="717" t="str">
        <f>IF(G$32="N/A"," ",IF(G$32=0," ","Low"))</f>
        <v xml:space="preserve"> </v>
      </c>
      <c r="H56" s="300"/>
      <c r="I56" s="300"/>
      <c r="J56" s="300"/>
      <c r="K56" s="300"/>
      <c r="L56" s="300"/>
      <c r="M56" s="300"/>
      <c r="N56" s="300"/>
      <c r="O56" s="300"/>
      <c r="P56" s="300"/>
      <c r="Q56" s="717" t="str">
        <f>IF(Q$32="N/A"," ",IF(Q$32=0," ","Low"))</f>
        <v xml:space="preserve"> </v>
      </c>
      <c r="R56" s="717" t="str">
        <f>IF(R$32="N/A"," ",IF(R$32=0," ","Low"))</f>
        <v xml:space="preserve"> </v>
      </c>
      <c r="S56" s="300"/>
      <c r="T56" s="300"/>
      <c r="U56" s="300"/>
      <c r="V56" s="665"/>
      <c r="W56" s="729"/>
      <c r="X56" s="686" t="s">
        <v>170</v>
      </c>
      <c r="Z56" s="279"/>
    </row>
    <row r="57" spans="1:26" ht="39" customHeight="1" thickBot="1" x14ac:dyDescent="0.3">
      <c r="C57" s="913"/>
      <c r="D57" s="738" t="s">
        <v>399</v>
      </c>
      <c r="E57" s="327"/>
      <c r="F57" s="739" t="str">
        <f>IF(F$32="N/A"," ",IF(F$32=0," ","Low"))</f>
        <v xml:space="preserve"> </v>
      </c>
      <c r="G57" s="328"/>
      <c r="H57" s="328"/>
      <c r="I57" s="328"/>
      <c r="J57" s="328"/>
      <c r="K57" s="328"/>
      <c r="L57" s="328"/>
      <c r="M57" s="328"/>
      <c r="N57" s="328"/>
      <c r="O57" s="328"/>
      <c r="P57" s="328"/>
      <c r="Q57" s="328"/>
      <c r="R57" s="328"/>
      <c r="S57" s="328"/>
      <c r="T57" s="328"/>
      <c r="U57" s="328"/>
      <c r="V57" s="739" t="str">
        <f>IF(V$32="N/A"," ",IF(V$32=0," ","Low"))</f>
        <v xml:space="preserve"> </v>
      </c>
      <c r="W57" s="729"/>
      <c r="X57" s="689" t="s">
        <v>170</v>
      </c>
      <c r="Z57" s="284"/>
    </row>
    <row r="58" spans="1:26" ht="48.6" customHeight="1" x14ac:dyDescent="0.25">
      <c r="C58" s="913"/>
      <c r="E58" s="111"/>
      <c r="F58" s="111"/>
      <c r="G58" s="290"/>
      <c r="H58" s="290"/>
      <c r="I58" s="290"/>
      <c r="J58" s="290"/>
      <c r="K58" s="290"/>
      <c r="L58" s="290"/>
      <c r="M58" s="290"/>
      <c r="N58" s="290"/>
      <c r="O58" s="290"/>
      <c r="P58" s="290"/>
      <c r="Q58" s="290"/>
      <c r="R58" s="290"/>
      <c r="S58" s="290"/>
      <c r="T58" s="290"/>
      <c r="U58" s="290"/>
      <c r="V58" s="290"/>
      <c r="X58" s="282"/>
    </row>
    <row r="59" spans="1:26" x14ac:dyDescent="0.25">
      <c r="C59" s="913"/>
      <c r="D59" s="289"/>
      <c r="E59" s="111"/>
      <c r="F59" s="111"/>
      <c r="G59" s="290"/>
      <c r="H59" s="290"/>
      <c r="I59" s="290"/>
      <c r="J59" s="290"/>
      <c r="K59" s="290"/>
      <c r="L59" s="290"/>
      <c r="M59" s="290"/>
      <c r="N59" s="290"/>
      <c r="O59" s="290"/>
      <c r="P59" s="290"/>
      <c r="Q59" s="290"/>
      <c r="R59" s="290"/>
      <c r="S59" s="290"/>
      <c r="T59" s="290"/>
      <c r="U59" s="290"/>
      <c r="V59" s="290"/>
      <c r="X59" s="282"/>
    </row>
    <row r="60" spans="1:26" ht="39" customHeight="1" x14ac:dyDescent="0.25">
      <c r="C60" s="913"/>
      <c r="E60" s="111"/>
      <c r="F60" s="111"/>
      <c r="G60" s="290"/>
      <c r="H60" s="290"/>
      <c r="I60" s="290"/>
      <c r="J60" s="290"/>
      <c r="K60" s="290"/>
      <c r="L60" s="290"/>
      <c r="M60" s="290"/>
      <c r="N60" s="290"/>
      <c r="O60" s="290"/>
      <c r="P60" s="290"/>
      <c r="Q60" s="290"/>
      <c r="R60" s="290"/>
      <c r="S60" s="290"/>
      <c r="T60" s="290"/>
      <c r="U60" s="290"/>
      <c r="V60" s="290"/>
      <c r="X60" s="282"/>
    </row>
    <row r="61" spans="1:26" ht="38.450000000000003" customHeight="1" x14ac:dyDescent="0.25">
      <c r="C61" s="913"/>
    </row>
    <row r="62" spans="1:26" ht="56.1" customHeight="1" x14ac:dyDescent="0.25"/>
    <row r="63" spans="1:26" ht="19.5" customHeight="1" x14ac:dyDescent="0.25"/>
    <row r="64" spans="1:26" ht="29.1" customHeight="1" x14ac:dyDescent="0.25">
      <c r="D64" s="289"/>
    </row>
    <row r="65" spans="4:4" ht="33" customHeight="1" x14ac:dyDescent="0.25">
      <c r="D65" s="289"/>
    </row>
    <row r="66" spans="4:4" x14ac:dyDescent="0.25">
      <c r="D66" s="289"/>
    </row>
  </sheetData>
  <sheetProtection algorithmName="SHA-512" hashValue="Ed3pvC3YZgtTdYubqFEqR+JI85lLoz+SsK5Oy2HsMMfv1bqukMGE0p2JQ4fzXnvRM5rUgm8+g5PPBLn+Qjbk5Q==" saltValue="kZ5LCkISQXnVerg92T54Jg==" spinCount="100000" sheet="1" selectLockedCells="1"/>
  <mergeCells count="57">
    <mergeCell ref="U32:U33"/>
    <mergeCell ref="V32:V33"/>
    <mergeCell ref="L32:L33"/>
    <mergeCell ref="P32:P33"/>
    <mergeCell ref="Q32:Q33"/>
    <mergeCell ref="R32:R33"/>
    <mergeCell ref="S32:S33"/>
    <mergeCell ref="T32:T33"/>
    <mergeCell ref="O32:O33"/>
    <mergeCell ref="A12:A22"/>
    <mergeCell ref="A23:A26"/>
    <mergeCell ref="A27:A31"/>
    <mergeCell ref="A32:A35"/>
    <mergeCell ref="A8:A11"/>
    <mergeCell ref="Q6:V6"/>
    <mergeCell ref="Q5:V5"/>
    <mergeCell ref="C54:C61"/>
    <mergeCell ref="A40:A41"/>
    <mergeCell ref="C38:C39"/>
    <mergeCell ref="S23:S24"/>
    <mergeCell ref="T23:T24"/>
    <mergeCell ref="U23:U24"/>
    <mergeCell ref="V23:V24"/>
    <mergeCell ref="L23:L24"/>
    <mergeCell ref="M23:M24"/>
    <mergeCell ref="N23:N24"/>
    <mergeCell ref="P23:P24"/>
    <mergeCell ref="Q28:V28"/>
    <mergeCell ref="Q29:V29"/>
    <mergeCell ref="R7:V7"/>
    <mergeCell ref="Q23:Q24"/>
    <mergeCell ref="R23:R24"/>
    <mergeCell ref="I23:I24"/>
    <mergeCell ref="J23:J24"/>
    <mergeCell ref="K23:K24"/>
    <mergeCell ref="E23:E24"/>
    <mergeCell ref="G23:G24"/>
    <mergeCell ref="H23:H24"/>
    <mergeCell ref="F8:M8"/>
    <mergeCell ref="N8:P8"/>
    <mergeCell ref="O23:O24"/>
    <mergeCell ref="Q8:V8"/>
    <mergeCell ref="F23:F24"/>
    <mergeCell ref="C48:C51"/>
    <mergeCell ref="N31:P31"/>
    <mergeCell ref="D32:D33"/>
    <mergeCell ref="Q31:V31"/>
    <mergeCell ref="E32:E33"/>
    <mergeCell ref="F32:F33"/>
    <mergeCell ref="G32:G33"/>
    <mergeCell ref="F31:M31"/>
    <mergeCell ref="H32:H33"/>
    <mergeCell ref="I32:I33"/>
    <mergeCell ref="J32:J33"/>
    <mergeCell ref="K32:K33"/>
    <mergeCell ref="M32:M33"/>
    <mergeCell ref="N32:N33"/>
  </mergeCells>
  <conditionalFormatting sqref="E9:V9">
    <cfRule type="cellIs" dxfId="30" priority="3" operator="equal">
      <formula>0</formula>
    </cfRule>
  </conditionalFormatting>
  <conditionalFormatting sqref="E10:V10 T46:V47 T48:T49 V48:V49 G48:I51 L50:P50 T50:V51">
    <cfRule type="cellIs" dxfId="29" priority="20" operator="equal">
      <formula>"Medium"</formula>
    </cfRule>
    <cfRule type="cellIs" dxfId="28" priority="21" operator="equal">
      <formula>"Low"</formula>
    </cfRule>
    <cfRule type="cellIs" dxfId="27" priority="22" operator="equal">
      <formula>"High"</formula>
    </cfRule>
  </conditionalFormatting>
  <conditionalFormatting sqref="E10:V10">
    <cfRule type="cellIs" dxfId="26" priority="7" operator="equal">
      <formula>"N/A"</formula>
    </cfRule>
  </conditionalFormatting>
  <conditionalFormatting sqref="E25:V25">
    <cfRule type="cellIs" dxfId="25" priority="4" operator="equal">
      <formula>"N/A"</formula>
    </cfRule>
    <cfRule type="cellIs" dxfId="24" priority="17" operator="equal">
      <formula>"High"</formula>
    </cfRule>
    <cfRule type="cellIs" dxfId="23" priority="18" operator="equal">
      <formula>"Medium"</formula>
    </cfRule>
    <cfRule type="cellIs" dxfId="22" priority="19" operator="equal">
      <formula>"Low"</formula>
    </cfRule>
  </conditionalFormatting>
  <conditionalFormatting sqref="E27:V27 E28:P28 E29:Q30 H41:V41">
    <cfRule type="cellIs" dxfId="21" priority="11" operator="equal">
      <formula>"Medium"</formula>
    </cfRule>
    <cfRule type="cellIs" dxfId="20" priority="12" operator="equal">
      <formula>"Low"</formula>
    </cfRule>
    <cfRule type="cellIs" dxfId="19" priority="13" operator="equal">
      <formula>"High"</formula>
    </cfRule>
  </conditionalFormatting>
  <conditionalFormatting sqref="E32:V33">
    <cfRule type="cellIs" dxfId="18" priority="1" operator="equal">
      <formula>0</formula>
    </cfRule>
  </conditionalFormatting>
  <conditionalFormatting sqref="G42:J42 L42:V42 H43:M43 P43:U43 H44:H45 K44:K45 N44:U45 G46:K46 M46:P47 G47:H47 K47 K48:P48 K49:M49 P49 K51:P51">
    <cfRule type="cellIs" dxfId="17" priority="23" operator="equal">
      <formula>"Medium"</formula>
    </cfRule>
    <cfRule type="cellIs" dxfId="16" priority="24" operator="equal">
      <formula>"Low"</formula>
    </cfRule>
    <cfRule type="cellIs" dxfId="15" priority="25" operator="equal">
      <formula>"High"</formula>
    </cfRule>
  </conditionalFormatting>
  <conditionalFormatting sqref="G40:V40">
    <cfRule type="cellIs" dxfId="14" priority="8" operator="equal">
      <formula>"High"</formula>
    </cfRule>
    <cfRule type="cellIs" dxfId="13" priority="9" operator="equal">
      <formula>"Medium"</formula>
    </cfRule>
    <cfRule type="cellIs" dxfId="12" priority="10" operator="equal">
      <formula>"Low"</formula>
    </cfRule>
  </conditionalFormatting>
  <dataValidations count="1">
    <dataValidation type="list" showInputMessage="1" showErrorMessage="1" sqref="E23:V24" xr:uid="{12837AD4-2C45-48E0-86D0-FB9D2E8C4236}">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A51B-622B-49A9-9143-01C5EF62DE0B}">
  <sheetPr codeName="Sheet14"/>
  <dimension ref="A1:L158"/>
  <sheetViews>
    <sheetView topLeftCell="A9" zoomScale="85" zoomScaleNormal="85" workbookViewId="0">
      <selection activeCell="A45" sqref="A45"/>
    </sheetView>
  </sheetViews>
  <sheetFormatPr defaultColWidth="8.7109375" defaultRowHeight="12" x14ac:dyDescent="0.25"/>
  <cols>
    <col min="1" max="1" width="45.85546875" style="9" customWidth="1"/>
    <col min="2" max="2" width="20" style="9" customWidth="1"/>
    <col min="3" max="3" width="44.85546875" style="9" customWidth="1"/>
    <col min="4" max="4" width="44.85546875" style="25" customWidth="1"/>
    <col min="5" max="5" width="43.42578125" style="9" customWidth="1"/>
    <col min="6" max="6" width="40.140625" style="9" customWidth="1"/>
    <col min="7" max="16384" width="8.7109375" style="9"/>
  </cols>
  <sheetData>
    <row r="1" spans="1:12" x14ac:dyDescent="0.25">
      <c r="C1" s="22" t="s">
        <v>400</v>
      </c>
      <c r="D1" s="24" t="s">
        <v>401</v>
      </c>
      <c r="E1" s="22" t="s">
        <v>402</v>
      </c>
      <c r="F1" s="22" t="s">
        <v>262</v>
      </c>
      <c r="H1" s="22"/>
    </row>
    <row r="2" spans="1:12" ht="24" customHeight="1" x14ac:dyDescent="0.25">
      <c r="A2" s="22" t="s">
        <v>403</v>
      </c>
      <c r="F2" s="22"/>
    </row>
    <row r="3" spans="1:12" ht="24" customHeight="1" x14ac:dyDescent="0.25">
      <c r="A3" s="534" t="s">
        <v>117</v>
      </c>
      <c r="C3" s="534" t="s">
        <v>117</v>
      </c>
      <c r="D3" s="534" t="s">
        <v>117</v>
      </c>
      <c r="E3" s="534" t="s">
        <v>117</v>
      </c>
      <c r="F3" s="534" t="s">
        <v>117</v>
      </c>
      <c r="H3" s="542"/>
      <c r="I3" s="542"/>
      <c r="J3" s="542"/>
      <c r="K3" s="542"/>
      <c r="L3" s="542"/>
    </row>
    <row r="4" spans="1:12" ht="39.950000000000003" customHeight="1" x14ac:dyDescent="0.25">
      <c r="A4" s="534" t="s">
        <v>404</v>
      </c>
      <c r="C4" s="18" t="s">
        <v>405</v>
      </c>
      <c r="D4" s="21" t="s">
        <v>406</v>
      </c>
      <c r="E4" s="541" t="s">
        <v>407</v>
      </c>
      <c r="F4" s="541" t="s">
        <v>408</v>
      </c>
      <c r="H4" s="158"/>
      <c r="I4" s="158"/>
      <c r="J4" s="542"/>
      <c r="K4" s="158"/>
      <c r="L4" s="158"/>
    </row>
    <row r="5" spans="1:12" ht="84" x14ac:dyDescent="0.25">
      <c r="A5" s="535" t="s">
        <v>409</v>
      </c>
      <c r="C5" s="18" t="s">
        <v>410</v>
      </c>
      <c r="D5" s="21" t="s">
        <v>411</v>
      </c>
      <c r="E5" s="541" t="s">
        <v>412</v>
      </c>
      <c r="F5" s="541" t="s">
        <v>413</v>
      </c>
      <c r="H5" s="159"/>
      <c r="I5" s="159"/>
      <c r="J5" s="542"/>
      <c r="K5" s="159"/>
      <c r="L5" s="159"/>
    </row>
    <row r="6" spans="1:12" ht="36" x14ac:dyDescent="0.25">
      <c r="A6" s="536" t="s">
        <v>414</v>
      </c>
      <c r="C6" s="9" t="s">
        <v>415</v>
      </c>
      <c r="D6" s="21" t="s">
        <v>416</v>
      </c>
      <c r="E6" s="541" t="s">
        <v>417</v>
      </c>
      <c r="F6" s="541" t="s">
        <v>418</v>
      </c>
      <c r="H6" s="159"/>
      <c r="I6" s="542"/>
      <c r="J6" s="159"/>
      <c r="K6" s="159"/>
      <c r="L6" s="159"/>
    </row>
    <row r="7" spans="1:12" ht="96" x14ac:dyDescent="0.25">
      <c r="A7" s="536" t="s">
        <v>419</v>
      </c>
      <c r="C7" s="18" t="s">
        <v>420</v>
      </c>
      <c r="D7" s="21" t="s">
        <v>421</v>
      </c>
      <c r="E7" s="541" t="s">
        <v>422</v>
      </c>
      <c r="F7" s="541" t="s">
        <v>423</v>
      </c>
      <c r="H7" s="159"/>
      <c r="I7" s="542"/>
      <c r="J7" s="159"/>
      <c r="K7" s="542"/>
      <c r="L7" s="159"/>
    </row>
    <row r="8" spans="1:12" ht="60" x14ac:dyDescent="0.25">
      <c r="A8" s="536" t="s">
        <v>424</v>
      </c>
      <c r="C8" s="18" t="s">
        <v>425</v>
      </c>
      <c r="D8" s="21" t="s">
        <v>426</v>
      </c>
      <c r="E8" s="541" t="s">
        <v>427</v>
      </c>
      <c r="F8" s="541" t="s">
        <v>428</v>
      </c>
      <c r="H8" s="159"/>
      <c r="I8" s="542"/>
      <c r="J8" s="159"/>
      <c r="K8" s="542"/>
      <c r="L8" s="542"/>
    </row>
    <row r="9" spans="1:12" ht="48" x14ac:dyDescent="0.25">
      <c r="A9" s="537" t="s">
        <v>429</v>
      </c>
      <c r="C9" s="18" t="s">
        <v>430</v>
      </c>
      <c r="D9" s="21" t="s">
        <v>431</v>
      </c>
      <c r="E9" s="541" t="s">
        <v>432</v>
      </c>
      <c r="F9" s="541" t="s">
        <v>432</v>
      </c>
      <c r="H9" s="159"/>
      <c r="I9" s="542"/>
      <c r="J9" s="542"/>
      <c r="K9" s="542"/>
      <c r="L9" s="159"/>
    </row>
    <row r="10" spans="1:12" ht="96" x14ac:dyDescent="0.25">
      <c r="A10" s="18" t="s">
        <v>433</v>
      </c>
      <c r="C10" s="18" t="s">
        <v>434</v>
      </c>
      <c r="D10" s="21" t="s">
        <v>435</v>
      </c>
      <c r="E10" s="541" t="s">
        <v>436</v>
      </c>
      <c r="F10" s="541" t="s">
        <v>437</v>
      </c>
      <c r="H10" s="159"/>
      <c r="I10" s="159"/>
      <c r="J10" s="159"/>
      <c r="K10" s="542"/>
      <c r="L10" s="159"/>
    </row>
    <row r="11" spans="1:12" ht="96" x14ac:dyDescent="0.25">
      <c r="A11" s="18" t="s">
        <v>438</v>
      </c>
      <c r="C11" s="540" t="s">
        <v>439</v>
      </c>
      <c r="D11" s="21" t="s">
        <v>440</v>
      </c>
      <c r="E11" s="541" t="s">
        <v>441</v>
      </c>
      <c r="F11" s="541" t="s">
        <v>442</v>
      </c>
      <c r="H11" s="159"/>
      <c r="I11" s="159"/>
      <c r="J11" s="159"/>
      <c r="K11" s="542"/>
      <c r="L11" s="159"/>
    </row>
    <row r="12" spans="1:12" ht="27.6" customHeight="1" x14ac:dyDescent="0.25">
      <c r="A12" s="538" t="s">
        <v>443</v>
      </c>
      <c r="C12" s="540" t="s">
        <v>444</v>
      </c>
      <c r="D12" s="21" t="s">
        <v>445</v>
      </c>
      <c r="E12" s="541" t="s">
        <v>446</v>
      </c>
      <c r="F12" s="541" t="s">
        <v>447</v>
      </c>
      <c r="H12" s="159"/>
      <c r="I12" s="542"/>
      <c r="J12" s="542"/>
      <c r="K12" s="542"/>
      <c r="L12" s="542"/>
    </row>
    <row r="13" spans="1:12" ht="27.6" customHeight="1" x14ac:dyDescent="0.25">
      <c r="A13" s="536" t="s">
        <v>448</v>
      </c>
      <c r="C13" s="540" t="s">
        <v>449</v>
      </c>
      <c r="D13" s="21" t="s">
        <v>450</v>
      </c>
      <c r="E13" s="541" t="s">
        <v>451</v>
      </c>
      <c r="F13" s="541" t="s">
        <v>452</v>
      </c>
      <c r="H13" s="159"/>
      <c r="I13" s="542"/>
      <c r="J13" s="542"/>
      <c r="K13" s="542"/>
      <c r="L13" s="542"/>
    </row>
    <row r="14" spans="1:12" ht="27.6" customHeight="1" x14ac:dyDescent="0.25">
      <c r="A14" s="536" t="s">
        <v>453</v>
      </c>
      <c r="C14" s="23" t="s">
        <v>117</v>
      </c>
      <c r="D14" s="21" t="s">
        <v>454</v>
      </c>
      <c r="E14" s="541" t="s">
        <v>455</v>
      </c>
      <c r="F14" s="541" t="s">
        <v>117</v>
      </c>
      <c r="H14" s="199"/>
      <c r="I14" s="542"/>
      <c r="J14" s="542"/>
      <c r="K14" s="542"/>
      <c r="L14" s="199"/>
    </row>
    <row r="15" spans="1:12" ht="85.5" customHeight="1" x14ac:dyDescent="0.25">
      <c r="A15" s="9" t="s">
        <v>456</v>
      </c>
      <c r="C15" s="20" t="s">
        <v>457</v>
      </c>
      <c r="D15" s="21" t="s">
        <v>458</v>
      </c>
      <c r="E15" s="20" t="s">
        <v>459</v>
      </c>
      <c r="F15" s="20" t="s">
        <v>460</v>
      </c>
      <c r="H15" s="199"/>
      <c r="I15" s="542"/>
      <c r="J15" s="542"/>
      <c r="K15" s="542"/>
      <c r="L15" s="199"/>
    </row>
    <row r="16" spans="1:12" ht="42.95" customHeight="1" x14ac:dyDescent="0.25">
      <c r="A16" s="9" t="s">
        <v>461</v>
      </c>
      <c r="C16" s="539" t="s">
        <v>462</v>
      </c>
      <c r="D16" s="21" t="s">
        <v>463</v>
      </c>
      <c r="E16" s="20" t="s">
        <v>464</v>
      </c>
      <c r="F16" s="20" t="s">
        <v>460</v>
      </c>
      <c r="H16" s="199"/>
      <c r="I16" s="542"/>
      <c r="J16" s="542"/>
      <c r="K16" s="542"/>
      <c r="L16" s="199"/>
    </row>
    <row r="17" spans="1:12" ht="78.599999999999994" customHeight="1" x14ac:dyDescent="0.25">
      <c r="A17" s="9" t="s">
        <v>465</v>
      </c>
      <c r="C17" s="20" t="s">
        <v>466</v>
      </c>
      <c r="D17" s="21" t="s">
        <v>467</v>
      </c>
      <c r="E17" s="20" t="s">
        <v>468</v>
      </c>
      <c r="F17" s="20" t="s">
        <v>469</v>
      </c>
      <c r="H17" s="199"/>
      <c r="I17" s="542"/>
      <c r="J17" s="542"/>
      <c r="K17" s="542"/>
      <c r="L17" s="542"/>
    </row>
    <row r="18" spans="1:12" ht="38.1" customHeight="1" x14ac:dyDescent="0.25">
      <c r="A18" s="9" t="s">
        <v>470</v>
      </c>
      <c r="C18" s="20" t="s">
        <v>471</v>
      </c>
      <c r="D18" s="21" t="s">
        <v>472</v>
      </c>
      <c r="E18" s="20" t="s">
        <v>473</v>
      </c>
      <c r="F18" s="20" t="s">
        <v>474</v>
      </c>
      <c r="H18" s="199"/>
      <c r="I18" s="542"/>
      <c r="J18" s="542"/>
      <c r="K18" s="542"/>
      <c r="L18" s="542"/>
    </row>
    <row r="19" spans="1:12" ht="60" x14ac:dyDescent="0.25">
      <c r="A19" s="9" t="s">
        <v>475</v>
      </c>
      <c r="C19" s="20" t="s">
        <v>476</v>
      </c>
      <c r="D19" s="21" t="s">
        <v>477</v>
      </c>
      <c r="E19" s="20" t="s">
        <v>478</v>
      </c>
      <c r="F19" s="20" t="s">
        <v>478</v>
      </c>
      <c r="H19" s="199"/>
      <c r="I19" s="542"/>
      <c r="J19" s="199"/>
      <c r="K19" s="168"/>
      <c r="L19" s="542"/>
    </row>
    <row r="21" spans="1:12" x14ac:dyDescent="0.25">
      <c r="F21" s="22"/>
    </row>
    <row r="22" spans="1:12" ht="26.45" customHeight="1" x14ac:dyDescent="0.25">
      <c r="A22" s="22" t="s">
        <v>479</v>
      </c>
    </row>
    <row r="23" spans="1:12" ht="26.45" customHeight="1" x14ac:dyDescent="0.25">
      <c r="A23" s="9" t="s">
        <v>117</v>
      </c>
      <c r="H23" s="542"/>
      <c r="I23" s="542"/>
      <c r="J23" s="542"/>
      <c r="K23" s="542"/>
      <c r="L23" s="542"/>
    </row>
    <row r="24" spans="1:12" ht="33.6" customHeight="1" x14ac:dyDescent="0.25">
      <c r="A24" s="534" t="s">
        <v>404</v>
      </c>
      <c r="C24" s="18" t="s">
        <v>405</v>
      </c>
      <c r="D24" s="21" t="s">
        <v>406</v>
      </c>
      <c r="E24" s="541" t="s">
        <v>407</v>
      </c>
      <c r="F24" s="541" t="s">
        <v>408</v>
      </c>
      <c r="H24" s="158"/>
      <c r="I24" s="158"/>
      <c r="J24" s="163"/>
      <c r="K24" s="159"/>
      <c r="L24" s="159"/>
    </row>
    <row r="25" spans="1:12" ht="45.95" customHeight="1" x14ac:dyDescent="0.25">
      <c r="A25" s="535" t="s">
        <v>409</v>
      </c>
      <c r="C25" s="18" t="s">
        <v>410</v>
      </c>
      <c r="D25" s="21" t="s">
        <v>411</v>
      </c>
      <c r="E25" s="541" t="s">
        <v>412</v>
      </c>
      <c r="F25" s="541" t="s">
        <v>413</v>
      </c>
      <c r="H25" s="159"/>
      <c r="I25" s="159"/>
      <c r="J25" s="163"/>
      <c r="K25" s="159"/>
      <c r="L25" s="159"/>
    </row>
    <row r="26" spans="1:12" ht="26.45" customHeight="1" x14ac:dyDescent="0.25">
      <c r="A26" s="536" t="s">
        <v>414</v>
      </c>
      <c r="C26" s="9" t="s">
        <v>415</v>
      </c>
      <c r="D26" s="21" t="s">
        <v>416</v>
      </c>
      <c r="E26" s="541" t="s">
        <v>417</v>
      </c>
      <c r="F26" s="541" t="s">
        <v>418</v>
      </c>
      <c r="H26" s="159"/>
      <c r="I26" s="160"/>
      <c r="J26" s="159"/>
      <c r="K26" s="159"/>
      <c r="L26" s="159"/>
    </row>
    <row r="27" spans="1:12" ht="39.950000000000003" customHeight="1" x14ac:dyDescent="0.25">
      <c r="A27" s="536" t="s">
        <v>419</v>
      </c>
      <c r="C27" s="18" t="s">
        <v>420</v>
      </c>
      <c r="D27" s="21" t="s">
        <v>421</v>
      </c>
      <c r="E27" s="541" t="s">
        <v>422</v>
      </c>
      <c r="F27" s="541" t="s">
        <v>423</v>
      </c>
      <c r="H27" s="159"/>
      <c r="I27" s="160"/>
      <c r="J27" s="159"/>
      <c r="K27" s="160"/>
      <c r="L27" s="159"/>
    </row>
    <row r="28" spans="1:12" ht="53.45" customHeight="1" x14ac:dyDescent="0.25">
      <c r="A28" s="536" t="s">
        <v>424</v>
      </c>
      <c r="C28" s="18" t="s">
        <v>425</v>
      </c>
      <c r="D28" s="21" t="s">
        <v>426</v>
      </c>
      <c r="E28" s="541" t="s">
        <v>427</v>
      </c>
      <c r="F28" s="541" t="s">
        <v>428</v>
      </c>
      <c r="H28" s="159"/>
      <c r="I28" s="160"/>
      <c r="J28" s="159"/>
      <c r="K28" s="160"/>
      <c r="L28" s="160"/>
    </row>
    <row r="29" spans="1:12" ht="72.599999999999994" customHeight="1" x14ac:dyDescent="0.25">
      <c r="A29" s="537" t="s">
        <v>429</v>
      </c>
      <c r="C29" s="18" t="s">
        <v>430</v>
      </c>
      <c r="D29" s="21" t="s">
        <v>431</v>
      </c>
      <c r="E29" s="541" t="s">
        <v>432</v>
      </c>
      <c r="F29" s="541" t="s">
        <v>432</v>
      </c>
      <c r="H29" s="159"/>
      <c r="I29" s="160"/>
      <c r="J29" s="160"/>
      <c r="K29" s="160"/>
      <c r="L29" s="159"/>
    </row>
    <row r="30" spans="1:12" ht="59.1" customHeight="1" x14ac:dyDescent="0.25">
      <c r="A30" s="18" t="s">
        <v>433</v>
      </c>
      <c r="C30" s="18" t="s">
        <v>434</v>
      </c>
      <c r="D30" s="21" t="s">
        <v>435</v>
      </c>
      <c r="E30" s="541" t="s">
        <v>436</v>
      </c>
      <c r="F30" s="541" t="s">
        <v>437</v>
      </c>
      <c r="H30" s="159"/>
      <c r="I30" s="159"/>
      <c r="J30" s="159"/>
      <c r="K30" s="160"/>
      <c r="L30" s="159"/>
    </row>
    <row r="31" spans="1:12" ht="26.45" customHeight="1" x14ac:dyDescent="0.25">
      <c r="A31" s="18" t="s">
        <v>438</v>
      </c>
      <c r="C31" s="540" t="s">
        <v>439</v>
      </c>
      <c r="D31" s="21" t="s">
        <v>440</v>
      </c>
      <c r="E31" s="541" t="s">
        <v>441</v>
      </c>
      <c r="F31" s="541" t="s">
        <v>442</v>
      </c>
      <c r="H31" s="159"/>
      <c r="I31" s="159"/>
      <c r="J31" s="159"/>
      <c r="K31" s="168"/>
      <c r="L31" s="159"/>
    </row>
    <row r="32" spans="1:12" ht="26.45" customHeight="1" x14ac:dyDescent="0.25">
      <c r="A32" s="538" t="s">
        <v>443</v>
      </c>
      <c r="C32" s="540" t="s">
        <v>444</v>
      </c>
      <c r="D32" s="21" t="s">
        <v>445</v>
      </c>
      <c r="E32" s="541" t="s">
        <v>446</v>
      </c>
      <c r="F32" s="541" t="s">
        <v>447</v>
      </c>
      <c r="H32" s="159"/>
      <c r="I32" s="160"/>
      <c r="J32" s="160"/>
      <c r="K32" s="160"/>
      <c r="L32" s="168"/>
    </row>
    <row r="33" spans="1:12" ht="26.45" customHeight="1" x14ac:dyDescent="0.25">
      <c r="A33" s="536" t="s">
        <v>448</v>
      </c>
      <c r="C33" s="540" t="s">
        <v>449</v>
      </c>
      <c r="D33" s="21" t="s">
        <v>450</v>
      </c>
      <c r="E33" s="541" t="s">
        <v>451</v>
      </c>
      <c r="F33" s="541" t="s">
        <v>452</v>
      </c>
      <c r="H33" s="159"/>
      <c r="I33" s="168"/>
      <c r="J33" s="168"/>
      <c r="K33" s="168"/>
      <c r="L33" s="168"/>
    </row>
    <row r="34" spans="1:12" ht="26.45" customHeight="1" x14ac:dyDescent="0.25">
      <c r="A34" s="536" t="s">
        <v>453</v>
      </c>
      <c r="C34" s="23" t="s">
        <v>117</v>
      </c>
      <c r="D34" s="21" t="s">
        <v>454</v>
      </c>
      <c r="E34" s="541" t="s">
        <v>455</v>
      </c>
      <c r="F34" s="541" t="s">
        <v>117</v>
      </c>
      <c r="H34" s="199"/>
      <c r="I34" s="168"/>
      <c r="J34" s="168"/>
      <c r="K34" s="168"/>
      <c r="L34" s="199"/>
    </row>
    <row r="35" spans="1:12" ht="81.95" customHeight="1" x14ac:dyDescent="0.25">
      <c r="A35" s="9" t="s">
        <v>480</v>
      </c>
      <c r="C35" s="20" t="s">
        <v>481</v>
      </c>
      <c r="D35" s="21" t="s">
        <v>482</v>
      </c>
      <c r="E35" s="20" t="s">
        <v>483</v>
      </c>
      <c r="F35" s="20" t="s">
        <v>484</v>
      </c>
      <c r="G35" s="23"/>
      <c r="H35" s="199"/>
      <c r="I35" s="168"/>
      <c r="J35" s="168"/>
      <c r="K35" s="168"/>
      <c r="L35" s="199"/>
    </row>
    <row r="36" spans="1:12" ht="59.45" customHeight="1" x14ac:dyDescent="0.25">
      <c r="A36" s="9" t="s">
        <v>485</v>
      </c>
      <c r="C36" s="20" t="s">
        <v>486</v>
      </c>
      <c r="D36" s="21" t="s">
        <v>487</v>
      </c>
      <c r="E36" s="20" t="s">
        <v>488</v>
      </c>
      <c r="F36" s="20" t="s">
        <v>489</v>
      </c>
      <c r="G36" s="23"/>
      <c r="H36" s="199"/>
      <c r="I36" s="168"/>
      <c r="J36" s="168"/>
      <c r="K36" s="168"/>
      <c r="L36" s="199"/>
    </row>
    <row r="37" spans="1:12" ht="36" customHeight="1" x14ac:dyDescent="0.25">
      <c r="A37" s="9" t="s">
        <v>490</v>
      </c>
      <c r="C37" s="20" t="s">
        <v>491</v>
      </c>
      <c r="D37" s="21" t="s">
        <v>492</v>
      </c>
      <c r="E37" s="20" t="s">
        <v>493</v>
      </c>
      <c r="F37" s="20" t="s">
        <v>494</v>
      </c>
      <c r="G37" s="23"/>
      <c r="H37" s="199"/>
      <c r="I37" s="168"/>
      <c r="J37" s="199"/>
      <c r="K37" s="168"/>
      <c r="L37" s="424"/>
    </row>
    <row r="38" spans="1:12" ht="36" customHeight="1" x14ac:dyDescent="0.25">
      <c r="C38" s="20"/>
      <c r="D38" s="21"/>
      <c r="E38" s="20"/>
      <c r="F38" s="20"/>
      <c r="G38" s="23"/>
      <c r="H38" s="373"/>
      <c r="I38" s="545"/>
      <c r="J38" s="373"/>
      <c r="K38" s="545"/>
      <c r="L38" s="111"/>
    </row>
    <row r="39" spans="1:12" ht="36" customHeight="1" x14ac:dyDescent="0.25">
      <c r="C39" s="20"/>
      <c r="D39" s="21"/>
      <c r="E39" s="20"/>
      <c r="F39" s="20"/>
      <c r="G39" s="23"/>
      <c r="H39" s="373"/>
      <c r="I39" s="545"/>
      <c r="J39" s="373"/>
      <c r="K39" s="545"/>
      <c r="L39" s="111"/>
    </row>
    <row r="40" spans="1:12" ht="86.45" customHeight="1" x14ac:dyDescent="0.25">
      <c r="A40" s="9" t="s">
        <v>495</v>
      </c>
      <c r="C40" s="20" t="s">
        <v>496</v>
      </c>
      <c r="D40" s="21" t="s">
        <v>497</v>
      </c>
      <c r="E40" s="21" t="s">
        <v>498</v>
      </c>
      <c r="F40" s="20" t="s">
        <v>499</v>
      </c>
      <c r="G40" s="23"/>
    </row>
    <row r="41" spans="1:12" ht="17.45" customHeight="1" x14ac:dyDescent="0.25">
      <c r="C41" s="23"/>
      <c r="E41" s="23"/>
      <c r="F41" s="23"/>
      <c r="G41" s="23"/>
      <c r="H41" s="23"/>
    </row>
    <row r="42" spans="1:12" ht="21" customHeight="1" x14ac:dyDescent="0.25">
      <c r="A42" s="22" t="s">
        <v>500</v>
      </c>
      <c r="C42" s="23"/>
      <c r="E42" s="23"/>
      <c r="F42" s="23"/>
      <c r="G42" s="23"/>
      <c r="H42" s="23"/>
    </row>
    <row r="43" spans="1:12" ht="21" customHeight="1" x14ac:dyDescent="0.25">
      <c r="A43" s="9" t="s">
        <v>117</v>
      </c>
      <c r="C43" s="23"/>
      <c r="E43" s="23"/>
      <c r="F43" s="23"/>
      <c r="G43" s="23"/>
      <c r="H43" s="23"/>
    </row>
    <row r="44" spans="1:12" ht="21" customHeight="1" x14ac:dyDescent="0.25">
      <c r="A44" s="534" t="s">
        <v>404</v>
      </c>
      <c r="C44" s="18" t="s">
        <v>405</v>
      </c>
      <c r="D44" s="21" t="s">
        <v>406</v>
      </c>
      <c r="E44" s="541" t="s">
        <v>407</v>
      </c>
      <c r="F44" s="541" t="s">
        <v>408</v>
      </c>
      <c r="G44" s="23"/>
      <c r="H44" s="23"/>
    </row>
    <row r="45" spans="1:12" ht="45" customHeight="1" x14ac:dyDescent="0.25">
      <c r="A45" s="535" t="s">
        <v>409</v>
      </c>
      <c r="C45" s="18" t="s">
        <v>410</v>
      </c>
      <c r="D45" s="21" t="s">
        <v>411</v>
      </c>
      <c r="E45" s="541" t="s">
        <v>412</v>
      </c>
      <c r="F45" s="541" t="s">
        <v>413</v>
      </c>
      <c r="G45" s="23"/>
      <c r="H45" s="23"/>
    </row>
    <row r="46" spans="1:12" ht="21" customHeight="1" x14ac:dyDescent="0.25">
      <c r="A46" s="536" t="s">
        <v>414</v>
      </c>
      <c r="C46" s="9" t="s">
        <v>415</v>
      </c>
      <c r="D46" s="21" t="s">
        <v>416</v>
      </c>
      <c r="E46" s="541" t="s">
        <v>417</v>
      </c>
      <c r="F46" s="541" t="s">
        <v>418</v>
      </c>
      <c r="G46" s="23"/>
      <c r="H46" s="23"/>
    </row>
    <row r="47" spans="1:12" ht="21" customHeight="1" x14ac:dyDescent="0.25">
      <c r="A47" s="536" t="s">
        <v>419</v>
      </c>
      <c r="C47" s="18" t="s">
        <v>420</v>
      </c>
      <c r="D47" s="21" t="s">
        <v>421</v>
      </c>
      <c r="E47" s="541" t="s">
        <v>422</v>
      </c>
      <c r="F47" s="541" t="s">
        <v>423</v>
      </c>
      <c r="G47" s="23"/>
      <c r="H47" s="23"/>
    </row>
    <row r="48" spans="1:12" ht="21" customHeight="1" x14ac:dyDescent="0.25">
      <c r="A48" s="536" t="s">
        <v>424</v>
      </c>
      <c r="C48" s="18" t="s">
        <v>425</v>
      </c>
      <c r="D48" s="21" t="s">
        <v>426</v>
      </c>
      <c r="E48" s="541" t="s">
        <v>427</v>
      </c>
      <c r="F48" s="541" t="s">
        <v>428</v>
      </c>
      <c r="G48" s="23"/>
      <c r="H48" s="23"/>
    </row>
    <row r="49" spans="1:9" ht="30.95" customHeight="1" x14ac:dyDescent="0.25">
      <c r="A49" s="537" t="s">
        <v>429</v>
      </c>
      <c r="C49" s="18" t="s">
        <v>430</v>
      </c>
      <c r="D49" s="21" t="s">
        <v>431</v>
      </c>
      <c r="E49" s="541" t="s">
        <v>432</v>
      </c>
      <c r="F49" s="541" t="s">
        <v>432</v>
      </c>
      <c r="G49" s="23"/>
      <c r="H49" s="23"/>
    </row>
    <row r="50" spans="1:9" ht="21" customHeight="1" x14ac:dyDescent="0.25">
      <c r="A50" s="18" t="s">
        <v>433</v>
      </c>
      <c r="C50" s="18" t="s">
        <v>434</v>
      </c>
      <c r="D50" s="21" t="s">
        <v>435</v>
      </c>
      <c r="E50" s="541" t="s">
        <v>436</v>
      </c>
      <c r="F50" s="541" t="s">
        <v>437</v>
      </c>
      <c r="G50" s="23"/>
      <c r="H50" s="23"/>
    </row>
    <row r="51" spans="1:9" ht="21" customHeight="1" x14ac:dyDescent="0.25">
      <c r="A51" s="18" t="s">
        <v>438</v>
      </c>
      <c r="C51" s="540" t="s">
        <v>439</v>
      </c>
      <c r="D51" s="21" t="s">
        <v>440</v>
      </c>
      <c r="E51" s="541" t="s">
        <v>441</v>
      </c>
      <c r="F51" s="541" t="s">
        <v>442</v>
      </c>
      <c r="G51" s="23"/>
      <c r="H51" s="23"/>
    </row>
    <row r="52" spans="1:9" ht="21" customHeight="1" x14ac:dyDescent="0.25">
      <c r="A52" s="538" t="s">
        <v>443</v>
      </c>
      <c r="C52" s="540" t="s">
        <v>444</v>
      </c>
      <c r="D52" s="21" t="s">
        <v>445</v>
      </c>
      <c r="E52" s="541" t="s">
        <v>446</v>
      </c>
      <c r="F52" s="541" t="s">
        <v>447</v>
      </c>
      <c r="G52" s="23"/>
      <c r="H52" s="23"/>
    </row>
    <row r="53" spans="1:9" ht="21" customHeight="1" x14ac:dyDescent="0.25">
      <c r="A53" s="536" t="s">
        <v>448</v>
      </c>
      <c r="C53" s="540" t="s">
        <v>449</v>
      </c>
      <c r="D53" s="21" t="s">
        <v>450</v>
      </c>
      <c r="E53" s="541" t="s">
        <v>451</v>
      </c>
      <c r="F53" s="541" t="s">
        <v>452</v>
      </c>
      <c r="G53" s="23"/>
      <c r="H53" s="23"/>
    </row>
    <row r="54" spans="1:9" ht="21" customHeight="1" x14ac:dyDescent="0.25">
      <c r="A54" s="536" t="s">
        <v>453</v>
      </c>
      <c r="C54" s="23" t="s">
        <v>117</v>
      </c>
      <c r="D54" s="21" t="s">
        <v>454</v>
      </c>
      <c r="E54" s="541" t="s">
        <v>455</v>
      </c>
      <c r="F54" s="541" t="s">
        <v>117</v>
      </c>
      <c r="G54" s="23"/>
      <c r="H54" s="23"/>
    </row>
    <row r="55" spans="1:9" ht="75.95" customHeight="1" x14ac:dyDescent="0.25">
      <c r="A55" s="18" t="s">
        <v>501</v>
      </c>
      <c r="C55" s="20" t="s">
        <v>502</v>
      </c>
      <c r="D55" s="21" t="s">
        <v>503</v>
      </c>
      <c r="E55" s="20" t="s">
        <v>504</v>
      </c>
      <c r="F55" s="20" t="s">
        <v>505</v>
      </c>
      <c r="G55" s="23"/>
      <c r="H55" s="23"/>
      <c r="I55" s="18"/>
    </row>
    <row r="56" spans="1:9" ht="57.95" customHeight="1" x14ac:dyDescent="0.25">
      <c r="A56" s="9" t="s">
        <v>506</v>
      </c>
      <c r="C56" s="20" t="s">
        <v>507</v>
      </c>
      <c r="D56" s="21" t="s">
        <v>503</v>
      </c>
      <c r="E56" s="20" t="s">
        <v>508</v>
      </c>
      <c r="F56" s="20" t="s">
        <v>509</v>
      </c>
      <c r="G56" s="23"/>
      <c r="H56" s="20"/>
    </row>
    <row r="57" spans="1:9" ht="48.95" customHeight="1" x14ac:dyDescent="0.25">
      <c r="A57" s="9" t="s">
        <v>510</v>
      </c>
      <c r="C57" s="20" t="s">
        <v>511</v>
      </c>
      <c r="D57" s="21" t="s">
        <v>512</v>
      </c>
      <c r="E57" s="20" t="s">
        <v>513</v>
      </c>
      <c r="F57" s="20" t="s">
        <v>514</v>
      </c>
      <c r="G57" s="23"/>
      <c r="H57" s="23"/>
    </row>
    <row r="58" spans="1:9" ht="69.95" customHeight="1" x14ac:dyDescent="0.25">
      <c r="A58" s="9" t="s">
        <v>515</v>
      </c>
      <c r="C58" s="20" t="s">
        <v>516</v>
      </c>
      <c r="D58" s="21" t="s">
        <v>517</v>
      </c>
      <c r="E58" s="23" t="s">
        <v>117</v>
      </c>
      <c r="F58" s="20" t="s">
        <v>518</v>
      </c>
      <c r="G58" s="20"/>
      <c r="H58" s="20"/>
      <c r="I58" s="18"/>
    </row>
    <row r="59" spans="1:9" ht="36" x14ac:dyDescent="0.25">
      <c r="A59" s="9" t="s">
        <v>519</v>
      </c>
      <c r="C59" s="20" t="s">
        <v>520</v>
      </c>
      <c r="D59" s="21" t="s">
        <v>520</v>
      </c>
      <c r="E59" s="20" t="s">
        <v>521</v>
      </c>
      <c r="F59" s="20" t="s">
        <v>522</v>
      </c>
      <c r="G59" s="23"/>
      <c r="H59" s="23"/>
    </row>
    <row r="60" spans="1:9" x14ac:dyDescent="0.25">
      <c r="C60" s="23"/>
      <c r="E60" s="23"/>
      <c r="F60" s="23"/>
      <c r="G60" s="23"/>
      <c r="H60" s="23"/>
    </row>
    <row r="61" spans="1:9" x14ac:dyDescent="0.25">
      <c r="C61" s="23"/>
      <c r="E61" s="23"/>
      <c r="F61" s="23"/>
      <c r="G61" s="23"/>
      <c r="H61" s="23"/>
    </row>
    <row r="62" spans="1:9" x14ac:dyDescent="0.25">
      <c r="A62" s="22" t="s">
        <v>523</v>
      </c>
      <c r="C62" s="23"/>
      <c r="E62" s="23"/>
      <c r="F62" s="23"/>
      <c r="G62" s="23"/>
      <c r="H62" s="23"/>
    </row>
    <row r="63" spans="1:9" x14ac:dyDescent="0.25">
      <c r="A63" s="9" t="s">
        <v>117</v>
      </c>
      <c r="C63" s="23"/>
      <c r="E63" s="23"/>
      <c r="F63" s="23"/>
      <c r="G63" s="23"/>
      <c r="H63" s="23"/>
    </row>
    <row r="64" spans="1:9" ht="48" x14ac:dyDescent="0.25">
      <c r="A64" s="534" t="s">
        <v>404</v>
      </c>
      <c r="C64" s="18" t="s">
        <v>405</v>
      </c>
      <c r="D64" s="21" t="s">
        <v>406</v>
      </c>
      <c r="E64" s="541" t="s">
        <v>407</v>
      </c>
      <c r="F64" s="541" t="s">
        <v>408</v>
      </c>
      <c r="G64" s="23"/>
      <c r="H64" s="23"/>
    </row>
    <row r="65" spans="1:8" ht="84" x14ac:dyDescent="0.25">
      <c r="A65" s="535" t="s">
        <v>409</v>
      </c>
      <c r="C65" s="18" t="s">
        <v>410</v>
      </c>
      <c r="D65" s="21" t="s">
        <v>411</v>
      </c>
      <c r="E65" s="541" t="s">
        <v>412</v>
      </c>
      <c r="F65" s="541" t="s">
        <v>413</v>
      </c>
      <c r="G65" s="23"/>
      <c r="H65" s="23"/>
    </row>
    <row r="66" spans="1:8" ht="36" x14ac:dyDescent="0.25">
      <c r="A66" s="536" t="s">
        <v>414</v>
      </c>
      <c r="C66" s="9" t="s">
        <v>415</v>
      </c>
      <c r="D66" s="21" t="s">
        <v>416</v>
      </c>
      <c r="E66" s="541" t="s">
        <v>417</v>
      </c>
      <c r="F66" s="541" t="s">
        <v>418</v>
      </c>
      <c r="G66" s="23"/>
      <c r="H66" s="23"/>
    </row>
    <row r="67" spans="1:8" ht="96" x14ac:dyDescent="0.25">
      <c r="A67" s="536" t="s">
        <v>419</v>
      </c>
      <c r="C67" s="18" t="s">
        <v>420</v>
      </c>
      <c r="D67" s="21" t="s">
        <v>421</v>
      </c>
      <c r="E67" s="541" t="s">
        <v>422</v>
      </c>
      <c r="F67" s="541" t="s">
        <v>423</v>
      </c>
      <c r="G67" s="23"/>
      <c r="H67" s="23"/>
    </row>
    <row r="68" spans="1:8" ht="60" x14ac:dyDescent="0.25">
      <c r="A68" s="536" t="s">
        <v>424</v>
      </c>
      <c r="C68" s="18" t="s">
        <v>425</v>
      </c>
      <c r="D68" s="21" t="s">
        <v>426</v>
      </c>
      <c r="E68" s="541" t="s">
        <v>427</v>
      </c>
      <c r="F68" s="541" t="s">
        <v>428</v>
      </c>
      <c r="G68" s="23"/>
      <c r="H68" s="23"/>
    </row>
    <row r="69" spans="1:8" ht="48" x14ac:dyDescent="0.25">
      <c r="A69" s="537" t="s">
        <v>429</v>
      </c>
      <c r="C69" s="18" t="s">
        <v>430</v>
      </c>
      <c r="D69" s="21" t="s">
        <v>431</v>
      </c>
      <c r="E69" s="541" t="s">
        <v>432</v>
      </c>
      <c r="F69" s="541" t="s">
        <v>432</v>
      </c>
      <c r="G69" s="23"/>
      <c r="H69" s="23"/>
    </row>
    <row r="70" spans="1:8" ht="96" x14ac:dyDescent="0.25">
      <c r="A70" s="18" t="s">
        <v>433</v>
      </c>
      <c r="C70" s="18" t="s">
        <v>434</v>
      </c>
      <c r="D70" s="21" t="s">
        <v>435</v>
      </c>
      <c r="E70" s="541" t="s">
        <v>436</v>
      </c>
      <c r="F70" s="541" t="s">
        <v>437</v>
      </c>
      <c r="G70" s="23"/>
      <c r="H70" s="23"/>
    </row>
    <row r="71" spans="1:8" ht="96" x14ac:dyDescent="0.25">
      <c r="A71" s="18" t="s">
        <v>438</v>
      </c>
      <c r="C71" s="540" t="s">
        <v>439</v>
      </c>
      <c r="D71" s="21" t="s">
        <v>440</v>
      </c>
      <c r="E71" s="541" t="s">
        <v>441</v>
      </c>
      <c r="F71" s="541" t="s">
        <v>442</v>
      </c>
      <c r="G71" s="23"/>
      <c r="H71" s="23"/>
    </row>
    <row r="72" spans="1:8" ht="60" x14ac:dyDescent="0.25">
      <c r="A72" s="538" t="s">
        <v>443</v>
      </c>
      <c r="C72" s="540" t="s">
        <v>444</v>
      </c>
      <c r="D72" s="21" t="s">
        <v>445</v>
      </c>
      <c r="E72" s="541" t="s">
        <v>446</v>
      </c>
      <c r="F72" s="541" t="s">
        <v>447</v>
      </c>
      <c r="G72" s="23"/>
      <c r="H72" s="23"/>
    </row>
    <row r="73" spans="1:8" ht="60" x14ac:dyDescent="0.25">
      <c r="A73" s="536" t="s">
        <v>448</v>
      </c>
      <c r="C73" s="540" t="s">
        <v>449</v>
      </c>
      <c r="D73" s="21" t="s">
        <v>450</v>
      </c>
      <c r="E73" s="541" t="s">
        <v>451</v>
      </c>
      <c r="F73" s="541" t="s">
        <v>452</v>
      </c>
      <c r="G73" s="23"/>
      <c r="H73" s="23"/>
    </row>
    <row r="74" spans="1:8" ht="36" x14ac:dyDescent="0.25">
      <c r="A74" s="536" t="s">
        <v>453</v>
      </c>
      <c r="C74" s="23" t="s">
        <v>117</v>
      </c>
      <c r="D74" s="21" t="s">
        <v>454</v>
      </c>
      <c r="E74" s="541" t="s">
        <v>455</v>
      </c>
      <c r="F74" s="541" t="s">
        <v>117</v>
      </c>
      <c r="G74" s="23"/>
      <c r="H74" s="23"/>
    </row>
    <row r="75" spans="1:8" x14ac:dyDescent="0.25">
      <c r="A75" s="18"/>
      <c r="C75" s="23"/>
      <c r="E75" s="23"/>
      <c r="F75" s="23"/>
      <c r="G75" s="23"/>
      <c r="H75" s="23"/>
    </row>
    <row r="76" spans="1:8" x14ac:dyDescent="0.25">
      <c r="C76" s="23"/>
      <c r="E76" s="23"/>
      <c r="F76" s="23"/>
      <c r="G76" s="23"/>
      <c r="H76" s="23"/>
    </row>
    <row r="77" spans="1:8" x14ac:dyDescent="0.25">
      <c r="C77" s="23"/>
      <c r="E77" s="23"/>
      <c r="F77" s="23"/>
      <c r="G77" s="23"/>
      <c r="H77" s="23"/>
    </row>
    <row r="78" spans="1:8" x14ac:dyDescent="0.25">
      <c r="C78" s="23"/>
      <c r="E78" s="23"/>
      <c r="F78" s="23"/>
      <c r="G78" s="23"/>
      <c r="H78" s="23"/>
    </row>
    <row r="79" spans="1:8" x14ac:dyDescent="0.25">
      <c r="C79" s="23"/>
      <c r="E79" s="23"/>
      <c r="F79" s="23"/>
      <c r="G79" s="23"/>
      <c r="H79" s="23"/>
    </row>
    <row r="80" spans="1:8" x14ac:dyDescent="0.25">
      <c r="C80" s="23"/>
      <c r="E80" s="23"/>
      <c r="F80" s="23"/>
      <c r="G80" s="23"/>
      <c r="H80" s="23"/>
    </row>
    <row r="81" spans="1:8" x14ac:dyDescent="0.25">
      <c r="C81" s="23"/>
      <c r="E81" s="23"/>
      <c r="F81" s="23"/>
      <c r="G81" s="23"/>
      <c r="H81" s="23"/>
    </row>
    <row r="82" spans="1:8" ht="17.100000000000001" customHeight="1" x14ac:dyDescent="0.25">
      <c r="A82" s="22" t="s">
        <v>524</v>
      </c>
      <c r="E82" s="23"/>
      <c r="F82" s="23"/>
      <c r="G82" s="23"/>
      <c r="H82" s="23"/>
    </row>
    <row r="83" spans="1:8" ht="86.1" customHeight="1" x14ac:dyDescent="0.25">
      <c r="A83" s="9" t="s">
        <v>525</v>
      </c>
      <c r="C83" s="20" t="s">
        <v>526</v>
      </c>
      <c r="D83" s="21" t="s">
        <v>527</v>
      </c>
      <c r="E83" s="20" t="s">
        <v>528</v>
      </c>
      <c r="F83" s="20" t="s">
        <v>529</v>
      </c>
      <c r="G83" s="23"/>
      <c r="H83" s="23"/>
    </row>
    <row r="85" spans="1:8" x14ac:dyDescent="0.25">
      <c r="C85" s="23"/>
      <c r="E85" s="23"/>
      <c r="F85" s="23"/>
      <c r="G85" s="23"/>
      <c r="H85" s="23"/>
    </row>
    <row r="88" spans="1:8" x14ac:dyDescent="0.25">
      <c r="A88" s="534"/>
      <c r="C88" s="23"/>
      <c r="E88" s="23"/>
      <c r="F88" s="23"/>
      <c r="G88" s="23"/>
      <c r="H88" s="23"/>
    </row>
    <row r="89" spans="1:8" x14ac:dyDescent="0.25">
      <c r="A89" s="535"/>
      <c r="C89" s="23"/>
      <c r="E89" s="23"/>
      <c r="F89" s="23"/>
      <c r="G89" s="23"/>
      <c r="H89" s="23"/>
    </row>
    <row r="90" spans="1:8" x14ac:dyDescent="0.25">
      <c r="A90" s="536"/>
      <c r="C90" s="23"/>
      <c r="E90" s="23"/>
      <c r="F90" s="23"/>
      <c r="G90" s="23"/>
      <c r="H90" s="23"/>
    </row>
    <row r="91" spans="1:8" x14ac:dyDescent="0.25">
      <c r="A91" s="536"/>
      <c r="C91" s="23"/>
      <c r="E91" s="23"/>
      <c r="F91" s="23"/>
      <c r="G91" s="23"/>
      <c r="H91" s="23"/>
    </row>
    <row r="92" spans="1:8" x14ac:dyDescent="0.25">
      <c r="A92" s="536"/>
      <c r="C92" s="23"/>
      <c r="E92" s="23"/>
      <c r="F92" s="23"/>
      <c r="G92" s="23"/>
      <c r="H92" s="23"/>
    </row>
    <row r="93" spans="1:8" x14ac:dyDescent="0.25">
      <c r="A93" s="537"/>
      <c r="C93" s="23"/>
      <c r="E93" s="23"/>
      <c r="F93" s="23"/>
      <c r="G93" s="23"/>
      <c r="H93" s="23"/>
    </row>
    <row r="94" spans="1:8" x14ac:dyDescent="0.25">
      <c r="A94" s="18"/>
      <c r="C94" s="23"/>
      <c r="E94" s="23"/>
      <c r="F94" s="23"/>
      <c r="G94" s="23"/>
      <c r="H94" s="23"/>
    </row>
    <row r="95" spans="1:8" x14ac:dyDescent="0.25">
      <c r="A95" s="18"/>
      <c r="C95" s="23"/>
      <c r="E95" s="23"/>
      <c r="F95" s="23"/>
      <c r="G95" s="23"/>
      <c r="H95" s="23"/>
    </row>
    <row r="96" spans="1:8" x14ac:dyDescent="0.25">
      <c r="A96" s="538"/>
      <c r="C96" s="23"/>
      <c r="E96" s="23"/>
      <c r="F96" s="23"/>
      <c r="G96" s="23"/>
      <c r="H96" s="23"/>
    </row>
    <row r="97" spans="1:8" x14ac:dyDescent="0.25">
      <c r="A97" s="536"/>
      <c r="C97" s="23"/>
      <c r="E97" s="23"/>
      <c r="F97" s="23"/>
      <c r="G97" s="23"/>
      <c r="H97" s="23"/>
    </row>
    <row r="98" spans="1:8" x14ac:dyDescent="0.25">
      <c r="A98" s="536"/>
      <c r="C98" s="23"/>
      <c r="E98" s="23"/>
      <c r="F98" s="23"/>
      <c r="G98" s="23"/>
      <c r="H98" s="23"/>
    </row>
    <row r="99" spans="1:8" x14ac:dyDescent="0.25">
      <c r="A99" s="546"/>
      <c r="C99" s="23"/>
      <c r="E99" s="23"/>
      <c r="F99" s="23"/>
      <c r="G99" s="23"/>
      <c r="H99" s="23"/>
    </row>
    <row r="100" spans="1:8" x14ac:dyDescent="0.25">
      <c r="C100" s="23"/>
      <c r="E100" s="23"/>
      <c r="F100" s="23"/>
      <c r="G100" s="23"/>
      <c r="H100" s="23"/>
    </row>
    <row r="101" spans="1:8" x14ac:dyDescent="0.25">
      <c r="C101" s="23"/>
      <c r="E101" s="23"/>
      <c r="F101" s="23"/>
      <c r="G101" s="23"/>
      <c r="H101" s="23"/>
    </row>
    <row r="102" spans="1:8" x14ac:dyDescent="0.25">
      <c r="C102" s="23"/>
      <c r="E102" s="23"/>
      <c r="F102" s="23"/>
      <c r="G102" s="23"/>
      <c r="H102" s="23"/>
    </row>
    <row r="103" spans="1:8" x14ac:dyDescent="0.25">
      <c r="C103" s="23"/>
      <c r="E103" s="23"/>
      <c r="F103" s="23"/>
      <c r="G103" s="23"/>
      <c r="H103" s="23"/>
    </row>
    <row r="104" spans="1:8" x14ac:dyDescent="0.25">
      <c r="C104" s="23"/>
      <c r="E104" s="23"/>
      <c r="F104" s="23"/>
      <c r="G104" s="23"/>
      <c r="H104" s="23"/>
    </row>
    <row r="105" spans="1:8" x14ac:dyDescent="0.25">
      <c r="C105" s="23"/>
      <c r="E105" s="23"/>
      <c r="F105" s="23"/>
      <c r="G105" s="23"/>
      <c r="H105" s="23"/>
    </row>
    <row r="106" spans="1:8" x14ac:dyDescent="0.25">
      <c r="C106" s="23"/>
      <c r="E106" s="23"/>
      <c r="F106" s="23"/>
      <c r="G106" s="23"/>
      <c r="H106" s="23"/>
    </row>
    <row r="107" spans="1:8" x14ac:dyDescent="0.25">
      <c r="C107" s="23"/>
      <c r="E107" s="23"/>
      <c r="F107" s="23"/>
      <c r="G107" s="23"/>
      <c r="H107" s="23"/>
    </row>
    <row r="108" spans="1:8" x14ac:dyDescent="0.25">
      <c r="C108" s="23"/>
      <c r="E108" s="23"/>
      <c r="F108" s="23"/>
      <c r="G108" s="23"/>
      <c r="H108" s="23"/>
    </row>
    <row r="109" spans="1:8" x14ac:dyDescent="0.25">
      <c r="C109" s="23"/>
      <c r="E109" s="23"/>
      <c r="F109" s="23"/>
      <c r="G109" s="23"/>
      <c r="H109" s="23"/>
    </row>
    <row r="110" spans="1:8" x14ac:dyDescent="0.25">
      <c r="C110" s="23"/>
      <c r="E110" s="23"/>
      <c r="F110" s="23"/>
      <c r="G110" s="23"/>
      <c r="H110" s="23"/>
    </row>
    <row r="111" spans="1:8" x14ac:dyDescent="0.25">
      <c r="C111" s="23"/>
      <c r="E111" s="23"/>
      <c r="F111" s="23"/>
      <c r="G111" s="23"/>
      <c r="H111" s="23"/>
    </row>
    <row r="112" spans="1:8" x14ac:dyDescent="0.25">
      <c r="C112" s="23"/>
      <c r="E112" s="23"/>
      <c r="F112" s="23"/>
      <c r="G112" s="23"/>
      <c r="H112" s="23"/>
    </row>
    <row r="113" spans="3:8" x14ac:dyDescent="0.25">
      <c r="C113" s="23"/>
      <c r="E113" s="23"/>
      <c r="F113" s="23"/>
      <c r="G113" s="23"/>
      <c r="H113" s="23"/>
    </row>
    <row r="114" spans="3:8" x14ac:dyDescent="0.25">
      <c r="C114" s="23"/>
      <c r="E114" s="23"/>
      <c r="F114" s="23"/>
      <c r="G114" s="23"/>
      <c r="H114" s="23"/>
    </row>
    <row r="115" spans="3:8" x14ac:dyDescent="0.25">
      <c r="C115" s="23"/>
      <c r="E115" s="23"/>
      <c r="F115" s="23"/>
      <c r="G115" s="23"/>
      <c r="H115" s="23"/>
    </row>
    <row r="116" spans="3:8" x14ac:dyDescent="0.25">
      <c r="C116" s="23"/>
      <c r="E116" s="23"/>
      <c r="F116" s="23"/>
      <c r="G116" s="23"/>
      <c r="H116" s="23"/>
    </row>
    <row r="117" spans="3:8" x14ac:dyDescent="0.25">
      <c r="C117" s="23"/>
      <c r="E117" s="23"/>
      <c r="F117" s="23"/>
      <c r="G117" s="23"/>
      <c r="H117" s="23"/>
    </row>
    <row r="118" spans="3:8" x14ac:dyDescent="0.25">
      <c r="C118" s="23"/>
      <c r="E118" s="23"/>
      <c r="F118" s="23"/>
      <c r="G118" s="23"/>
      <c r="H118" s="23"/>
    </row>
    <row r="119" spans="3:8" x14ac:dyDescent="0.25">
      <c r="C119" s="23"/>
      <c r="E119" s="23"/>
      <c r="F119" s="23"/>
      <c r="G119" s="23"/>
      <c r="H119" s="23"/>
    </row>
    <row r="120" spans="3:8" x14ac:dyDescent="0.25">
      <c r="C120" s="23"/>
      <c r="E120" s="23"/>
      <c r="F120" s="23"/>
      <c r="G120" s="23"/>
      <c r="H120" s="23"/>
    </row>
    <row r="121" spans="3:8" x14ac:dyDescent="0.25">
      <c r="C121" s="23"/>
      <c r="E121" s="23"/>
      <c r="F121" s="23"/>
      <c r="G121" s="23"/>
      <c r="H121" s="23"/>
    </row>
    <row r="122" spans="3:8" x14ac:dyDescent="0.25">
      <c r="C122" s="23"/>
      <c r="E122" s="23"/>
      <c r="F122" s="23"/>
      <c r="G122" s="23"/>
      <c r="H122" s="23"/>
    </row>
    <row r="123" spans="3:8" x14ac:dyDescent="0.25">
      <c r="C123" s="23"/>
      <c r="E123" s="23"/>
      <c r="F123" s="23"/>
      <c r="G123" s="23"/>
      <c r="H123" s="23"/>
    </row>
    <row r="124" spans="3:8" x14ac:dyDescent="0.25">
      <c r="C124" s="23"/>
      <c r="E124" s="23"/>
      <c r="F124" s="23"/>
      <c r="G124" s="23"/>
      <c r="H124" s="23"/>
    </row>
    <row r="125" spans="3:8" x14ac:dyDescent="0.25">
      <c r="C125" s="23"/>
      <c r="E125" s="23"/>
      <c r="F125" s="23"/>
      <c r="G125" s="23"/>
      <c r="H125" s="23"/>
    </row>
    <row r="126" spans="3:8" x14ac:dyDescent="0.25">
      <c r="C126" s="23"/>
      <c r="E126" s="23"/>
      <c r="F126" s="23"/>
      <c r="G126" s="23"/>
      <c r="H126" s="23"/>
    </row>
    <row r="127" spans="3:8" x14ac:dyDescent="0.25">
      <c r="C127" s="23"/>
      <c r="E127" s="23"/>
      <c r="F127" s="23"/>
      <c r="G127" s="23"/>
      <c r="H127" s="23"/>
    </row>
    <row r="128" spans="3:8" x14ac:dyDescent="0.25">
      <c r="C128" s="23"/>
      <c r="E128" s="23"/>
      <c r="F128" s="23"/>
      <c r="G128" s="23"/>
      <c r="H128" s="23"/>
    </row>
    <row r="129" spans="3:8" x14ac:dyDescent="0.25">
      <c r="C129" s="23"/>
      <c r="E129" s="23"/>
      <c r="F129" s="23"/>
      <c r="G129" s="23"/>
      <c r="H129" s="23"/>
    </row>
    <row r="130" spans="3:8" x14ac:dyDescent="0.25">
      <c r="C130" s="23"/>
      <c r="E130" s="23"/>
      <c r="F130" s="23"/>
      <c r="G130" s="23"/>
      <c r="H130" s="23"/>
    </row>
    <row r="131" spans="3:8" x14ac:dyDescent="0.25">
      <c r="C131" s="23"/>
      <c r="E131" s="23"/>
      <c r="F131" s="23"/>
      <c r="G131" s="23"/>
      <c r="H131" s="23"/>
    </row>
    <row r="132" spans="3:8" x14ac:dyDescent="0.25">
      <c r="C132" s="23"/>
      <c r="E132" s="23"/>
      <c r="F132" s="23"/>
      <c r="G132" s="23"/>
      <c r="H132" s="23"/>
    </row>
    <row r="133" spans="3:8" x14ac:dyDescent="0.25">
      <c r="C133" s="23"/>
      <c r="E133" s="23"/>
      <c r="F133" s="23"/>
      <c r="G133" s="23"/>
      <c r="H133" s="23"/>
    </row>
    <row r="134" spans="3:8" x14ac:dyDescent="0.25">
      <c r="C134" s="23"/>
      <c r="E134" s="23"/>
      <c r="F134" s="23"/>
      <c r="G134" s="23"/>
      <c r="H134" s="23"/>
    </row>
    <row r="135" spans="3:8" x14ac:dyDescent="0.25">
      <c r="C135" s="23"/>
      <c r="E135" s="23"/>
      <c r="F135" s="23"/>
      <c r="G135" s="23"/>
      <c r="H135" s="23"/>
    </row>
    <row r="136" spans="3:8" x14ac:dyDescent="0.25">
      <c r="C136" s="23"/>
      <c r="E136" s="23"/>
      <c r="F136" s="23"/>
      <c r="G136" s="23"/>
      <c r="H136" s="23"/>
    </row>
    <row r="137" spans="3:8" x14ac:dyDescent="0.25">
      <c r="C137" s="23"/>
      <c r="E137" s="23"/>
      <c r="F137" s="23"/>
      <c r="G137" s="23"/>
      <c r="H137" s="23"/>
    </row>
    <row r="138" spans="3:8" x14ac:dyDescent="0.25">
      <c r="C138" s="23"/>
      <c r="E138" s="23"/>
      <c r="F138" s="23"/>
      <c r="G138" s="23"/>
      <c r="H138" s="23"/>
    </row>
    <row r="139" spans="3:8" x14ac:dyDescent="0.25">
      <c r="C139" s="23"/>
      <c r="E139" s="23"/>
      <c r="F139" s="23"/>
      <c r="G139" s="23"/>
      <c r="H139" s="23"/>
    </row>
    <row r="140" spans="3:8" x14ac:dyDescent="0.25">
      <c r="C140" s="23"/>
      <c r="E140" s="23"/>
      <c r="F140" s="23"/>
      <c r="G140" s="23"/>
      <c r="H140" s="23"/>
    </row>
    <row r="141" spans="3:8" x14ac:dyDescent="0.25">
      <c r="C141" s="23"/>
      <c r="E141" s="23"/>
      <c r="F141" s="23"/>
      <c r="G141" s="23"/>
      <c r="H141" s="23"/>
    </row>
    <row r="142" spans="3:8" x14ac:dyDescent="0.25">
      <c r="C142" s="23"/>
      <c r="E142" s="23"/>
      <c r="F142" s="23"/>
      <c r="G142" s="23"/>
      <c r="H142" s="23"/>
    </row>
    <row r="143" spans="3:8" x14ac:dyDescent="0.25">
      <c r="C143" s="23"/>
      <c r="E143" s="23"/>
      <c r="F143" s="23"/>
      <c r="G143" s="23"/>
      <c r="H143" s="23"/>
    </row>
    <row r="144" spans="3:8" x14ac:dyDescent="0.25">
      <c r="C144" s="23"/>
      <c r="E144" s="23"/>
      <c r="F144" s="23"/>
      <c r="G144" s="23"/>
      <c r="H144" s="23"/>
    </row>
    <row r="145" spans="3:8" x14ac:dyDescent="0.25">
      <c r="C145" s="23"/>
      <c r="E145" s="23"/>
      <c r="F145" s="23"/>
      <c r="G145" s="23"/>
      <c r="H145" s="23"/>
    </row>
    <row r="146" spans="3:8" x14ac:dyDescent="0.25">
      <c r="C146" s="23"/>
      <c r="E146" s="23"/>
      <c r="F146" s="23"/>
      <c r="G146" s="23"/>
      <c r="H146" s="23"/>
    </row>
    <row r="147" spans="3:8" x14ac:dyDescent="0.25">
      <c r="C147" s="23"/>
      <c r="E147" s="23"/>
      <c r="F147" s="23"/>
      <c r="G147" s="23"/>
      <c r="H147" s="23"/>
    </row>
    <row r="148" spans="3:8" x14ac:dyDescent="0.25">
      <c r="C148" s="23"/>
      <c r="E148" s="23"/>
      <c r="F148" s="23"/>
      <c r="G148" s="23"/>
      <c r="H148" s="23"/>
    </row>
    <row r="149" spans="3:8" x14ac:dyDescent="0.25">
      <c r="C149" s="23"/>
      <c r="E149" s="23"/>
      <c r="F149" s="23"/>
      <c r="G149" s="23"/>
      <c r="H149" s="23"/>
    </row>
    <row r="150" spans="3:8" x14ac:dyDescent="0.25">
      <c r="C150" s="23"/>
      <c r="E150" s="23"/>
      <c r="F150" s="23"/>
      <c r="G150" s="23"/>
      <c r="H150" s="23"/>
    </row>
    <row r="151" spans="3:8" x14ac:dyDescent="0.25">
      <c r="C151" s="23"/>
      <c r="E151" s="23"/>
      <c r="F151" s="23"/>
      <c r="G151" s="23"/>
      <c r="H151" s="23"/>
    </row>
    <row r="152" spans="3:8" x14ac:dyDescent="0.25">
      <c r="C152" s="23"/>
      <c r="E152" s="23"/>
      <c r="F152" s="23"/>
      <c r="G152" s="23"/>
      <c r="H152" s="23"/>
    </row>
    <row r="153" spans="3:8" x14ac:dyDescent="0.25">
      <c r="C153" s="23"/>
      <c r="E153" s="23"/>
      <c r="F153" s="23"/>
      <c r="G153" s="23"/>
      <c r="H153" s="23"/>
    </row>
    <row r="154" spans="3:8" x14ac:dyDescent="0.25">
      <c r="C154" s="23"/>
      <c r="E154" s="23"/>
      <c r="F154" s="23"/>
      <c r="G154" s="23"/>
      <c r="H154" s="23"/>
    </row>
    <row r="155" spans="3:8" x14ac:dyDescent="0.25">
      <c r="C155" s="23"/>
      <c r="E155" s="23"/>
      <c r="F155" s="23"/>
      <c r="G155" s="23"/>
      <c r="H155" s="23"/>
    </row>
    <row r="156" spans="3:8" x14ac:dyDescent="0.25">
      <c r="C156" s="23"/>
      <c r="E156" s="23"/>
      <c r="F156" s="23"/>
      <c r="G156" s="23"/>
      <c r="H156" s="23"/>
    </row>
    <row r="157" spans="3:8" x14ac:dyDescent="0.25">
      <c r="C157" s="23"/>
      <c r="E157" s="23"/>
      <c r="F157" s="23"/>
      <c r="G157" s="23"/>
      <c r="H157" s="23"/>
    </row>
    <row r="158" spans="3:8" x14ac:dyDescent="0.25">
      <c r="C158" s="23"/>
      <c r="E158" s="23"/>
      <c r="F158" s="23"/>
      <c r="G158" s="23"/>
      <c r="H158" s="23"/>
    </row>
  </sheetData>
  <conditionalFormatting sqref="E4:E14">
    <cfRule type="cellIs" dxfId="11" priority="4" operator="equal">
      <formula>0</formula>
    </cfRule>
  </conditionalFormatting>
  <conditionalFormatting sqref="E24:E34">
    <cfRule type="cellIs" dxfId="10" priority="3" operator="equal">
      <formula>0</formula>
    </cfRule>
  </conditionalFormatting>
  <conditionalFormatting sqref="E44:E54">
    <cfRule type="cellIs" dxfId="9" priority="2" operator="equal">
      <formula>0</formula>
    </cfRule>
  </conditionalFormatting>
  <conditionalFormatting sqref="E64:E74">
    <cfRule type="cellIs" dxfId="8" priority="1" operator="equal">
      <formula>0</formula>
    </cfRule>
  </conditionalFormatting>
  <dataValidations disablePrompts="1" count="1">
    <dataValidation type="list" allowBlank="1" showInputMessage="1" showErrorMessage="1" sqref="H4:I4 K4:L4" xr:uid="{18C6EB10-A205-4B50-BD07-C3FBD7985ECC}">
      <formula1>"0,1"</formula1>
    </dataValidation>
  </dataValidations>
  <pageMargins left="0.7" right="0.7" top="0.75" bottom="0.75" header="0.3" footer="0.3"/>
  <headerFooter>
    <oddHeader>&amp;C&amp;"Calibri"&amp;10&amp;K808080 Corporate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7D89-4850-458D-A3B7-C2765120D35D}">
  <sheetPr codeName="Sheet16">
    <tabColor rgb="FFFFC000"/>
  </sheetPr>
  <dimension ref="A1:Y53"/>
  <sheetViews>
    <sheetView zoomScale="60" zoomScaleNormal="60" workbookViewId="0">
      <selection activeCell="M6" sqref="M6"/>
    </sheetView>
  </sheetViews>
  <sheetFormatPr defaultColWidth="9.140625" defaultRowHeight="15" x14ac:dyDescent="0.25"/>
  <cols>
    <col min="1" max="1" width="41.7109375" style="191" customWidth="1"/>
    <col min="2" max="2" width="3.5703125" style="29" customWidth="1"/>
    <col min="3" max="3" width="29.42578125" style="29" customWidth="1"/>
    <col min="4" max="5" width="33.5703125" style="29" customWidth="1"/>
    <col min="6" max="6" width="29.85546875" style="29" customWidth="1"/>
    <col min="7" max="7" width="32.85546875" style="29" customWidth="1"/>
    <col min="8" max="8" width="33.5703125" style="29" customWidth="1"/>
    <col min="9" max="9" width="30.42578125" style="29" customWidth="1"/>
    <col min="10" max="10" width="9.42578125" style="29" customWidth="1"/>
    <col min="11" max="11" width="32.140625" style="29" customWidth="1"/>
    <col min="12" max="20" width="33.5703125" style="29" customWidth="1"/>
    <col min="21" max="16384" width="9.140625" style="29"/>
  </cols>
  <sheetData>
    <row r="1" spans="2:25" ht="54.95" customHeight="1" x14ac:dyDescent="0.45">
      <c r="J1" s="359"/>
      <c r="P1" s="73"/>
      <c r="Q1" s="73"/>
      <c r="R1" s="73"/>
      <c r="S1" s="73"/>
      <c r="T1" s="73"/>
      <c r="U1" s="73"/>
    </row>
    <row r="2" spans="2:25" ht="35.1" customHeight="1" x14ac:dyDescent="0.45">
      <c r="B2" s="360"/>
      <c r="C2" s="361"/>
      <c r="D2" s="1042" t="s">
        <v>530</v>
      </c>
      <c r="E2" s="1042"/>
      <c r="F2" s="1042"/>
      <c r="G2" s="1042"/>
      <c r="H2" s="1042"/>
      <c r="I2" s="1042"/>
      <c r="J2" s="1042"/>
      <c r="L2" s="361"/>
      <c r="M2" s="361"/>
      <c r="N2" s="362"/>
      <c r="O2" s="111"/>
      <c r="P2" s="73"/>
      <c r="Q2" s="363"/>
      <c r="R2" s="73"/>
      <c r="S2" s="73"/>
      <c r="T2" s="73"/>
      <c r="U2" s="73"/>
    </row>
    <row r="3" spans="2:25" ht="38.450000000000003" customHeight="1" x14ac:dyDescent="0.45">
      <c r="B3" s="360"/>
      <c r="D3" s="359"/>
      <c r="E3" s="359"/>
      <c r="F3" s="359"/>
      <c r="G3" s="359"/>
      <c r="H3" s="359"/>
      <c r="I3" s="359"/>
      <c r="J3" s="359"/>
      <c r="K3" s="364"/>
      <c r="L3" s="364"/>
      <c r="M3" s="364"/>
      <c r="N3" s="365"/>
      <c r="O3" s="366"/>
      <c r="P3" s="76"/>
      <c r="Q3" s="75"/>
      <c r="R3" s="76"/>
      <c r="S3" s="76"/>
      <c r="T3" s="75"/>
      <c r="U3" s="73"/>
      <c r="V3" s="367"/>
      <c r="W3" s="367"/>
      <c r="X3" s="367"/>
      <c r="Y3" s="367"/>
    </row>
    <row r="4" spans="2:25" ht="44.45" customHeight="1" x14ac:dyDescent="0.25">
      <c r="B4" s="360"/>
      <c r="D4" s="1043" t="s">
        <v>531</v>
      </c>
      <c r="E4" s="1043"/>
      <c r="F4" s="1043"/>
      <c r="G4" s="1043"/>
      <c r="H4" s="1043"/>
      <c r="I4" s="1043"/>
      <c r="J4" s="368"/>
      <c r="R4" s="73"/>
      <c r="S4" s="73"/>
      <c r="T4" s="73"/>
      <c r="U4" s="73"/>
    </row>
    <row r="5" spans="2:25" ht="21" customHeight="1" thickBot="1" x14ac:dyDescent="0.3">
      <c r="D5" s="369"/>
      <c r="E5" s="370"/>
      <c r="F5" s="73"/>
      <c r="G5" s="371"/>
      <c r="H5" s="372"/>
      <c r="I5" s="373"/>
      <c r="J5" s="111"/>
      <c r="R5" s="73"/>
      <c r="S5" s="73"/>
      <c r="T5" s="73"/>
      <c r="U5" s="73"/>
    </row>
    <row r="6" spans="2:25" ht="53.1" customHeight="1" thickBot="1" x14ac:dyDescent="0.45">
      <c r="B6" s="253"/>
      <c r="C6" s="374"/>
      <c r="D6" s="394" t="s">
        <v>532</v>
      </c>
      <c r="E6" s="395" t="s">
        <v>533</v>
      </c>
      <c r="F6" s="396" t="s">
        <v>534</v>
      </c>
      <c r="G6" s="395" t="s">
        <v>535</v>
      </c>
      <c r="H6" s="395" t="s">
        <v>536</v>
      </c>
      <c r="I6" s="396" t="s">
        <v>537</v>
      </c>
      <c r="J6" s="375"/>
      <c r="R6" s="73"/>
      <c r="S6" s="73"/>
      <c r="T6" s="73"/>
      <c r="U6" s="73"/>
    </row>
    <row r="7" spans="2:25" ht="60.6" customHeight="1" x14ac:dyDescent="0.25">
      <c r="B7" s="376"/>
      <c r="C7" s="377" t="s">
        <v>538</v>
      </c>
      <c r="D7" s="15" t="e">
        <f>IF('Temperature-Step 3'!G29&lt;3,"Low",IF('Temperature-Step 3'!G29&gt;=6,"High","Medium"))</f>
        <v>#DIV/0!</v>
      </c>
      <c r="E7" s="15" t="e">
        <f>IF('Temperature-Step 3'!G29&lt;3,"Low",IF('Temperature-Step 3'!G29&gt;=6,"High","Medium"))</f>
        <v>#DIV/0!</v>
      </c>
      <c r="F7" s="15" t="e">
        <f>IF('Temperature-Step 3'!K29&lt;3,"Low",IF('Temperature-Step 3'!K29&gt;=6,"High","Medium"))</f>
        <v>#DIV/0!</v>
      </c>
      <c r="G7" s="15" t="e">
        <f>IF('Water_Soil-Step 3'!G29&lt;3,"Low",IF('Water_Soil-Step 3'!I11&gt;=6,"High","Medium"))</f>
        <v>#DIV/0!</v>
      </c>
      <c r="H7" s="15" t="e">
        <f>IF('Water_Soil-Step 3'!G29&lt;3,"Low",IF('Water_Soil-Step 3'!G29&gt;=6,"High","Medium"))</f>
        <v>#DIV/0!</v>
      </c>
      <c r="I7" s="15" t="e">
        <f>IF('Wind-Step 3'!H29&lt;3,"Low",IF('Wind-Step 3'!H29&gt;=6,"High","Medium"))</f>
        <v>#DIV/0!</v>
      </c>
      <c r="J7" s="62"/>
      <c r="R7" s="378"/>
      <c r="S7" s="378"/>
      <c r="T7" s="378"/>
      <c r="U7" s="378"/>
      <c r="V7" s="191"/>
      <c r="W7" s="191"/>
    </row>
    <row r="8" spans="2:25" ht="60.6" customHeight="1" x14ac:dyDescent="0.25">
      <c r="B8" s="376"/>
      <c r="C8" s="377" t="s">
        <v>539</v>
      </c>
      <c r="D8" s="15" t="str">
        <f>IF('Water_Soil-Step 2'!$G$5="Small Residential/Office/Shop", "N/A", IF('Temperature-Step 3'!G30&lt;3,"Low",IF('Temperature-Step 3'!G30&gt;=6,"High","Medium")))</f>
        <v>N/A</v>
      </c>
      <c r="E8" s="15" t="str">
        <f>IF('Water_Soil-Step 2'!$G$5="Small Residential/Office/Shop", "N/A",IF('Temperature-Step 3'!G30&lt;3,"Low",IF('Temperature-Step 3'!G30&gt;=6,"High","Medium")))</f>
        <v>N/A</v>
      </c>
      <c r="F8" s="15" t="str">
        <f>IF('Water_Soil-Step 2'!$G$5="Small Residential/Office/Shop", "N/A",IF('Temperature-Step 3'!K30&lt;3,"Low",IF('Temperature-Step 3'!K30&gt;=6,"High","Medium")))</f>
        <v>N/A</v>
      </c>
      <c r="G8" s="15" t="str">
        <f>IF('Water_Soil-Step 2'!$G$5="Small Residential/Office/Shop", "N/A",IF('Water_Soil-Step 3'!G30&lt;3,"Low",IF('Water_Soil-Step 3'!G30&gt;=6,"High","Medium")))</f>
        <v>N/A</v>
      </c>
      <c r="H8" s="15" t="str">
        <f>IF('Water_Soil-Step 2'!$G$5="Small Residential/Office/Shop", "N/A",IF('Water_Soil-Step 3'!G30&lt;3,"Low",IF('Water_Soil-Step 3'!G30&gt;=6,"High","Medium")))</f>
        <v>N/A</v>
      </c>
      <c r="I8" s="15" t="str">
        <f>IF('Water_Soil-Step 2'!$G$5="Small Residential/Office/Shop", "N/A",IF('Wind-Step 3'!H30&lt;3,"Low",IF('Wind-Step 3'!H30&gt;=6,"High","Medium")))</f>
        <v>N/A</v>
      </c>
      <c r="J8" s="62"/>
      <c r="R8" s="378"/>
      <c r="S8" s="378"/>
      <c r="T8" s="378"/>
      <c r="U8" s="378"/>
      <c r="V8" s="191"/>
      <c r="W8" s="191"/>
    </row>
    <row r="9" spans="2:25" ht="18" customHeight="1" x14ac:dyDescent="0.25">
      <c r="B9" s="376"/>
      <c r="C9" s="377"/>
      <c r="D9" s="397"/>
      <c r="E9" s="397"/>
      <c r="F9" s="397"/>
      <c r="G9" s="397"/>
      <c r="H9" s="397"/>
      <c r="I9" s="397"/>
      <c r="J9" s="62"/>
      <c r="R9" s="378"/>
      <c r="S9" s="378"/>
      <c r="T9" s="378"/>
      <c r="U9" s="378"/>
      <c r="V9" s="191"/>
      <c r="W9" s="191"/>
    </row>
    <row r="10" spans="2:25" ht="65.45" customHeight="1" x14ac:dyDescent="0.3">
      <c r="B10" s="376"/>
      <c r="C10" s="379" t="s">
        <v>540</v>
      </c>
      <c r="D10" s="14" t="e" cm="1">
        <f t="array" ref="D10">TRANSPOSE(_xlfn._xlws.FILTER('Temperature-Step 4'!E10:V10,'Temperature-Step 4'!E11:V11="High","N/A"))</f>
        <v>#DIV/0!</v>
      </c>
      <c r="E10" s="14" t="e" cm="1">
        <f t="array" ref="E10">TRANSPOSE(_xlfn._xlws.FILTER('Temperature-Step 4'!E10:V10,'Temperature-Step 4'!E11:V11="High","N/A"))</f>
        <v>#DIV/0!</v>
      </c>
      <c r="F10" s="14" t="e" cm="1">
        <f t="array" ref="F10">TRANSPOSE(_xlfn._xlws.FILTER('Temperature-Step 4'!E10:V10,'Temperature-Step 4'!E28:V28="High","N/A"))</f>
        <v>#DIV/0!</v>
      </c>
      <c r="G10" s="14" t="e" cm="1">
        <f t="array" ref="G10">TRANSPOSE(_xlfn._xlws.FILTER('Water_Soil-Step 4'!E9:V9,'Water_Soil-Step 4'!E10:V10="High","N/A"))</f>
        <v>#DIV/0!</v>
      </c>
      <c r="H10" s="14" t="e" cm="1">
        <f t="array" ref="H10">TRANSPOSE(_xlfn._xlws.FILTER('Water_Soil-Step 4'!E9:V9,'Water_Soil-Step 4'!E10:V10="High","N/A"))</f>
        <v>#DIV/0!</v>
      </c>
      <c r="I10" s="14" t="e" cm="1">
        <f t="array" ref="I10">TRANSPOSE(_xlfn._xlws.FILTER('Wind-Step 4'!E9:V9,'Wind-Step 4'!E10:V10="High","N/A"))</f>
        <v>#DIV/0!</v>
      </c>
      <c r="J10" s="58"/>
      <c r="R10" s="378"/>
      <c r="S10" s="378"/>
      <c r="T10" s="378"/>
      <c r="U10" s="378"/>
      <c r="V10" s="191"/>
      <c r="W10" s="191"/>
    </row>
    <row r="11" spans="2:25" ht="65.45" customHeight="1" x14ac:dyDescent="0.4">
      <c r="B11" s="376"/>
      <c r="C11" s="374"/>
      <c r="D11" s="14"/>
      <c r="E11" s="14"/>
      <c r="F11" s="14"/>
      <c r="G11" s="14"/>
      <c r="H11" s="14"/>
      <c r="I11" s="14"/>
      <c r="J11" s="58"/>
      <c r="R11" s="380"/>
      <c r="S11" s="380"/>
      <c r="T11" s="380"/>
      <c r="U11" s="380"/>
      <c r="V11" s="191"/>
      <c r="W11" s="191"/>
    </row>
    <row r="12" spans="2:25" ht="65.45" customHeight="1" x14ac:dyDescent="0.4">
      <c r="B12" s="376"/>
      <c r="C12" s="374"/>
      <c r="D12" s="14"/>
      <c r="E12" s="14"/>
      <c r="F12" s="14"/>
      <c r="G12" s="14"/>
      <c r="H12" s="14"/>
      <c r="I12" s="14"/>
      <c r="J12" s="58"/>
      <c r="R12" s="380"/>
      <c r="S12" s="380"/>
      <c r="T12" s="380"/>
      <c r="U12" s="380"/>
      <c r="V12" s="191"/>
      <c r="W12" s="191"/>
    </row>
    <row r="13" spans="2:25" ht="65.45" customHeight="1" x14ac:dyDescent="0.4">
      <c r="B13" s="253"/>
      <c r="C13" s="374"/>
      <c r="D13" s="14"/>
      <c r="E13" s="14"/>
      <c r="F13" s="14"/>
      <c r="G13" s="14"/>
      <c r="H13" s="14"/>
      <c r="I13" s="14"/>
      <c r="J13" s="58"/>
      <c r="R13" s="380"/>
      <c r="S13" s="380"/>
      <c r="T13" s="380"/>
      <c r="U13" s="380"/>
      <c r="V13" s="191"/>
      <c r="W13" s="191"/>
    </row>
    <row r="14" spans="2:25" ht="65.45" customHeight="1" x14ac:dyDescent="0.25">
      <c r="B14" s="268"/>
      <c r="C14" s="361"/>
      <c r="D14" s="14"/>
      <c r="E14" s="14"/>
      <c r="F14" s="14"/>
      <c r="G14" s="14"/>
      <c r="H14" s="14"/>
      <c r="I14" s="14"/>
      <c r="J14" s="58"/>
      <c r="R14" s="380"/>
      <c r="S14" s="380"/>
      <c r="T14" s="380"/>
      <c r="U14" s="380"/>
      <c r="V14" s="191"/>
      <c r="W14" s="191"/>
    </row>
    <row r="15" spans="2:25" ht="65.45" customHeight="1" x14ac:dyDescent="0.25">
      <c r="B15" s="253"/>
      <c r="C15" s="365"/>
      <c r="D15" s="14"/>
      <c r="E15" s="14"/>
      <c r="F15" s="14"/>
      <c r="G15" s="14"/>
      <c r="H15" s="14"/>
      <c r="I15" s="14"/>
      <c r="J15" s="58"/>
      <c r="R15" s="380"/>
      <c r="S15" s="380"/>
      <c r="T15" s="380"/>
      <c r="U15" s="380"/>
      <c r="V15" s="191"/>
      <c r="W15" s="191"/>
    </row>
    <row r="16" spans="2:25" ht="65.45" customHeight="1" x14ac:dyDescent="0.4">
      <c r="B16" s="253"/>
      <c r="C16" s="374"/>
      <c r="D16" s="14"/>
      <c r="E16" s="14"/>
      <c r="F16" s="14"/>
      <c r="G16" s="14"/>
      <c r="H16" s="14"/>
      <c r="I16" s="14"/>
      <c r="J16" s="58"/>
      <c r="L16" s="381"/>
      <c r="M16" s="381"/>
      <c r="N16" s="382"/>
      <c r="O16" s="381"/>
      <c r="P16" s="383"/>
      <c r="Q16" s="384"/>
      <c r="R16" s="380"/>
      <c r="S16" s="380"/>
      <c r="T16" s="380"/>
      <c r="U16" s="380"/>
      <c r="V16" s="191"/>
      <c r="W16" s="191"/>
    </row>
    <row r="17" spans="2:23" ht="65.45" customHeight="1" x14ac:dyDescent="0.4">
      <c r="B17" s="253"/>
      <c r="C17" s="374"/>
      <c r="D17" s="14"/>
      <c r="E17" s="14"/>
      <c r="F17" s="398"/>
      <c r="G17" s="399"/>
      <c r="H17" s="400"/>
      <c r="I17" s="401"/>
      <c r="J17" s="79"/>
      <c r="L17" s="381"/>
      <c r="M17" s="381"/>
      <c r="N17" s="381"/>
      <c r="O17" s="381"/>
      <c r="Q17" s="386"/>
      <c r="R17" s="380"/>
      <c r="S17" s="380"/>
      <c r="T17" s="380"/>
      <c r="U17" s="380"/>
      <c r="V17" s="191"/>
      <c r="W17" s="191"/>
    </row>
    <row r="18" spans="2:23" ht="65.45" customHeight="1" x14ac:dyDescent="0.25">
      <c r="B18" s="253"/>
      <c r="C18" s="367"/>
      <c r="D18" s="398"/>
      <c r="E18" s="398"/>
      <c r="F18" s="398"/>
      <c r="G18" s="398"/>
      <c r="H18" s="398"/>
      <c r="I18" s="398"/>
      <c r="J18" s="83"/>
      <c r="L18" s="381"/>
      <c r="M18" s="381"/>
      <c r="N18" s="381"/>
      <c r="O18" s="381"/>
      <c r="P18" s="383"/>
      <c r="Q18" s="383"/>
      <c r="R18" s="73"/>
      <c r="S18" s="73"/>
      <c r="T18" s="73"/>
      <c r="U18" s="73"/>
    </row>
    <row r="19" spans="2:23" ht="65.45" customHeight="1" x14ac:dyDescent="0.25">
      <c r="B19" s="253"/>
      <c r="D19" s="402"/>
      <c r="E19" s="402"/>
      <c r="F19" s="398"/>
      <c r="G19" s="398"/>
      <c r="H19" s="398"/>
      <c r="I19" s="398"/>
      <c r="J19" s="83"/>
      <c r="M19" s="381"/>
      <c r="N19" s="381"/>
      <c r="O19" s="381"/>
      <c r="P19" s="383"/>
      <c r="Q19" s="383"/>
      <c r="R19" s="73"/>
      <c r="S19" s="73"/>
      <c r="T19" s="73"/>
      <c r="U19" s="73"/>
    </row>
    <row r="20" spans="2:23" ht="65.45" customHeight="1" x14ac:dyDescent="0.3">
      <c r="B20" s="253"/>
      <c r="D20" s="398"/>
      <c r="E20" s="398"/>
      <c r="F20" s="398"/>
      <c r="G20" s="403"/>
      <c r="H20" s="398"/>
      <c r="I20" s="404"/>
      <c r="J20" s="388"/>
      <c r="L20" s="381"/>
      <c r="M20" s="381"/>
      <c r="N20" s="381"/>
      <c r="O20" s="381"/>
      <c r="P20" s="383"/>
      <c r="Q20" s="383"/>
      <c r="R20" s="73"/>
      <c r="S20" s="73"/>
      <c r="T20" s="73"/>
      <c r="U20" s="73"/>
    </row>
    <row r="21" spans="2:23" ht="36" customHeight="1" x14ac:dyDescent="0.3">
      <c r="B21" s="253"/>
      <c r="D21" s="389"/>
      <c r="E21" s="389"/>
      <c r="F21" s="385"/>
      <c r="G21" s="387"/>
      <c r="H21" s="385"/>
      <c r="I21" s="385"/>
      <c r="J21" s="83"/>
      <c r="L21" s="381"/>
      <c r="M21" s="381"/>
      <c r="N21" s="381"/>
      <c r="O21" s="381"/>
      <c r="P21" s="383"/>
      <c r="Q21" s="383"/>
      <c r="R21" s="73"/>
      <c r="S21" s="73"/>
      <c r="T21" s="73"/>
      <c r="U21" s="73"/>
    </row>
    <row r="22" spans="2:23" ht="12.6" hidden="1" customHeight="1" x14ac:dyDescent="0.25">
      <c r="B22" s="253"/>
      <c r="D22" s="385"/>
      <c r="E22" s="385"/>
      <c r="F22" s="1046"/>
      <c r="G22" s="1046"/>
      <c r="H22" s="385"/>
      <c r="I22" s="385"/>
      <c r="J22" s="83"/>
      <c r="P22" s="73"/>
      <c r="Q22" s="73"/>
      <c r="R22" s="73"/>
      <c r="S22" s="73"/>
      <c r="T22" s="73"/>
      <c r="U22" s="73"/>
    </row>
    <row r="23" spans="2:23" hidden="1" x14ac:dyDescent="0.25">
      <c r="B23" s="253"/>
      <c r="D23" s="73"/>
      <c r="E23" s="73"/>
      <c r="F23" s="73"/>
      <c r="G23" s="73"/>
      <c r="H23" s="73"/>
      <c r="I23" s="73"/>
      <c r="P23" s="73"/>
      <c r="Q23" s="73"/>
      <c r="R23" s="73"/>
      <c r="S23" s="73"/>
      <c r="T23" s="73"/>
      <c r="U23" s="73"/>
    </row>
    <row r="24" spans="2:23" hidden="1" x14ac:dyDescent="0.25">
      <c r="B24" s="253"/>
      <c r="D24" s="73"/>
      <c r="E24" s="73"/>
      <c r="F24" s="73"/>
      <c r="G24" s="73"/>
      <c r="H24" s="73"/>
      <c r="I24" s="73"/>
    </row>
    <row r="25" spans="2:23" hidden="1" x14ac:dyDescent="0.25">
      <c r="B25" s="253"/>
      <c r="D25" s="73"/>
      <c r="E25" s="73"/>
      <c r="F25" s="73"/>
      <c r="G25" s="73"/>
      <c r="H25" s="73"/>
      <c r="I25" s="73"/>
    </row>
    <row r="26" spans="2:23" hidden="1" x14ac:dyDescent="0.25">
      <c r="B26" s="253"/>
      <c r="D26" s="73"/>
      <c r="E26" s="73"/>
      <c r="F26" s="73"/>
      <c r="G26" s="73"/>
      <c r="H26" s="73"/>
      <c r="I26" s="73"/>
    </row>
    <row r="27" spans="2:23" x14ac:dyDescent="0.25">
      <c r="B27" s="253"/>
      <c r="C27" s="367"/>
      <c r="D27" s="73"/>
      <c r="E27" s="73"/>
      <c r="F27" s="73"/>
      <c r="G27" s="73"/>
      <c r="H27" s="73"/>
      <c r="I27" s="73"/>
    </row>
    <row r="28" spans="2:23" ht="45.6" customHeight="1" x14ac:dyDescent="0.25">
      <c r="B28" s="253"/>
      <c r="D28" s="1044" t="s">
        <v>541</v>
      </c>
      <c r="E28" s="1044"/>
      <c r="F28" s="1044"/>
      <c r="G28" s="1044"/>
      <c r="H28" s="1044"/>
      <c r="I28" s="1044"/>
    </row>
    <row r="29" spans="2:23" ht="27" thickBot="1" x14ac:dyDescent="0.45">
      <c r="B29" s="253"/>
      <c r="D29" s="73"/>
      <c r="E29" s="73"/>
      <c r="F29" s="390"/>
      <c r="G29" s="73"/>
      <c r="H29" s="73"/>
      <c r="I29" s="73"/>
      <c r="N29" s="141"/>
    </row>
    <row r="30" spans="2:23" ht="51.95" customHeight="1" thickBot="1" x14ac:dyDescent="0.3">
      <c r="B30" s="253"/>
      <c r="D30" s="394" t="s">
        <v>532</v>
      </c>
      <c r="E30" s="395" t="s">
        <v>533</v>
      </c>
      <c r="F30" s="396" t="s">
        <v>534</v>
      </c>
      <c r="G30" s="395" t="s">
        <v>535</v>
      </c>
      <c r="H30" s="395" t="s">
        <v>536</v>
      </c>
      <c r="I30" s="396" t="s">
        <v>537</v>
      </c>
    </row>
    <row r="31" spans="2:23" ht="51.95" customHeight="1" thickBot="1" x14ac:dyDescent="0.3">
      <c r="B31" s="253"/>
      <c r="C31" s="377" t="s">
        <v>542</v>
      </c>
      <c r="D31" s="405" t="e">
        <f>'Temperature-Step 4'!Z24</f>
        <v>#DIV/0!</v>
      </c>
      <c r="E31" s="405" t="e">
        <f>'Temperature-Step 4'!Z24</f>
        <v>#DIV/0!</v>
      </c>
      <c r="F31" s="405" t="e">
        <f>'Temperature-Step 4'!Z41</f>
        <v>#DIV/0!</v>
      </c>
      <c r="G31" s="405" t="e">
        <f>'Water_Soil-Step 4'!Z24</f>
        <v>#DIV/0!</v>
      </c>
      <c r="H31" s="405" t="e">
        <f>'Water_Soil-Step 4'!Z24</f>
        <v>#DIV/0!</v>
      </c>
      <c r="I31" s="405" t="e">
        <f>'Wind-Step 4'!Z22</f>
        <v>#DIV/0!</v>
      </c>
    </row>
    <row r="32" spans="2:23" ht="51.95" customHeight="1" thickBot="1" x14ac:dyDescent="0.3">
      <c r="B32" s="253"/>
      <c r="C32" s="391"/>
      <c r="D32" s="70"/>
      <c r="E32" s="70"/>
      <c r="F32" s="70"/>
      <c r="G32" s="70"/>
      <c r="H32" s="70"/>
      <c r="I32" s="70"/>
    </row>
    <row r="33" spans="2:9" ht="51.95" customHeight="1" thickBot="1" x14ac:dyDescent="0.3">
      <c r="B33" s="253"/>
      <c r="C33" s="406"/>
      <c r="D33" s="1045" t="s">
        <v>543</v>
      </c>
      <c r="E33" s="1045"/>
      <c r="F33" s="1045"/>
      <c r="G33" s="1045"/>
      <c r="H33" s="1045"/>
      <c r="I33" s="1045"/>
    </row>
    <row r="34" spans="2:9" ht="51.95" customHeight="1" thickBot="1" x14ac:dyDescent="0.3">
      <c r="B34" s="253"/>
      <c r="C34" s="406"/>
      <c r="D34" s="394" t="s">
        <v>532</v>
      </c>
      <c r="E34" s="395" t="s">
        <v>533</v>
      </c>
      <c r="F34" s="396" t="s">
        <v>534</v>
      </c>
      <c r="G34" s="395" t="s">
        <v>535</v>
      </c>
      <c r="H34" s="395" t="s">
        <v>536</v>
      </c>
      <c r="I34" s="396" t="s">
        <v>537</v>
      </c>
    </row>
    <row r="35" spans="2:9" ht="51.95" customHeight="1" x14ac:dyDescent="0.25">
      <c r="B35" s="253"/>
      <c r="C35" s="407" t="s">
        <v>544</v>
      </c>
      <c r="D35" s="440" cm="1">
        <f t="array" ref="D35:D44">'Temperature-Step 4'!D14:D23</f>
        <v>0</v>
      </c>
      <c r="E35" s="440" cm="1">
        <f t="array" ref="E35:E44">'Temperature-Step 4'!D14:D23</f>
        <v>0</v>
      </c>
      <c r="F35" s="440" cm="1">
        <f t="array" ref="F35:F44">'Temperature-Step 4'!D31:D40</f>
        <v>0</v>
      </c>
      <c r="G35" s="440" cm="1">
        <f t="array" ref="G35:G44">'Water_Soil-Step 4'!D13:D22</f>
        <v>0</v>
      </c>
      <c r="H35" s="440" cm="1">
        <f t="array" ref="H35:H44">'Water_Soil-Step 4'!D13:D22</f>
        <v>0</v>
      </c>
      <c r="I35" s="441" t="str" cm="1">
        <f t="array" ref="I35:I44">'Wind-Step 4'!D13:D22</f>
        <v>…</v>
      </c>
    </row>
    <row r="36" spans="2:9" ht="51.95" customHeight="1" x14ac:dyDescent="0.25">
      <c r="B36" s="253"/>
      <c r="C36" s="408" t="s">
        <v>545</v>
      </c>
      <c r="D36" s="440">
        <v>0</v>
      </c>
      <c r="E36" s="440">
        <v>0</v>
      </c>
      <c r="F36" s="440">
        <v>0</v>
      </c>
      <c r="G36" s="440">
        <v>0</v>
      </c>
      <c r="H36" s="440">
        <v>0</v>
      </c>
      <c r="I36" s="441" t="str">
        <v>…</v>
      </c>
    </row>
    <row r="37" spans="2:9" ht="51.95" customHeight="1" x14ac:dyDescent="0.25">
      <c r="B37" s="253"/>
      <c r="C37" s="408" t="s">
        <v>546</v>
      </c>
      <c r="D37" s="440">
        <v>0</v>
      </c>
      <c r="E37" s="440">
        <v>0</v>
      </c>
      <c r="F37" s="440">
        <v>0</v>
      </c>
      <c r="G37" s="440">
        <v>0</v>
      </c>
      <c r="H37" s="440">
        <v>0</v>
      </c>
      <c r="I37" s="441" t="str">
        <v>…</v>
      </c>
    </row>
    <row r="38" spans="2:9" ht="51.95" customHeight="1" x14ac:dyDescent="0.25">
      <c r="B38" s="253"/>
      <c r="C38" s="408" t="s">
        <v>547</v>
      </c>
      <c r="D38" s="440" t="str">
        <v>…</v>
      </c>
      <c r="E38" s="440" t="str">
        <v>…</v>
      </c>
      <c r="F38" s="440">
        <v>0</v>
      </c>
      <c r="G38" s="440">
        <v>0</v>
      </c>
      <c r="H38" s="440">
        <v>0</v>
      </c>
      <c r="I38" s="441" t="str">
        <v>…</v>
      </c>
    </row>
    <row r="39" spans="2:9" ht="51.95" customHeight="1" x14ac:dyDescent="0.25">
      <c r="B39" s="253"/>
      <c r="C39" s="408" t="s">
        <v>548</v>
      </c>
      <c r="D39" s="440" t="str">
        <v>…</v>
      </c>
      <c r="E39" s="440" t="str">
        <v>…</v>
      </c>
      <c r="F39" s="440" t="str">
        <v>…</v>
      </c>
      <c r="G39" s="440">
        <v>0</v>
      </c>
      <c r="H39" s="440">
        <v>0</v>
      </c>
      <c r="I39" s="441" t="str">
        <v>…</v>
      </c>
    </row>
    <row r="40" spans="2:9" ht="51.95" customHeight="1" x14ac:dyDescent="0.25">
      <c r="B40" s="253"/>
      <c r="C40" s="408" t="s">
        <v>549</v>
      </c>
      <c r="D40" s="440" t="str">
        <v>…</v>
      </c>
      <c r="E40" s="440" t="str">
        <v>…</v>
      </c>
      <c r="F40" s="440" t="str">
        <v>…</v>
      </c>
      <c r="G40" s="440">
        <v>0</v>
      </c>
      <c r="H40" s="440">
        <v>0</v>
      </c>
      <c r="I40" s="441" t="str">
        <v>…</v>
      </c>
    </row>
    <row r="41" spans="2:9" ht="51.95" customHeight="1" x14ac:dyDescent="0.25">
      <c r="B41" s="253"/>
      <c r="C41" s="408" t="s">
        <v>550</v>
      </c>
      <c r="D41" s="440" t="str">
        <v>…</v>
      </c>
      <c r="E41" s="440" t="str">
        <v>…</v>
      </c>
      <c r="F41" s="440" t="str">
        <v>…</v>
      </c>
      <c r="G41" s="440" t="str">
        <v>…</v>
      </c>
      <c r="H41" s="440" t="str">
        <v>…</v>
      </c>
      <c r="I41" s="441" t="str">
        <v>…</v>
      </c>
    </row>
    <row r="42" spans="2:9" ht="51.95" customHeight="1" x14ac:dyDescent="0.25">
      <c r="B42" s="253"/>
      <c r="C42" s="408" t="s">
        <v>551</v>
      </c>
      <c r="D42" s="440" t="str">
        <v>…</v>
      </c>
      <c r="E42" s="440" t="str">
        <v>…</v>
      </c>
      <c r="F42" s="440" t="str">
        <v>…</v>
      </c>
      <c r="G42" s="440" t="str">
        <v>…</v>
      </c>
      <c r="H42" s="440" t="str">
        <v>…</v>
      </c>
      <c r="I42" s="441" t="str">
        <v>…</v>
      </c>
    </row>
    <row r="43" spans="2:9" ht="51.95" customHeight="1" x14ac:dyDescent="0.25">
      <c r="C43" s="408" t="s">
        <v>552</v>
      </c>
      <c r="D43" s="440" t="str">
        <v>…</v>
      </c>
      <c r="E43" s="440" t="str">
        <v>…</v>
      </c>
      <c r="F43" s="440" t="str">
        <v>…</v>
      </c>
      <c r="G43" s="440" t="str">
        <v>…</v>
      </c>
      <c r="H43" s="440" t="str">
        <v>…</v>
      </c>
      <c r="I43" s="441" t="str">
        <v>…</v>
      </c>
    </row>
    <row r="44" spans="2:9" ht="51.95" customHeight="1" thickBot="1" x14ac:dyDescent="0.3">
      <c r="C44" s="408" t="s">
        <v>553</v>
      </c>
      <c r="D44" s="442" t="str">
        <v>…</v>
      </c>
      <c r="E44" s="442" t="str">
        <v>…</v>
      </c>
      <c r="F44" s="442" t="str">
        <v>…</v>
      </c>
      <c r="G44" s="442" t="str">
        <v>…</v>
      </c>
      <c r="H44" s="442" t="str">
        <v>…</v>
      </c>
      <c r="I44" s="443" t="str">
        <v>…</v>
      </c>
    </row>
    <row r="45" spans="2:9" ht="51.95" customHeight="1" x14ac:dyDescent="0.25">
      <c r="D45" s="392"/>
    </row>
    <row r="46" spans="2:9" ht="51.95" customHeight="1" x14ac:dyDescent="0.25">
      <c r="D46" s="392"/>
    </row>
    <row r="47" spans="2:9" ht="51.95" customHeight="1" x14ac:dyDescent="0.25">
      <c r="D47" s="392"/>
    </row>
    <row r="48" spans="2:9" ht="51.95" customHeight="1" x14ac:dyDescent="0.25">
      <c r="C48" s="393"/>
    </row>
    <row r="49" spans="4:5" ht="51.95" customHeight="1" x14ac:dyDescent="0.25"/>
    <row r="50" spans="4:5" ht="51.95" customHeight="1" x14ac:dyDescent="0.25"/>
    <row r="51" spans="4:5" ht="51.95" customHeight="1" x14ac:dyDescent="0.25">
      <c r="D51" s="393"/>
      <c r="E51" s="393"/>
    </row>
    <row r="52" spans="4:5" ht="51.95" customHeight="1" x14ac:dyDescent="0.25"/>
    <row r="53" spans="4:5" ht="51.95" customHeight="1" x14ac:dyDescent="0.25"/>
  </sheetData>
  <sheetProtection algorithmName="SHA-512" hashValue="F3AZ+qleOU8Bl6WuOtP4rB2f2ooYeQTYQ26ri5z0YIDwP9wBoLlRebN2Wg8BLk4Yli1mC0dwUoFnJNPlL6bfwA==" saltValue="+DoeiFpN/7tiePbukDCn3w==" spinCount="100000" sheet="1" selectLockedCells="1"/>
  <mergeCells count="5">
    <mergeCell ref="D2:J2"/>
    <mergeCell ref="D4:I4"/>
    <mergeCell ref="D28:I28"/>
    <mergeCell ref="D33:I33"/>
    <mergeCell ref="F22:G22"/>
  </mergeCells>
  <conditionalFormatting sqref="D10:I20">
    <cfRule type="cellIs" dxfId="7" priority="1" operator="equal">
      <formula>"N/A"</formula>
    </cfRule>
    <cfRule type="cellIs" dxfId="6" priority="14" operator="equal">
      <formula>0</formula>
    </cfRule>
  </conditionalFormatting>
  <conditionalFormatting sqref="D7:J9 D31:I32">
    <cfRule type="cellIs" dxfId="5" priority="3" operator="equal">
      <formula>"High"</formula>
    </cfRule>
    <cfRule type="cellIs" dxfId="4" priority="4" operator="equal">
      <formula>"Medium"</formula>
    </cfRule>
    <cfRule type="cellIs" dxfId="3" priority="5" operator="equal">
      <formula>"Low"</formula>
    </cfRule>
  </conditionalFormatting>
  <conditionalFormatting sqref="O2">
    <cfRule type="cellIs" dxfId="2" priority="44" operator="equal">
      <formula>"High"</formula>
    </cfRule>
    <cfRule type="cellIs" dxfId="1" priority="45" operator="equal">
      <formula>"Medium"</formula>
    </cfRule>
    <cfRule type="cellIs" dxfId="0" priority="46" operator="equal">
      <formula>"Low"</formula>
    </cfRule>
  </conditionalFormatting>
  <pageMargins left="0.7" right="0.7" top="0.75" bottom="0.75" header="0.3" footer="0.3"/>
  <headerFooter>
    <oddHeader>&amp;C&amp;"Calibri"&amp;10&amp;K808080 Corporate Use&amp;1#_x000D_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129DF04D-3E22-4884-9949-52FAE6D08B94}"/>
</file>

<file path=customXml/itemProps2.xml><?xml version="1.0" encoding="utf-8"?>
<ds:datastoreItem xmlns:ds="http://schemas.openxmlformats.org/officeDocument/2006/customXml" ds:itemID="{9A0DD052-7175-46F5-A59F-889EB73BDA2E}"/>
</file>

<file path=customXml/itemProps3.xml><?xml version="1.0" encoding="utf-8"?>
<ds:datastoreItem xmlns:ds="http://schemas.openxmlformats.org/officeDocument/2006/customXml" ds:itemID="{28F283B6-3257-4350-A696-833240FF95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Disclaimer</vt:lpstr>
      <vt:lpstr>Intro</vt:lpstr>
      <vt:lpstr>Water_Soil-Step 1</vt:lpstr>
      <vt:lpstr>Φύλλο1</vt:lpstr>
      <vt:lpstr>Water_Soil-Step 2</vt:lpstr>
      <vt:lpstr>Water_Soil-Step 3</vt:lpstr>
      <vt:lpstr>Water_Soil-Step 4</vt:lpstr>
      <vt:lpstr>Temperature-Step 1</vt:lpstr>
      <vt:lpstr>Temperature-Step 2</vt:lpstr>
      <vt:lpstr>Temperature-Step 3</vt:lpstr>
      <vt:lpstr>Temperature-Step 4</vt:lpstr>
      <vt:lpstr>Wind-Step 1</vt:lpstr>
      <vt:lpstr>Wind-Step 2</vt:lpstr>
      <vt:lpstr>Wind-Step 3</vt:lpstr>
      <vt:lpstr>Wind-Step 4</vt:lpstr>
      <vt:lpstr>Φύλλο2</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Fani Gelagoti</dc:creator>
  <cp:keywords/>
  <dc:description/>
  <cp:lastModifiedBy>KOURTI Ioanna</cp:lastModifiedBy>
  <cp:revision/>
  <dcterms:created xsi:type="dcterms:W3CDTF">2023-10-21T15:36:03Z</dcterms:created>
  <dcterms:modified xsi:type="dcterms:W3CDTF">2024-12-03T12:55:37Z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2024-11-28T14:35:46Z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d838c6d3-7ce6-4224-a493-c3e5ce1a1b78</vt:lpwstr>
  </property>
  <property fmtid="{D5CDD505-2E9C-101B-9397-08002B2CF9AE}" pid="8" name="MSIP_Label_9b5154d6-21c1-415b-b061-7427a4708b37_ContentBits">
    <vt:lpwstr>1</vt:lpwstr>
  </property>
  <property fmtid="{D5CDD505-2E9C-101B-9397-08002B2CF9AE}" pid="9" name="ContentTypeId">
    <vt:lpwstr>0x010100B5D8345CE9BD914C9D01226D63129445</vt:lpwstr>
  </property>
</Properties>
</file>