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2-FORMULARIOS/0-Evolucion_modelos/MOD-50/"/>
    </mc:Choice>
  </mc:AlternateContent>
  <xr:revisionPtr revIDLastSave="872" documentId="8_{6A59C32E-34A7-4ADA-9336-6B59621D1AD9}" xr6:coauthVersionLast="47" xr6:coauthVersionMax="47" xr10:uidLastSave="{E5F089BD-ECAC-4424-9CF9-A9AB28AC3807}"/>
  <bookViews>
    <workbookView xWindow="-120" yWindow="-120" windowWidth="29040" windowHeight="15720" tabRatio="743" firstSheet="1"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S22" i="4" s="1"/>
  <c r="H29" i="8"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B19" i="4"/>
  <c r="AB26" i="4"/>
  <c r="AB25" i="4"/>
  <c r="AB24" i="4"/>
  <c r="AB23" i="4"/>
  <c r="AB22" i="4"/>
  <c r="AB21" i="4"/>
  <c r="AB18" i="4"/>
  <c r="AB20" i="4"/>
  <c r="AB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X5" i="4"/>
  <c r="Z15" i="4"/>
  <c r="Z14" i="4"/>
  <c r="Z13" i="4"/>
  <c r="Z12" i="4"/>
  <c r="Z11" i="4"/>
  <c r="Z10" i="4"/>
  <c r="Z9" i="4"/>
  <c r="Z8" i="4"/>
  <c r="Z7" i="4"/>
  <c r="Z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D18" i="4"/>
  <c r="U3" i="2" s="1"/>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C10" i="2" s="1"/>
  <c r="N11" i="2"/>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C9" i="2" s="1"/>
  <c r="B7" i="9"/>
  <c r="B14" i="9"/>
  <c r="B15" i="9"/>
  <c r="B16" i="9"/>
  <c r="B17" i="9"/>
  <c r="B18" i="9"/>
  <c r="B19" i="9"/>
  <c r="B20" i="9"/>
  <c r="B21" i="9"/>
  <c r="B22" i="9"/>
  <c r="B23" i="9"/>
  <c r="B24" i="9"/>
  <c r="B25" i="9"/>
  <c r="B26" i="9"/>
  <c r="B27" i="9"/>
  <c r="B28" i="9"/>
  <c r="B29" i="9"/>
  <c r="B30" i="9"/>
  <c r="B31" i="9"/>
  <c r="B32" i="9"/>
  <c r="B5" i="9"/>
  <c r="B11" i="2" l="1"/>
  <c r="C11" i="2"/>
  <c r="J39" i="2"/>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34" i="9" l="1"/>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<sst xmlns="http://schemas.openxmlformats.org/spreadsheetml/2006/main" count="318" uniqueCount="242">
  <si>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</si>
  <si>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</si>
  <si>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</si>
  <si>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</si>
  <si>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</si>
  <si>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</si>
  <si>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</si>
  <si>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</si>
  <si>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</si>
  <si>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</si>
  <si>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</si>
  <si>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</si>
  <si>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</si>
  <si>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</si>
  <si>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</si>
  <si>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</si>
  <si>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</si>
  <si>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</si>
  <si>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</si>
  <si>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</si>
  <si>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</si>
  <si>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</si>
  <si>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</si>
  <si>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</si>
  <si>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</si>
  <si>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</si>
  <si>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</si>
  <si>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</si>
  <si>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</si>
  <si>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</si>
  <si>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</si>
  <si>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</si>
  <si>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</si>
  <si>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</si>
  <si>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</si>
  <si>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</si>
  <si>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</si>
  <si>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</si>
  <si>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</si>
  <si>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</si>
  <si>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</si>
  <si>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</si>
  <si>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</si>
  <si>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</si>
  <si>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</si>
  <si>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</si>
  <si>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</si>
  <si>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</si>
  <si>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</si>
  <si>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</si>
  <si>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</si>
  <si>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</si>
  <si>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</si>
  <si>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</si>
  <si>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</si>
  <si>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</si>
  <si>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</si>
  <si>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</si>
  <si>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</si>
  <si>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</si>
  <si>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</si>
  <si>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</si>
  <si>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</si>
  <si>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</si>
  <si>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</si>
  <si>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</si>
  <si>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</si>
  <si>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</si>
  <si>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</si>
  <si>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</si>
  <si>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</si>
  <si>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</si>
  <si>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</si>
  <si>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</si>
  <si>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</si>
  <si>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</si>
  <si>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</si>
  <si>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</si>
  <si>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</si>
  <si>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</si>
  <si>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</si>
  <si>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</si>
  <si>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</si>
  <si>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</si>
  <si>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</si>
  <si>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</si>
  <si>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</si>
  <si>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</si>
  <si>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</si>
  <si>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</si>
  <si>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</si>
  <si>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</si>
  <si>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</si>
  <si>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</si>
  <si>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</si>
  <si>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</si>
  <si>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</si>
  <si>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</si>
  <si>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</si>
  <si>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</si>
  <si>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</si>
  <si>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</si>
  <si>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</si>
  <si>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</si>
  <si>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</si>
  <si>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</si>
  <si>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</si>
  <si>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</si>
  <si>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</si>
  <si>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</si>
  <si>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</si>
  <si>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</si>
  <si>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</si>
  <si>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</si>
  <si>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</si>
  <si>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</si>
  <si>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</si>
  <si>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</si>
  <si>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</si>
  <si>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</si>
  <si>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</si>
  <si>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</si>
  <si>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</si>
  <si>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</si>
  <si>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</si>
  <si>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</si>
  <si>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</si>
  <si>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</si>
  <si>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</si>
  <si>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</si>
  <si>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</si>
  <si>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</si>
  <si>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</si>
  <si>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</si>
  <si>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</si>
  <si>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</si>
  <si>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</si>
  <si>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</si>
  <si>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</si>
  <si>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</si>
  <si>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</si>
  <si>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</si>
  <si>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</si>
  <si>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</si>
  <si>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</si>
  <si>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</si>
  <si>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</si>
  <si>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</si>
  <si>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</si>
  <si>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</si>
  <si>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</si>
  <si>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</si>
  <si>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</si>
  <si>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</si>
  <si>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</si>
  <si>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</si>
  <si>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</si>
  <si>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</si>
  <si>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</si>
  <si>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</si>
  <si>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</si>
  <si>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</si>
  <si>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</si>
  <si>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</si>
  <si>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</si>
  <si>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</si>
  <si>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</si>
  <si>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</si>
  <si>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</si>
  <si>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</si>
  <si>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</si>
  <si>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</si>
  <si>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</si>
  <si>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</si>
  <si>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</si>
  <si>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</si>
  <si>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</si>
  <si>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</si>
  <si>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</si>
  <si>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</si>
  <si>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</si>
  <si>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</si>
  <si>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</si>
  <si>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</si>
  <si>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</si>
  <si>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</si>
  <si>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</si>
  <si>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</si>
  <si>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</si>
  <si>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</si>
  <si>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</si>
  <si>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</si>
  <si>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</si>
  <si>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</si>
  <si>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</si>
  <si>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</si>
  <si>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</si>
  <si>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</si>
  <si>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</si>
  <si>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</si>
  <si>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</si>
  <si>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</si>
  <si>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</si>
  <si>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</si>
  <si>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</si>
  <si>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</si>
  <si>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</si>
  <si>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</si>
  <si>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</si>
  <si>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</si>
  <si>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</si>
  <si>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</si>
  <si>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</si>
  <si>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</si>
  <si>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</si>
  <si>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</si>
  <si>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</si>
  <si>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</si>
  <si>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</si>
  <si>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</si>
  <si>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</si>
  <si>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</si>
  <si>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</si>
  <si>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</si>
  <si>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</si>
  <si>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nº 106, 9 de mayo de 2024</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</si>
  <si>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</si>
  <si>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</si>
  <si>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</si>
  <si>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</si>
  <si>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</si>
  <si>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</si>
  <si>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</si>
  <si>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CUMPLIMENTAR COLUMNA "O"</t>
  </si>
  <si>
    <t>NO</t>
  </si>
  <si>
    <t>EN SU CASO,
ACUERDO PAGO
CUMPLIMIENTO
LEY 3/2004 SOBRE
MOROSIDAD
(PDF)</t>
  </si>
  <si>
    <t>BORM BASES REGULADORAS
(Y MODIFICACIONES)</t>
  </si>
  <si>
    <t>nº 201, 29 de agosto de 2024</t>
  </si>
  <si>
    <t>Obras</t>
  </si>
  <si>
    <t>Suministros</t>
  </si>
  <si>
    <t>Proyectos técnicos</t>
  </si>
  <si>
    <t>Dirección facultativa de las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</si>
</sst>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51">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3" borderId="60"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0" fontId="8" fillId="3" borderId="30" xfId="0" applyFont="1" applyFill="1" applyBorder="1" applyAlignment="1" applyProtection="1">
      <alignment vertical="center"/>
      <protection locked="0" hidden="1"/>
    </xf>
    <xf numFmtId="0" fontId="8" fillId="3" borderId="37" xfId="0" applyFont="1" applyFill="1" applyBorder="1" applyAlignment="1" applyProtection="1">
      <alignment vertical="center"/>
      <protection locked="0" hidden="1"/>
    </xf>
    <xf numFmtId="0" fontId="8" fillId="3" borderId="16" xfId="0" applyFont="1" applyFill="1" applyBorder="1" applyAlignment="1" applyProtection="1">
      <alignment vertical="center"/>
      <protection locked="0" hidden="1"/>
    </xf>
    <xf numFmtId="0" fontId="8" fillId="3" borderId="15" xfId="0" applyFont="1" applyFill="1" applyBorder="1" applyAlignment="1" applyProtection="1">
      <alignment vertical="center"/>
      <protection locked="0" hidden="1"/>
    </xf>
    <xf numFmtId="166" fontId="8" fillId="0" borderId="0" xfId="0" applyNumberFormat="1" applyFont="1" applyAlignment="1">
      <alignment vertic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0" xfId="0" applyFont="1" applyFill="1" applyBorder="1" applyAlignment="1" applyProtection="1">
      <alignment horizontal="center" vertical="center" wrapText="1"/>
      <protection hidden="1"/>
    </xf>
    <xf numFmtId="0" fontId="9" fillId="14" borderId="15"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 sqref="B10"/>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145</v>
      </c>
    </row>
    <row r="4" spans="2:2" ht="27" x14ac:dyDescent="0.2">
      <c r="B4" s="85" t="s">
        <v>154</v>
      </c>
    </row>
    <row r="5" spans="2:2" ht="15" customHeight="1" x14ac:dyDescent="0.2">
      <c r="B5" s="314" t="s">
        <v>232</v>
      </c>
    </row>
    <row r="6" spans="2:2" ht="15" customHeight="1" x14ac:dyDescent="0.2">
      <c r="B6" s="314"/>
    </row>
    <row r="7" spans="2:2" ht="15" customHeight="1" x14ac:dyDescent="0.2">
      <c r="B7" s="314"/>
    </row>
    <row r="8" spans="2:2" ht="15" customHeight="1" x14ac:dyDescent="0.2">
      <c r="B8" s="314"/>
    </row>
    <row r="9" spans="2:2" ht="15" customHeight="1" x14ac:dyDescent="0.2">
      <c r="B9" s="86"/>
    </row>
    <row r="10" spans="2:2" ht="15" customHeight="1" x14ac:dyDescent="0.2">
      <c r="B10" s="296" t="s">
        <v>102</v>
      </c>
    </row>
    <row r="11" spans="2:2" ht="9.9499999999999993" customHeight="1" x14ac:dyDescent="0.2"/>
    <row r="12" spans="2:2" ht="15" customHeight="1" x14ac:dyDescent="0.2">
      <c r="B12" s="87" t="s">
        <v>110</v>
      </c>
    </row>
    <row r="13" spans="2:2" ht="15" customHeight="1" x14ac:dyDescent="0.2">
      <c r="B13" s="88" t="s">
        <v>204</v>
      </c>
    </row>
    <row r="14" spans="2:2" ht="15" customHeight="1" x14ac:dyDescent="0.2">
      <c r="B14" s="88" t="s">
        <v>205</v>
      </c>
    </row>
    <row r="15" spans="2:2" ht="15" customHeight="1" x14ac:dyDescent="0.2">
      <c r="B15" s="88" t="s">
        <v>206</v>
      </c>
    </row>
    <row r="16" spans="2:2" ht="15" customHeight="1" x14ac:dyDescent="0.2">
      <c r="B16" s="320" t="s">
        <v>207</v>
      </c>
    </row>
    <row r="17" spans="2:2" ht="15" customHeight="1" x14ac:dyDescent="0.2">
      <c r="B17" s="320"/>
    </row>
    <row r="18" spans="2:2" ht="9.9499999999999993" customHeight="1" x14ac:dyDescent="0.2">
      <c r="B18" s="320"/>
    </row>
    <row r="19" spans="2:2" ht="15" customHeight="1" x14ac:dyDescent="0.2">
      <c r="B19" s="85"/>
    </row>
    <row r="20" spans="2:2" ht="15" customHeight="1" x14ac:dyDescent="0.2">
      <c r="B20" s="296" t="s">
        <v>125</v>
      </c>
    </row>
    <row r="21" spans="2:2" ht="9.9499999999999993" customHeight="1" x14ac:dyDescent="0.2"/>
    <row r="22" spans="2:2" ht="15" customHeight="1" x14ac:dyDescent="0.2">
      <c r="B22" s="90" t="s">
        <v>112</v>
      </c>
    </row>
    <row r="23" spans="2:2" ht="15" customHeight="1" x14ac:dyDescent="0.2">
      <c r="B23" s="316" t="s">
        <v>113</v>
      </c>
    </row>
    <row r="24" spans="2:2" ht="15" customHeight="1" x14ac:dyDescent="0.2">
      <c r="B24" s="316"/>
    </row>
    <row r="25" spans="2:2" ht="15" customHeight="1" x14ac:dyDescent="0.2">
      <c r="B25" s="316" t="s">
        <v>114</v>
      </c>
    </row>
    <row r="26" spans="2:2" ht="15" customHeight="1" x14ac:dyDescent="0.2">
      <c r="B26" s="316"/>
    </row>
    <row r="27" spans="2:2" ht="15" customHeight="1" x14ac:dyDescent="0.2">
      <c r="B27" s="316" t="s">
        <v>115</v>
      </c>
    </row>
    <row r="28" spans="2:2" ht="15" customHeight="1" x14ac:dyDescent="0.2">
      <c r="B28" s="316"/>
    </row>
    <row r="29" spans="2:2" ht="15" customHeight="1" x14ac:dyDescent="0.2">
      <c r="B29" s="316" t="s">
        <v>116</v>
      </c>
    </row>
    <row r="30" spans="2:2" ht="15" customHeight="1" x14ac:dyDescent="0.2">
      <c r="B30" s="316"/>
    </row>
    <row r="31" spans="2:2" ht="15" customHeight="1" x14ac:dyDescent="0.2">
      <c r="B31" s="316" t="s">
        <v>117</v>
      </c>
    </row>
    <row r="32" spans="2:2" ht="15" customHeight="1" x14ac:dyDescent="0.2">
      <c r="B32" s="316"/>
    </row>
    <row r="33" spans="2:2" ht="15" customHeight="1" x14ac:dyDescent="0.2">
      <c r="B33" s="316"/>
    </row>
    <row r="34" spans="2:2" ht="15" customHeight="1" x14ac:dyDescent="0.2">
      <c r="B34" s="316" t="s">
        <v>118</v>
      </c>
    </row>
    <row r="35" spans="2:2" ht="15" customHeight="1" x14ac:dyDescent="0.2">
      <c r="B35" s="316"/>
    </row>
    <row r="36" spans="2:2" ht="15" customHeight="1" x14ac:dyDescent="0.2">
      <c r="B36" s="316"/>
    </row>
    <row r="37" spans="2:2" ht="9.9499999999999993" customHeight="1" x14ac:dyDescent="0.2"/>
    <row r="38" spans="2:2" ht="15" customHeight="1" x14ac:dyDescent="0.2">
      <c r="B38" s="92" t="s">
        <v>119</v>
      </c>
    </row>
    <row r="39" spans="2:2" ht="15" customHeight="1" x14ac:dyDescent="0.2">
      <c r="B39" s="316" t="s">
        <v>120</v>
      </c>
    </row>
    <row r="40" spans="2:2" ht="15" customHeight="1" x14ac:dyDescent="0.2">
      <c r="B40" s="316"/>
    </row>
    <row r="41" spans="2:2" ht="15" customHeight="1" x14ac:dyDescent="0.2">
      <c r="B41" s="316"/>
    </row>
    <row r="42" spans="2:2" ht="15" customHeight="1" x14ac:dyDescent="0.2">
      <c r="B42" s="316"/>
    </row>
    <row r="43" spans="2:2" ht="15" customHeight="1" x14ac:dyDescent="0.2">
      <c r="B43" s="316" t="s">
        <v>121</v>
      </c>
    </row>
    <row r="44" spans="2:2" ht="15" customHeight="1" x14ac:dyDescent="0.2">
      <c r="B44" s="316"/>
    </row>
    <row r="45" spans="2:2" ht="15" customHeight="1" x14ac:dyDescent="0.2">
      <c r="B45" s="316"/>
    </row>
    <row r="46" spans="2:2" ht="15" customHeight="1" x14ac:dyDescent="0.2">
      <c r="B46" s="316"/>
    </row>
    <row r="47" spans="2:2" ht="9.9499999999999993" customHeight="1" x14ac:dyDescent="0.2">
      <c r="B47" s="93"/>
    </row>
    <row r="48" spans="2:2" ht="15" customHeight="1" x14ac:dyDescent="0.2">
      <c r="B48" s="94" t="s">
        <v>126</v>
      </c>
    </row>
    <row r="49" spans="2:2" ht="15" customHeight="1" x14ac:dyDescent="0.2">
      <c r="B49" s="317" t="s">
        <v>122</v>
      </c>
    </row>
    <row r="50" spans="2:2" ht="15" customHeight="1" x14ac:dyDescent="0.2">
      <c r="B50" s="317"/>
    </row>
    <row r="51" spans="2:2" ht="9.9499999999999993" customHeight="1" x14ac:dyDescent="0.2">
      <c r="B51" s="318" t="s">
        <v>123</v>
      </c>
    </row>
    <row r="52" spans="2:2" ht="15" customHeight="1" x14ac:dyDescent="0.2">
      <c r="B52" s="318"/>
    </row>
    <row r="53" spans="2:2" ht="15" customHeight="1" x14ac:dyDescent="0.2">
      <c r="B53" s="318"/>
    </row>
    <row r="54" spans="2:2" ht="15" customHeight="1" x14ac:dyDescent="0.2">
      <c r="B54" s="318" t="s">
        <v>124</v>
      </c>
    </row>
    <row r="55" spans="2:2" ht="15" customHeight="1" x14ac:dyDescent="0.2">
      <c r="B55" s="318"/>
    </row>
    <row r="56" spans="2:2" ht="15" customHeight="1" x14ac:dyDescent="0.2">
      <c r="B56" s="91" t="s">
        <v>127</v>
      </c>
    </row>
    <row r="57" spans="2:2" ht="15" customHeight="1" x14ac:dyDescent="0.2">
      <c r="B57" s="91" t="s">
        <v>128</v>
      </c>
    </row>
    <row r="58" spans="2:2" ht="15" customHeight="1" x14ac:dyDescent="0.2">
      <c r="B58" s="316" t="s">
        <v>129</v>
      </c>
    </row>
    <row r="59" spans="2:2" ht="15" customHeight="1" x14ac:dyDescent="0.2">
      <c r="B59" s="316"/>
    </row>
    <row r="60" spans="2:2" ht="15" customHeight="1" x14ac:dyDescent="0.2">
      <c r="B60" s="316"/>
    </row>
    <row r="61" spans="2:2" ht="9.9499999999999993" customHeight="1" x14ac:dyDescent="0.2"/>
    <row r="62" spans="2:2" ht="15" customHeight="1" x14ac:dyDescent="0.2">
      <c r="B62" s="92" t="s">
        <v>130</v>
      </c>
    </row>
    <row r="63" spans="2:2" ht="15" customHeight="1" x14ac:dyDescent="0.2">
      <c r="B63" s="91" t="s">
        <v>131</v>
      </c>
    </row>
    <row r="64" spans="2:2" ht="15" customHeight="1" x14ac:dyDescent="0.2">
      <c r="B64" s="316" t="s">
        <v>132</v>
      </c>
    </row>
    <row r="65" spans="2:2" ht="15" customHeight="1" x14ac:dyDescent="0.2">
      <c r="B65" s="316"/>
    </row>
    <row r="66" spans="2:2" ht="15" customHeight="1" x14ac:dyDescent="0.2">
      <c r="B66" s="316"/>
    </row>
    <row r="67" spans="2:2" ht="15" customHeight="1" x14ac:dyDescent="0.2">
      <c r="B67" s="316"/>
    </row>
    <row r="68" spans="2:2" ht="15" customHeight="1" x14ac:dyDescent="0.2">
      <c r="B68" s="316" t="s">
        <v>133</v>
      </c>
    </row>
    <row r="69" spans="2:2" ht="15" customHeight="1" x14ac:dyDescent="0.2">
      <c r="B69" s="316"/>
    </row>
    <row r="70" spans="2:2" ht="15" customHeight="1" x14ac:dyDescent="0.2">
      <c r="B70" s="319" t="s">
        <v>134</v>
      </c>
    </row>
    <row r="71" spans="2:2" ht="15" customHeight="1" x14ac:dyDescent="0.2">
      <c r="B71" s="319"/>
    </row>
    <row r="72" spans="2:2" ht="15" customHeight="1" x14ac:dyDescent="0.2">
      <c r="B72" s="316" t="s">
        <v>135</v>
      </c>
    </row>
    <row r="73" spans="2:2" ht="15" customHeight="1" x14ac:dyDescent="0.2">
      <c r="B73" s="316"/>
    </row>
    <row r="74" spans="2:2" ht="9.9499999999999993" customHeight="1" x14ac:dyDescent="0.2"/>
    <row r="75" spans="2:2" ht="15" customHeight="1" x14ac:dyDescent="0.2">
      <c r="B75" s="92" t="s">
        <v>136</v>
      </c>
    </row>
    <row r="76" spans="2:2" ht="15" customHeight="1" x14ac:dyDescent="0.2">
      <c r="B76" s="316" t="s">
        <v>137</v>
      </c>
    </row>
    <row r="77" spans="2:2" ht="15" customHeight="1" x14ac:dyDescent="0.2">
      <c r="B77" s="316"/>
    </row>
    <row r="78" spans="2:2" ht="15" customHeight="1" x14ac:dyDescent="0.2">
      <c r="B78" s="316"/>
    </row>
    <row r="79" spans="2:2" ht="15" customHeight="1" x14ac:dyDescent="0.2">
      <c r="B79" s="316"/>
    </row>
    <row r="80" spans="2:2" ht="15" customHeight="1" x14ac:dyDescent="0.2">
      <c r="B80" s="316"/>
    </row>
    <row r="81" spans="2:2" ht="15" customHeight="1" x14ac:dyDescent="0.2">
      <c r="B81" s="316" t="s">
        <v>138</v>
      </c>
    </row>
    <row r="82" spans="2:2" ht="15" customHeight="1" x14ac:dyDescent="0.2">
      <c r="B82" s="316"/>
    </row>
    <row r="83" spans="2:2" ht="9.9499999999999993" customHeight="1" x14ac:dyDescent="0.2"/>
    <row r="84" spans="2:2" ht="15" customHeight="1" x14ac:dyDescent="0.2">
      <c r="B84" s="92" t="s">
        <v>139</v>
      </c>
    </row>
    <row r="85" spans="2:2" ht="15" customHeight="1" x14ac:dyDescent="0.2">
      <c r="B85" s="316" t="s">
        <v>140</v>
      </c>
    </row>
    <row r="86" spans="2:2" ht="15" customHeight="1" x14ac:dyDescent="0.2">
      <c r="B86" s="316"/>
    </row>
    <row r="87" spans="2:2" ht="15" customHeight="1" x14ac:dyDescent="0.2">
      <c r="B87" s="89" t="s">
        <v>103</v>
      </c>
    </row>
    <row r="88" spans="2:2" ht="15" customHeight="1" x14ac:dyDescent="0.2">
      <c r="B88" s="89" t="s">
        <v>104</v>
      </c>
    </row>
    <row r="89" spans="2:2" ht="15" customHeight="1" x14ac:dyDescent="0.2">
      <c r="B89" s="320" t="s">
        <v>105</v>
      </c>
    </row>
    <row r="90" spans="2:2" ht="15" customHeight="1" x14ac:dyDescent="0.2">
      <c r="B90" s="320"/>
    </row>
    <row r="91" spans="2:2" ht="15" customHeight="1" x14ac:dyDescent="0.2">
      <c r="B91" s="320" t="s">
        <v>106</v>
      </c>
    </row>
    <row r="92" spans="2:2" ht="15" customHeight="1" x14ac:dyDescent="0.2">
      <c r="B92" s="320"/>
    </row>
    <row r="93" spans="2:2" ht="15" customHeight="1" x14ac:dyDescent="0.2">
      <c r="B93" s="320" t="s">
        <v>107</v>
      </c>
    </row>
    <row r="94" spans="2:2" ht="15" customHeight="1" x14ac:dyDescent="0.2">
      <c r="B94" s="320"/>
    </row>
    <row r="95" spans="2:2" ht="15" customHeight="1" x14ac:dyDescent="0.2">
      <c r="B95" s="320"/>
    </row>
    <row r="96" spans="2:2" ht="15" customHeight="1" x14ac:dyDescent="0.2">
      <c r="B96" s="320" t="s">
        <v>108</v>
      </c>
    </row>
    <row r="97" spans="2:2" ht="15" customHeight="1" x14ac:dyDescent="0.2">
      <c r="B97" s="320"/>
    </row>
    <row r="98" spans="2:2" ht="15" customHeight="1" x14ac:dyDescent="0.2">
      <c r="B98" s="320"/>
    </row>
    <row r="99" spans="2:2" ht="15" customHeight="1" x14ac:dyDescent="0.2">
      <c r="B99" s="320" t="s">
        <v>109</v>
      </c>
    </row>
    <row r="100" spans="2:2" ht="15" customHeight="1" x14ac:dyDescent="0.2">
      <c r="B100" s="320"/>
    </row>
    <row r="101" spans="2:2" ht="9.9499999999999993" customHeight="1" x14ac:dyDescent="0.2"/>
    <row r="102" spans="2:2" ht="15" customHeight="1" x14ac:dyDescent="0.2">
      <c r="B102" s="92" t="s">
        <v>141</v>
      </c>
    </row>
    <row r="103" spans="2:2" ht="15" customHeight="1" x14ac:dyDescent="0.2">
      <c r="B103" s="321" t="s">
        <v>142</v>
      </c>
    </row>
    <row r="104" spans="2:2" ht="15" customHeight="1" x14ac:dyDescent="0.2">
      <c r="B104" s="320"/>
    </row>
    <row r="105" spans="2:2" ht="15" customHeight="1" x14ac:dyDescent="0.2">
      <c r="B105" s="85"/>
    </row>
    <row r="106" spans="2:2" ht="15" customHeight="1" x14ac:dyDescent="0.2">
      <c r="B106" s="296" t="s">
        <v>143</v>
      </c>
    </row>
    <row r="107" spans="2:2" ht="9.9499999999999993" customHeight="1" x14ac:dyDescent="0.2"/>
    <row r="108" spans="2:2" ht="15" customHeight="1" x14ac:dyDescent="0.2">
      <c r="B108" s="314" t="s">
        <v>144</v>
      </c>
    </row>
    <row r="109" spans="2:2" ht="15" customHeight="1" x14ac:dyDescent="0.2">
      <c r="B109" s="314"/>
    </row>
    <row r="110" spans="2:2" ht="15" customHeight="1" x14ac:dyDescent="0.2">
      <c r="B110" s="314" t="s">
        <v>148</v>
      </c>
    </row>
    <row r="111" spans="2:2" ht="15" customHeight="1" x14ac:dyDescent="0.2">
      <c r="B111" s="314"/>
    </row>
    <row r="112" spans="2:2" ht="15" customHeight="1" x14ac:dyDescent="0.2">
      <c r="B112" s="314"/>
    </row>
    <row r="113" spans="2:2" ht="15" customHeight="1" x14ac:dyDescent="0.2">
      <c r="B113" s="85"/>
    </row>
    <row r="114" spans="2:2" ht="15" customHeight="1" x14ac:dyDescent="0.2">
      <c r="B114" s="296" t="s">
        <v>146</v>
      </c>
    </row>
    <row r="115" spans="2:2" ht="9.9499999999999993" customHeight="1" x14ac:dyDescent="0.2"/>
    <row r="116" spans="2:2" ht="15" customHeight="1" x14ac:dyDescent="0.2">
      <c r="B116" s="314" t="s">
        <v>147</v>
      </c>
    </row>
    <row r="117" spans="2:2" ht="15" customHeight="1" x14ac:dyDescent="0.2">
      <c r="B117" s="314"/>
    </row>
    <row r="118" spans="2:2" ht="15" customHeight="1" x14ac:dyDescent="0.2">
      <c r="B118" s="314"/>
    </row>
    <row r="119" spans="2:2" ht="15" customHeight="1" x14ac:dyDescent="0.2">
      <c r="B119" s="315" t="s">
        <v>149</v>
      </c>
    </row>
    <row r="120" spans="2:2" ht="15" customHeight="1" x14ac:dyDescent="0.2">
      <c r="B120" s="315"/>
    </row>
    <row r="121" spans="2:2" ht="15" customHeight="1" x14ac:dyDescent="0.2">
      <c r="B121" s="315"/>
    </row>
    <row r="122" spans="2:2" ht="15" customHeight="1" x14ac:dyDescent="0.2">
      <c r="B122" s="315" t="s">
        <v>150</v>
      </c>
    </row>
    <row r="123" spans="2:2" ht="15" customHeight="1" x14ac:dyDescent="0.2">
      <c r="B123" s="315"/>
    </row>
    <row r="124" spans="2:2" ht="15" customHeight="1" x14ac:dyDescent="0.2">
      <c r="B124" s="315"/>
    </row>
    <row r="125" spans="2:2" ht="15" customHeight="1" x14ac:dyDescent="0.2">
      <c r="B125" s="315" t="s">
        <v>151</v>
      </c>
    </row>
    <row r="126" spans="2:2" ht="15" customHeight="1" x14ac:dyDescent="0.2">
      <c r="B126" s="315"/>
    </row>
    <row r="127" spans="2:2" ht="15" customHeight="1" x14ac:dyDescent="0.2">
      <c r="B127" s="315" t="s">
        <v>152</v>
      </c>
    </row>
    <row r="128" spans="2:2" ht="15" customHeight="1" x14ac:dyDescent="0.2">
      <c r="B128" s="315"/>
    </row>
    <row r="129" spans="2:2" ht="15" customHeight="1" x14ac:dyDescent="0.2">
      <c r="B129" s="315"/>
    </row>
  </sheetData>
  <sheetProtection algorithmName="SHA-512" hashValue="ls9Ln/2nBmudkSKeEylYXsCkgSqMeHrw17RrNWFBmqsr5GXc3RRw5vdzVINxrOnqTgG/s7TBRhFl5ErDK8v12Q==" saltValue="l7mjxC6LpEwvZeeOq850OQ=="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D22" sqref="D22"/>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5" t="s">
        <v>153</v>
      </c>
      <c r="C9" s="326"/>
      <c r="D9" s="327"/>
      <c r="E9" s="327"/>
      <c r="F9" s="327"/>
      <c r="G9" s="327"/>
      <c r="H9" s="327"/>
      <c r="I9" s="328"/>
    </row>
    <row r="10" spans="2:9" ht="15" customHeight="1" x14ac:dyDescent="0.2">
      <c r="B10" s="325"/>
      <c r="C10" s="329"/>
      <c r="D10" s="330"/>
      <c r="E10" s="330"/>
      <c r="F10" s="330"/>
      <c r="G10" s="330"/>
      <c r="H10" s="330"/>
      <c r="I10" s="331"/>
    </row>
    <row r="11" spans="2:9" ht="15" customHeight="1" x14ac:dyDescent="0.2">
      <c r="B11" s="103"/>
    </row>
    <row r="12" spans="2:9" ht="15" customHeight="1" x14ac:dyDescent="0.2">
      <c r="B12" s="341" t="s">
        <v>28</v>
      </c>
      <c r="C12" s="332" t="str">
        <f>VLOOKUP(AUXILIAR!$B$7,AUXILIAR!$D$7:$F$81,3,FALSE)</f>
        <v>PROGRAMA DE AYUDAS PARA LA DOTACIÓN Y REHABILITACIÓN DE PARQUES EMPRESARIALES</v>
      </c>
      <c r="D12" s="333"/>
      <c r="E12" s="333"/>
      <c r="F12" s="333"/>
      <c r="G12" s="333"/>
      <c r="H12" s="333"/>
      <c r="I12" s="334"/>
    </row>
    <row r="13" spans="2:9" ht="15" customHeight="1" x14ac:dyDescent="0.2">
      <c r="B13" s="341"/>
      <c r="C13" s="335"/>
      <c r="D13" s="336"/>
      <c r="E13" s="336"/>
      <c r="F13" s="336"/>
      <c r="G13" s="336"/>
      <c r="H13" s="336"/>
      <c r="I13" s="337"/>
    </row>
    <row r="14" spans="2:9" ht="15" customHeight="1" x14ac:dyDescent="0.2">
      <c r="B14" s="341"/>
      <c r="C14" s="338"/>
      <c r="D14" s="339"/>
      <c r="E14" s="339"/>
      <c r="F14" s="339"/>
      <c r="G14" s="339"/>
      <c r="H14" s="339"/>
      <c r="I14" s="340"/>
    </row>
    <row r="15" spans="2:9" ht="15" customHeight="1" x14ac:dyDescent="0.2">
      <c r="B15" s="103"/>
    </row>
    <row r="16" spans="2:9" ht="15" customHeight="1" x14ac:dyDescent="0.2">
      <c r="B16" s="103" t="s">
        <v>29</v>
      </c>
      <c r="C16" s="104">
        <f>AUXILIAR!$P$9</f>
        <v>2024</v>
      </c>
      <c r="D16" s="105"/>
      <c r="F16" s="322" t="s">
        <v>177</v>
      </c>
      <c r="G16" s="322"/>
      <c r="H16" s="322"/>
      <c r="I16" s="342"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295, 23 de diciembre de 2021
nº 283, 9 de diciembre de 2022
nº 106, 9 de mayo de 2024</v>
      </c>
    </row>
    <row r="17" spans="2:9" ht="15" customHeight="1" x14ac:dyDescent="0.2">
      <c r="B17" s="103"/>
      <c r="F17" s="322"/>
      <c r="G17" s="322"/>
      <c r="H17" s="322"/>
      <c r="I17" s="342"/>
    </row>
    <row r="18" spans="2:9" ht="15" customHeight="1" x14ac:dyDescent="0.2">
      <c r="B18" s="103" t="s">
        <v>30</v>
      </c>
      <c r="C18" s="106">
        <f>VLOOKUP(AUXILIAR!$B$7,AUXILIAR!$D$7:$F$81,2,FALSE)</f>
        <v>9</v>
      </c>
      <c r="D18" s="107"/>
      <c r="F18" s="322"/>
      <c r="G18" s="322"/>
      <c r="H18" s="322"/>
      <c r="I18" s="342"/>
    </row>
    <row r="19" spans="2:9" ht="15" customHeight="1" x14ac:dyDescent="0.2">
      <c r="B19" s="103"/>
    </row>
    <row r="20" spans="2:9" ht="15" customHeight="1" x14ac:dyDescent="0.2">
      <c r="B20" s="103" t="s">
        <v>31</v>
      </c>
      <c r="C20" s="297" t="s">
        <v>221</v>
      </c>
      <c r="D20" s="105"/>
      <c r="E20" s="105"/>
      <c r="F20" s="322" t="str">
        <f>CONCATENATE("BORM EXTRACTO","
 ","CONVOCATORIA","
 ","(Y MODIFICACIONES):")</f>
        <v>BORM EXTRACTO
 CONVOCATORIA
 (Y MODIFICACIONES):</v>
      </c>
      <c r="G20" s="322"/>
      <c r="H20" s="322"/>
      <c r="I20" s="323" t="str">
        <f>IF(AND(AUXILIAR!$P$11="",AUXILIAR!$P$12="",AUXILIAR!$P$13=""),"",IF(AND(AUXILIAR!$P$12="",AUXILIAR!$P$13=""),AUXILIAR!$P$11,IF(AND(AUXILIAR!$P$12&lt;&gt;"",AUXILIAR!$P$13=""),CONCATENATE(AUXILIAR!$P$11,"
",AUXILIAR!$P$12),CONCATENATE(AUXILIAR!$P$11,"
",AUXILIAR!$P$12,"
",AUXILIAR!$P$13))))</f>
        <v>nº 201, 29 de agosto de 2024</v>
      </c>
    </row>
    <row r="21" spans="2:9" ht="15" customHeight="1" x14ac:dyDescent="0.2">
      <c r="B21" s="103"/>
      <c r="F21" s="322"/>
      <c r="G21" s="322"/>
      <c r="H21" s="322"/>
      <c r="I21" s="323"/>
    </row>
    <row r="22" spans="2:9" ht="15" customHeight="1" x14ac:dyDescent="0.2">
      <c r="B22" s="103" t="s">
        <v>32</v>
      </c>
      <c r="C22" s="108" t="str">
        <f>CONCATENATE(C16,".",TEXT(C18,"00"),".",C20,".")</f>
        <v>2024.09.PAPE.</v>
      </c>
      <c r="D22" s="109"/>
      <c r="F22" s="322"/>
      <c r="G22" s="322"/>
      <c r="H22" s="322"/>
      <c r="I22" s="323"/>
    </row>
    <row r="23" spans="2:9" ht="15" customHeight="1" x14ac:dyDescent="0.2">
      <c r="B23" s="103"/>
      <c r="C23" s="103"/>
      <c r="D23" s="103"/>
      <c r="E23" s="103"/>
      <c r="F23" s="103"/>
      <c r="H23" s="110"/>
    </row>
    <row r="24" spans="2:9" ht="15" customHeight="1" x14ac:dyDescent="0.2">
      <c r="F24" s="111" t="s">
        <v>92</v>
      </c>
      <c r="H24" s="112" t="s">
        <v>60</v>
      </c>
      <c r="I24" s="112" t="s">
        <v>220</v>
      </c>
    </row>
    <row r="25" spans="2:9" ht="15" customHeight="1" x14ac:dyDescent="0.3">
      <c r="B25" s="113" t="str">
        <f>IF(AUXILIAR!$S$5="SÍ","FECHA INICIO PLAZO DE EJECUCIÓN:",IF(AUXILIAR!$S$5="NO","FECHA PRESENTACIÓN SOLICITUD DE AYUDA (*):",""))</f>
        <v>FECHA PRESENTACIÓN SOLICITUD DE AYUDA (*):</v>
      </c>
      <c r="C25" s="114"/>
      <c r="D25" s="114"/>
      <c r="F25" s="303"/>
      <c r="H25" s="115"/>
      <c r="I25" s="115" t="str">
        <f>IF(AND(F25="",H25=""),"",IF(AND(F25&lt;&gt;"",H25=""),F25,IF(AND(F25&lt;&gt;"",H25&lt;&gt;""),H25,H25)))</f>
        <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t="str">
        <f>IF(H27="","",AUXILIAR!$S$22)</f>
        <v/>
      </c>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4"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4"/>
      <c r="D33" s="324"/>
      <c r="E33" s="324"/>
      <c r="F33" s="324"/>
      <c r="G33" s="324"/>
      <c r="H33" s="324"/>
      <c r="I33" s="324"/>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WS0P5Ob78hUO0U1iC1usFeLr3vsWMik+41gCpWqQMqh8IDkJ3JI8w63bIvV+2gYXlNn5Ir9H7mXT3jm6P1SCDw==" saltValue="XFmmm7AxIcn0og37hk78sQ=="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zoomScaleNormal="100" workbookViewId="0">
      <pane xSplit="12" ySplit="8" topLeftCell="M9" activePane="bottomRight" state="frozen"/>
      <selection pane="topRight" activeCell="L1" sqref="L1"/>
      <selection pane="bottomLeft" activeCell="A9" sqref="A9"/>
      <selection pane="bottomRight" activeCell="O10" sqref="O10"/>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7" width="15.7109375" style="120" customWidth="1"/>
    <col min="38" max="38" width="50.7109375" style="120" customWidth="1"/>
    <col min="39" max="1039" width="10.7109375" style="120" customWidth="1"/>
    <col min="1040" max="16384" width="9.140625" style="120"/>
  </cols>
  <sheetData>
    <row r="1" spans="2:38" ht="15" customHeight="1" x14ac:dyDescent="0.2"/>
    <row r="2" spans="2:38" ht="20.100000000000001" customHeight="1" x14ac:dyDescent="0.2">
      <c r="L2" s="343" t="s">
        <v>22</v>
      </c>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row>
    <row r="3" spans="2:38" ht="20.100000000000001" customHeight="1" x14ac:dyDescent="0.2">
      <c r="P3" s="126" t="s">
        <v>24</v>
      </c>
      <c r="Q3" s="353" t="str">
        <f>IF(EXPEDIENTE!D22="","",CONCATENATE(EXPEDIENTE!C16,".",TEXT(EXPEDIENTE!C18,"00"),".",EXPEDIENTE!C20,".",TEXT(EXPEDIENTE!D22,"0000")))</f>
        <v/>
      </c>
      <c r="R3" s="353"/>
      <c r="S3" s="302"/>
      <c r="U3" s="363" t="str">
        <f>IF(AND(AUXILIAR!$AD$18&lt;1575,OR(EXPEDIENTE!$F$25="",EXPEDIENTE!$F$27="")),"NOTA: FALTA CUMPLIMENTAR LA FECHA DE INICIO Y/O FINAL DEL PROYECTO EN LA PESTAÑA EXPEDIENTE","")</f>
        <v/>
      </c>
      <c r="V3" s="363"/>
      <c r="W3" s="363"/>
      <c r="X3" s="363"/>
      <c r="Y3" s="363"/>
      <c r="Z3" s="363"/>
      <c r="AA3" s="125"/>
      <c r="AB3" s="125"/>
      <c r="AC3" s="125"/>
      <c r="AD3" s="125"/>
      <c r="AE3" s="125"/>
      <c r="AF3" s="125"/>
      <c r="AG3" s="125"/>
      <c r="AH3" s="125"/>
      <c r="AI3" s="125"/>
      <c r="AJ3" s="125"/>
      <c r="AK3" s="125"/>
      <c r="AL3" s="125"/>
    </row>
    <row r="4" spans="2:38" ht="20.100000000000001" customHeight="1" x14ac:dyDescent="0.2">
      <c r="N4" s="127"/>
      <c r="O4" s="127"/>
      <c r="R4" s="128"/>
      <c r="S4" s="128"/>
      <c r="U4" s="363"/>
      <c r="V4" s="363"/>
      <c r="W4" s="363"/>
      <c r="X4" s="363"/>
      <c r="Y4" s="363"/>
      <c r="Z4" s="363"/>
      <c r="AA4" s="128"/>
      <c r="AB4" s="128"/>
      <c r="AC4" s="128"/>
      <c r="AD4" s="128"/>
      <c r="AE4" s="128"/>
      <c r="AF4" s="128"/>
      <c r="AG4" s="128"/>
      <c r="AH4" s="128"/>
      <c r="AI4" s="128"/>
      <c r="AJ4" s="128"/>
      <c r="AK4" s="128"/>
      <c r="AL4" s="128"/>
    </row>
    <row r="5" spans="2:38"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00000000000001" customHeight="1" thickBot="1" x14ac:dyDescent="0.25">
      <c r="L6" s="344" t="s">
        <v>41</v>
      </c>
      <c r="M6" s="359" t="s">
        <v>0</v>
      </c>
      <c r="N6" s="357" t="s">
        <v>68</v>
      </c>
      <c r="O6" s="354" t="s">
        <v>71</v>
      </c>
      <c r="P6" s="355"/>
      <c r="Q6" s="355"/>
      <c r="R6" s="355"/>
      <c r="S6" s="355"/>
      <c r="T6" s="355"/>
      <c r="U6" s="355"/>
      <c r="V6" s="356"/>
      <c r="W6" s="346" t="s">
        <v>75</v>
      </c>
      <c r="X6" s="346"/>
      <c r="Y6" s="346"/>
      <c r="Z6" s="346"/>
      <c r="AA6" s="346"/>
      <c r="AB6" s="346"/>
      <c r="AC6" s="346"/>
      <c r="AD6" s="347"/>
      <c r="AE6" s="352" t="s">
        <v>76</v>
      </c>
      <c r="AF6" s="346"/>
      <c r="AG6" s="348" t="s">
        <v>20</v>
      </c>
      <c r="AH6" s="350" t="s">
        <v>21</v>
      </c>
      <c r="AI6" s="348" t="s">
        <v>18</v>
      </c>
      <c r="AJ6" s="361" t="s">
        <v>19</v>
      </c>
      <c r="AK6" s="364" t="s">
        <v>235</v>
      </c>
      <c r="AL6" s="344" t="s">
        <v>43</v>
      </c>
    </row>
    <row r="7" spans="2:38" s="143" customFormat="1" ht="69.95" customHeight="1" thickBot="1" x14ac:dyDescent="0.25">
      <c r="B7" s="130" t="s">
        <v>93</v>
      </c>
      <c r="C7" s="130" t="s">
        <v>46</v>
      </c>
      <c r="D7" s="130" t="s">
        <v>72</v>
      </c>
      <c r="E7" s="130" t="s">
        <v>48</v>
      </c>
      <c r="F7" s="130" t="s">
        <v>74</v>
      </c>
      <c r="G7" s="130" t="s">
        <v>231</v>
      </c>
      <c r="H7" s="130" t="s">
        <v>78</v>
      </c>
      <c r="I7" s="130" t="s">
        <v>49</v>
      </c>
      <c r="J7" s="130" t="s">
        <v>70</v>
      </c>
      <c r="K7" s="130" t="s">
        <v>90</v>
      </c>
      <c r="L7" s="345"/>
      <c r="M7" s="360"/>
      <c r="N7" s="358"/>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190</v>
      </c>
      <c r="AD7" s="140" t="s">
        <v>14</v>
      </c>
      <c r="AE7" s="141" t="s">
        <v>95</v>
      </c>
      <c r="AF7" s="142" t="s">
        <v>17</v>
      </c>
      <c r="AG7" s="349"/>
      <c r="AH7" s="351"/>
      <c r="AI7" s="349"/>
      <c r="AJ7" s="362"/>
      <c r="AK7" s="365"/>
      <c r="AL7" s="345"/>
    </row>
    <row r="8" spans="2:38" s="143" customFormat="1" ht="9.9499999999999993" customHeight="1" thickBot="1" x14ac:dyDescent="0.25">
      <c r="J8" s="143">
        <f>SUM(J9:J83)</f>
        <v>0</v>
      </c>
      <c r="L8" s="144"/>
    </row>
    <row r="9" spans="2:38" ht="30" customHeight="1" x14ac:dyDescent="0.2">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IF(AND(AUXILIAR!$AD$18&lt;1500,OR(EXPEDIENTE!$F$25="",EXPEDIENTE!$F$27="")),"",IF(IFERROR(VLOOKUP(J9,AUXILIAR!$AD$6:$AE$15,2,FALSE),"")="","",VLOOKUP(J9,AUXILIAR!$AD$6:$AE$15,2,FALSE)))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5"/>
      <c r="AF9" s="306"/>
      <c r="AG9" s="161"/>
      <c r="AH9" s="309"/>
      <c r="AI9" s="161"/>
      <c r="AJ9" s="162"/>
      <c r="AK9" s="163"/>
      <c r="AL9" s="164"/>
    </row>
    <row r="10" spans="2:38" ht="30" customHeight="1" x14ac:dyDescent="0.2">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IF(IFERROR(VLOOKUP(J10,AUXILIAR!$AD$6:$AE$15,2,FALSE),"")="","",VLOOKUP(J10,AUXILIAR!$AD$6:$AE$15,2,FALSE))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7"/>
      <c r="AF10" s="160"/>
      <c r="AG10" s="179"/>
      <c r="AH10" s="310"/>
      <c r="AI10" s="179"/>
      <c r="AJ10" s="180"/>
      <c r="AK10" s="181"/>
      <c r="AL10" s="182"/>
    </row>
    <row r="11" spans="2:38" ht="30" customHeight="1" x14ac:dyDescent="0.2">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IF(IFERROR(VLOOKUP(J11,AUXILIAR!$AD$6:$AE$15,2,FALSE),"")="","",VLOOKUP(J11,AUXILIAR!$AD$6:$AE$15,2,FALSE))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7"/>
      <c r="AF11" s="160"/>
      <c r="AG11" s="179"/>
      <c r="AH11" s="310"/>
      <c r="AI11" s="179"/>
      <c r="AJ11" s="180"/>
      <c r="AK11" s="181"/>
      <c r="AL11" s="182"/>
    </row>
    <row r="12" spans="2:38" ht="30" customHeight="1" x14ac:dyDescent="0.2">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IF(IFERROR(VLOOKUP(J12,AUXILIAR!$AD$6:$AE$15,2,FALSE),"")="","",VLOOKUP(J12,AUXILIAR!$AD$6:$AE$15,2,FALSE))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7"/>
      <c r="AF12" s="160"/>
      <c r="AG12" s="179"/>
      <c r="AH12" s="310"/>
      <c r="AI12" s="179"/>
      <c r="AJ12" s="180"/>
      <c r="AK12" s="181"/>
      <c r="AL12" s="182"/>
    </row>
    <row r="13" spans="2:38" ht="30" customHeight="1" x14ac:dyDescent="0.2">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IF(IFERROR(VLOOKUP(J13,AUXILIAR!$AD$6:$AE$15,2,FALSE),"")="","",VLOOKUP(J13,AUXILIAR!$AD$6:$AE$15,2,FALSE))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7"/>
      <c r="AF13" s="160"/>
      <c r="AG13" s="179"/>
      <c r="AH13" s="310"/>
      <c r="AI13" s="179"/>
      <c r="AJ13" s="180"/>
      <c r="AK13" s="181"/>
      <c r="AL13" s="182"/>
    </row>
    <row r="14" spans="2:38" ht="30" customHeight="1" x14ac:dyDescent="0.2">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IF(IFERROR(VLOOKUP(J14,AUXILIAR!$AD$6:$AE$15,2,FALSE),"")="","",VLOOKUP(J14,AUXILIAR!$AD$6:$AE$15,2,FALSE))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7"/>
      <c r="AF14" s="160"/>
      <c r="AG14" s="179"/>
      <c r="AH14" s="310"/>
      <c r="AI14" s="179"/>
      <c r="AJ14" s="180"/>
      <c r="AK14" s="181"/>
      <c r="AL14" s="182"/>
    </row>
    <row r="15" spans="2:38" ht="30" customHeight="1" x14ac:dyDescent="0.2">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IF(IFERROR(VLOOKUP(J15,AUXILIAR!$AD$6:$AE$15,2,FALSE),"")="","",VLOOKUP(J15,AUXILIAR!$AD$6:$AE$15,2,FALSE))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7"/>
      <c r="AF15" s="160"/>
      <c r="AG15" s="179"/>
      <c r="AH15" s="310"/>
      <c r="AI15" s="179"/>
      <c r="AJ15" s="180"/>
      <c r="AK15" s="181"/>
      <c r="AL15" s="182"/>
    </row>
    <row r="16" spans="2:38" ht="30" customHeight="1" x14ac:dyDescent="0.2">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IF(IFERROR(VLOOKUP(J16,AUXILIAR!$AD$6:$AE$15,2,FALSE),"")="","",VLOOKUP(J16,AUXILIAR!$AD$6:$AE$15,2,FALSE))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7"/>
      <c r="AF16" s="160"/>
      <c r="AG16" s="179"/>
      <c r="AH16" s="310"/>
      <c r="AI16" s="179"/>
      <c r="AJ16" s="180"/>
      <c r="AK16" s="181"/>
      <c r="AL16" s="182"/>
    </row>
    <row r="17" spans="2:38" ht="30" customHeight="1" x14ac:dyDescent="0.2">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IF(IFERROR(VLOOKUP(J17,AUXILIAR!$AD$6:$AE$15,2,FALSE),"")="","",VLOOKUP(J17,AUXILIAR!$AD$6:$AE$15,2,FALSE))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7"/>
      <c r="AF17" s="160"/>
      <c r="AG17" s="179"/>
      <c r="AH17" s="310"/>
      <c r="AI17" s="179"/>
      <c r="AJ17" s="180"/>
      <c r="AK17" s="181"/>
      <c r="AL17" s="182"/>
    </row>
    <row r="18" spans="2:38" ht="30" customHeight="1" x14ac:dyDescent="0.2">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IF(IFERROR(VLOOKUP(J18,AUXILIAR!$AD$6:$AE$15,2,FALSE),"")="","",VLOOKUP(J18,AUXILIAR!$AD$6:$AE$15,2,FALSE))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7"/>
      <c r="AF18" s="160"/>
      <c r="AG18" s="179"/>
      <c r="AH18" s="310"/>
      <c r="AI18" s="179"/>
      <c r="AJ18" s="180"/>
      <c r="AK18" s="181"/>
      <c r="AL18" s="182"/>
    </row>
    <row r="19" spans="2:38" ht="30" customHeight="1" x14ac:dyDescent="0.2">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IF(IFERROR(VLOOKUP(J19,AUXILIAR!$AD$6:$AE$15,2,FALSE),"")="","",VLOOKUP(J19,AUXILIAR!$AD$6:$AE$15,2,FALSE))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7"/>
      <c r="AF19" s="160"/>
      <c r="AG19" s="179"/>
      <c r="AH19" s="310"/>
      <c r="AI19" s="179"/>
      <c r="AJ19" s="180"/>
      <c r="AK19" s="181"/>
      <c r="AL19" s="182"/>
    </row>
    <row r="20" spans="2:38" ht="30" customHeight="1" x14ac:dyDescent="0.2">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IF(IFERROR(VLOOKUP(J20,AUXILIAR!$AD$6:$AE$15,2,FALSE),"")="","",VLOOKUP(J20,AUXILIAR!$AD$6:$AE$15,2,FALSE))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7"/>
      <c r="AF20" s="160"/>
      <c r="AG20" s="179"/>
      <c r="AH20" s="310"/>
      <c r="AI20" s="179"/>
      <c r="AJ20" s="180"/>
      <c r="AK20" s="181"/>
      <c r="AL20" s="182"/>
    </row>
    <row r="21" spans="2:38" ht="30" customHeight="1" x14ac:dyDescent="0.2">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IF(IFERROR(VLOOKUP(J21,AUXILIAR!$AD$6:$AE$15,2,FALSE),"")="","",VLOOKUP(J21,AUXILIAR!$AD$6:$AE$15,2,FALSE))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7"/>
      <c r="AF21" s="160"/>
      <c r="AG21" s="179"/>
      <c r="AH21" s="310"/>
      <c r="AI21" s="179"/>
      <c r="AJ21" s="180"/>
      <c r="AK21" s="181"/>
      <c r="AL21" s="182"/>
    </row>
    <row r="22" spans="2:38" ht="30" customHeight="1" x14ac:dyDescent="0.2">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IF(IFERROR(VLOOKUP(J22,AUXILIAR!$AD$6:$AE$15,2,FALSE),"")="","",VLOOKUP(J22,AUXILIAR!$AD$6:$AE$15,2,FALSE))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7"/>
      <c r="AF22" s="160"/>
      <c r="AG22" s="179"/>
      <c r="AH22" s="310"/>
      <c r="AI22" s="179"/>
      <c r="AJ22" s="180"/>
      <c r="AK22" s="181"/>
      <c r="AL22" s="182"/>
    </row>
    <row r="23" spans="2:38" ht="30" customHeight="1" x14ac:dyDescent="0.2">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IF(IFERROR(VLOOKUP(J23,AUXILIAR!$AD$6:$AE$15,2,FALSE),"")="","",VLOOKUP(J23,AUXILIAR!$AD$6:$AE$15,2,FALSE))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7"/>
      <c r="AF23" s="160"/>
      <c r="AG23" s="179"/>
      <c r="AH23" s="310"/>
      <c r="AI23" s="179"/>
      <c r="AJ23" s="180"/>
      <c r="AK23" s="181"/>
      <c r="AL23" s="182"/>
    </row>
    <row r="24" spans="2:38" ht="30" customHeight="1" x14ac:dyDescent="0.2">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IF(IFERROR(VLOOKUP(J24,AUXILIAR!$AD$6:$AE$15,2,FALSE),"")="","",VLOOKUP(J24,AUXILIAR!$AD$6:$AE$15,2,FALSE))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7"/>
      <c r="AF24" s="160"/>
      <c r="AG24" s="179"/>
      <c r="AH24" s="310"/>
      <c r="AI24" s="179"/>
      <c r="AJ24" s="180"/>
      <c r="AK24" s="181"/>
      <c r="AL24" s="182"/>
    </row>
    <row r="25" spans="2:38" ht="30" customHeight="1" x14ac:dyDescent="0.2">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IF(IFERROR(VLOOKUP(J25,AUXILIAR!$AD$6:$AE$15,2,FALSE),"")="","",VLOOKUP(J25,AUXILIAR!$AD$6:$AE$15,2,FALSE))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7"/>
      <c r="AF25" s="160"/>
      <c r="AG25" s="179"/>
      <c r="AH25" s="310"/>
      <c r="AI25" s="179"/>
      <c r="AJ25" s="180"/>
      <c r="AK25" s="181"/>
      <c r="AL25" s="182"/>
    </row>
    <row r="26" spans="2:38" ht="30" customHeight="1" x14ac:dyDescent="0.2">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IF(IFERROR(VLOOKUP(J26,AUXILIAR!$AD$6:$AE$15,2,FALSE),"")="","",VLOOKUP(J26,AUXILIAR!$AD$6:$AE$15,2,FALSE))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7"/>
      <c r="AF26" s="160"/>
      <c r="AG26" s="179"/>
      <c r="AH26" s="310"/>
      <c r="AI26" s="179"/>
      <c r="AJ26" s="180"/>
      <c r="AK26" s="181"/>
      <c r="AL26" s="182"/>
    </row>
    <row r="27" spans="2:38" ht="30" customHeight="1" x14ac:dyDescent="0.2">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IF(IFERROR(VLOOKUP(J27,AUXILIAR!$AD$6:$AE$15,2,FALSE),"")="","",VLOOKUP(J27,AUXILIAR!$AD$6:$AE$15,2,FALSE))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7"/>
      <c r="AF27" s="160"/>
      <c r="AG27" s="179"/>
      <c r="AH27" s="310"/>
      <c r="AI27" s="179"/>
      <c r="AJ27" s="180"/>
      <c r="AK27" s="181"/>
      <c r="AL27" s="182"/>
    </row>
    <row r="28" spans="2:38" ht="30" customHeight="1" x14ac:dyDescent="0.2">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IF(IFERROR(VLOOKUP(J28,AUXILIAR!$AD$6:$AE$15,2,FALSE),"")="","",VLOOKUP(J28,AUXILIAR!$AD$6:$AE$15,2,FALSE))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7"/>
      <c r="AF28" s="160"/>
      <c r="AG28" s="179"/>
      <c r="AH28" s="310"/>
      <c r="AI28" s="179"/>
      <c r="AJ28" s="180"/>
      <c r="AK28" s="181"/>
      <c r="AL28" s="182"/>
    </row>
    <row r="29" spans="2:38" ht="30" customHeight="1" x14ac:dyDescent="0.2">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IF(IFERROR(VLOOKUP(J29,AUXILIAR!$AD$6:$AE$15,2,FALSE),"")="","",VLOOKUP(J29,AUXILIAR!$AD$6:$AE$15,2,FALSE))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7"/>
      <c r="AF29" s="160"/>
      <c r="AG29" s="179"/>
      <c r="AH29" s="310"/>
      <c r="AI29" s="179"/>
      <c r="AJ29" s="180"/>
      <c r="AK29" s="181"/>
      <c r="AL29" s="182"/>
    </row>
    <row r="30" spans="2:38" ht="30" customHeight="1" x14ac:dyDescent="0.2">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IF(IFERROR(VLOOKUP(J30,AUXILIAR!$AD$6:$AE$15,2,FALSE),"")="","",VLOOKUP(J30,AUXILIAR!$AD$6:$AE$15,2,FALSE))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7"/>
      <c r="AF30" s="160"/>
      <c r="AG30" s="179"/>
      <c r="AH30" s="310"/>
      <c r="AI30" s="179"/>
      <c r="AJ30" s="180"/>
      <c r="AK30" s="181"/>
      <c r="AL30" s="182"/>
    </row>
    <row r="31" spans="2:38" ht="30" customHeight="1" x14ac:dyDescent="0.2">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IF(IFERROR(VLOOKUP(J31,AUXILIAR!$AD$6:$AE$15,2,FALSE),"")="","",VLOOKUP(J31,AUXILIAR!$AD$6:$AE$15,2,FALSE))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7"/>
      <c r="AF31" s="160"/>
      <c r="AG31" s="179"/>
      <c r="AH31" s="310"/>
      <c r="AI31" s="179"/>
      <c r="AJ31" s="180"/>
      <c r="AK31" s="181"/>
      <c r="AL31" s="182"/>
    </row>
    <row r="32" spans="2:38" ht="30" customHeight="1" x14ac:dyDescent="0.2">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IF(IFERROR(VLOOKUP(J32,AUXILIAR!$AD$6:$AE$15,2,FALSE),"")="","",VLOOKUP(J32,AUXILIAR!$AD$6:$AE$15,2,FALSE))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7"/>
      <c r="AF32" s="160"/>
      <c r="AG32" s="179"/>
      <c r="AH32" s="310"/>
      <c r="AI32" s="179"/>
      <c r="AJ32" s="180"/>
      <c r="AK32" s="181"/>
      <c r="AL32" s="182"/>
    </row>
    <row r="33" spans="2:38" ht="30" customHeight="1" x14ac:dyDescent="0.2">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IF(IFERROR(VLOOKUP(J33,AUXILIAR!$AD$6:$AE$15,2,FALSE),"")="","",VLOOKUP(J33,AUXILIAR!$AD$6:$AE$15,2,FALSE))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7"/>
      <c r="AF33" s="160"/>
      <c r="AG33" s="179"/>
      <c r="AH33" s="310"/>
      <c r="AI33" s="179"/>
      <c r="AJ33" s="180"/>
      <c r="AK33" s="181"/>
      <c r="AL33" s="182"/>
    </row>
    <row r="34" spans="2:38" ht="30" customHeight="1" x14ac:dyDescent="0.2">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IF(IFERROR(VLOOKUP(J34,AUXILIAR!$AD$6:$AE$15,2,FALSE),"")="","",VLOOKUP(J34,AUXILIAR!$AD$6:$AE$15,2,FALSE))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7"/>
      <c r="AF34" s="160"/>
      <c r="AG34" s="179"/>
      <c r="AH34" s="310"/>
      <c r="AI34" s="179"/>
      <c r="AJ34" s="180"/>
      <c r="AK34" s="181"/>
      <c r="AL34" s="182"/>
    </row>
    <row r="35" spans="2:38" ht="30" customHeight="1" x14ac:dyDescent="0.2">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IF(IFERROR(VLOOKUP(J35,AUXILIAR!$AD$6:$AE$15,2,FALSE),"")="","",VLOOKUP(J35,AUXILIAR!$AD$6:$AE$15,2,FALSE))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7"/>
      <c r="AF35" s="160"/>
      <c r="AG35" s="179"/>
      <c r="AH35" s="310"/>
      <c r="AI35" s="179"/>
      <c r="AJ35" s="180"/>
      <c r="AK35" s="181"/>
      <c r="AL35" s="182"/>
    </row>
    <row r="36" spans="2:38" ht="30" customHeight="1" x14ac:dyDescent="0.2">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IF(IFERROR(VLOOKUP(J36,AUXILIAR!$AD$6:$AE$15,2,FALSE),"")="","",VLOOKUP(J36,AUXILIAR!$AD$6:$AE$15,2,FALSE))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7"/>
      <c r="AF36" s="160"/>
      <c r="AG36" s="179"/>
      <c r="AH36" s="310"/>
      <c r="AI36" s="179"/>
      <c r="AJ36" s="180"/>
      <c r="AK36" s="181"/>
      <c r="AL36" s="182"/>
    </row>
    <row r="37" spans="2:38" ht="30" customHeight="1" x14ac:dyDescent="0.2">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IF(IFERROR(VLOOKUP(J37,AUXILIAR!$AD$6:$AE$15,2,FALSE),"")="","",VLOOKUP(J37,AUXILIAR!$AD$6:$AE$15,2,FALSE))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7"/>
      <c r="AF37" s="160"/>
      <c r="AG37" s="179"/>
      <c r="AH37" s="310"/>
      <c r="AI37" s="179"/>
      <c r="AJ37" s="180"/>
      <c r="AK37" s="181"/>
      <c r="AL37" s="182"/>
    </row>
    <row r="38" spans="2:38" ht="30" customHeight="1" x14ac:dyDescent="0.2">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IF(IFERROR(VLOOKUP(J38,AUXILIAR!$AD$6:$AE$15,2,FALSE),"")="","",VLOOKUP(J38,AUXILIAR!$AD$6:$AE$15,2,FALSE))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7"/>
      <c r="AF38" s="160"/>
      <c r="AG38" s="179"/>
      <c r="AH38" s="310"/>
      <c r="AI38" s="179"/>
      <c r="AJ38" s="180"/>
      <c r="AK38" s="181"/>
      <c r="AL38" s="182"/>
    </row>
    <row r="39" spans="2:38" ht="30" customHeight="1" x14ac:dyDescent="0.2">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IF(IFERROR(VLOOKUP(J39,AUXILIAR!$AD$6:$AE$15,2,FALSE),"")="","",VLOOKUP(J39,AUXILIAR!$AD$6:$AE$15,2,FALSE))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7"/>
      <c r="AF39" s="160"/>
      <c r="AG39" s="179"/>
      <c r="AH39" s="310"/>
      <c r="AI39" s="179"/>
      <c r="AJ39" s="180"/>
      <c r="AK39" s="181"/>
      <c r="AL39" s="182"/>
    </row>
    <row r="40" spans="2:38" ht="30" customHeight="1" x14ac:dyDescent="0.2">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IF(IFERROR(VLOOKUP(J40,AUXILIAR!$AD$6:$AE$15,2,FALSE),"")="","",VLOOKUP(J40,AUXILIAR!$AD$6:$AE$15,2,FALSE))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7"/>
      <c r="AF40" s="160"/>
      <c r="AG40" s="179"/>
      <c r="AH40" s="310"/>
      <c r="AI40" s="179"/>
      <c r="AJ40" s="180"/>
      <c r="AK40" s="181"/>
      <c r="AL40" s="182"/>
    </row>
    <row r="41" spans="2:38" ht="30" customHeight="1" x14ac:dyDescent="0.2">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IF(IFERROR(VLOOKUP(J41,AUXILIAR!$AD$6:$AE$15,2,FALSE),"")="","",VLOOKUP(J41,AUXILIAR!$AD$6:$AE$15,2,FALSE))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7"/>
      <c r="AF41" s="160"/>
      <c r="AG41" s="179"/>
      <c r="AH41" s="310"/>
      <c r="AI41" s="179"/>
      <c r="AJ41" s="180"/>
      <c r="AK41" s="181"/>
      <c r="AL41" s="182"/>
    </row>
    <row r="42" spans="2:38" ht="30" customHeight="1" x14ac:dyDescent="0.2">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IF(IFERROR(VLOOKUP(J42,AUXILIAR!$AD$6:$AE$15,2,FALSE),"")="","",VLOOKUP(J42,AUXILIAR!$AD$6:$AE$15,2,FALSE))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7"/>
      <c r="AF42" s="160"/>
      <c r="AG42" s="179"/>
      <c r="AH42" s="310"/>
      <c r="AI42" s="179"/>
      <c r="AJ42" s="180"/>
      <c r="AK42" s="181"/>
      <c r="AL42" s="182"/>
    </row>
    <row r="43" spans="2:38" ht="30" customHeight="1" x14ac:dyDescent="0.2">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IF(IFERROR(VLOOKUP(J43,AUXILIAR!$AD$6:$AE$15,2,FALSE),"")="","",VLOOKUP(J43,AUXILIAR!$AD$6:$AE$15,2,FALSE))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7"/>
      <c r="AF43" s="160"/>
      <c r="AG43" s="179"/>
      <c r="AH43" s="310"/>
      <c r="AI43" s="179"/>
      <c r="AJ43" s="180"/>
      <c r="AK43" s="181"/>
      <c r="AL43" s="182"/>
    </row>
    <row r="44" spans="2:38" ht="30" customHeight="1" x14ac:dyDescent="0.2">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IF(IFERROR(VLOOKUP(J44,AUXILIAR!$AD$6:$AE$15,2,FALSE),"")="","",VLOOKUP(J44,AUXILIAR!$AD$6:$AE$15,2,FALSE))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7"/>
      <c r="AF44" s="160"/>
      <c r="AG44" s="179"/>
      <c r="AH44" s="310"/>
      <c r="AI44" s="179"/>
      <c r="AJ44" s="180"/>
      <c r="AK44" s="181"/>
      <c r="AL44" s="182"/>
    </row>
    <row r="45" spans="2:38" ht="30" customHeight="1" x14ac:dyDescent="0.2">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IF(IFERROR(VLOOKUP(J45,AUXILIAR!$AD$6:$AE$15,2,FALSE),"")="","",VLOOKUP(J45,AUXILIAR!$AD$6:$AE$15,2,FALSE))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7"/>
      <c r="AF45" s="160"/>
      <c r="AG45" s="179"/>
      <c r="AH45" s="310"/>
      <c r="AI45" s="179"/>
      <c r="AJ45" s="180"/>
      <c r="AK45" s="181"/>
      <c r="AL45" s="182"/>
    </row>
    <row r="46" spans="2:38" ht="30" customHeight="1" x14ac:dyDescent="0.2">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IF(IFERROR(VLOOKUP(J46,AUXILIAR!$AD$6:$AE$15,2,FALSE),"")="","",VLOOKUP(J46,AUXILIAR!$AD$6:$AE$15,2,FALSE))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7"/>
      <c r="AF46" s="160"/>
      <c r="AG46" s="179"/>
      <c r="AH46" s="310"/>
      <c r="AI46" s="179"/>
      <c r="AJ46" s="180"/>
      <c r="AK46" s="181"/>
      <c r="AL46" s="182"/>
    </row>
    <row r="47" spans="2:38" ht="30" customHeight="1" x14ac:dyDescent="0.2">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IF(IFERROR(VLOOKUP(J47,AUXILIAR!$AD$6:$AE$15,2,FALSE),"")="","",VLOOKUP(J47,AUXILIAR!$AD$6:$AE$15,2,FALSE))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7"/>
      <c r="AF47" s="160"/>
      <c r="AG47" s="179"/>
      <c r="AH47" s="310"/>
      <c r="AI47" s="179"/>
      <c r="AJ47" s="180"/>
      <c r="AK47" s="181"/>
      <c r="AL47" s="182"/>
    </row>
    <row r="48" spans="2:38" ht="30" customHeight="1" x14ac:dyDescent="0.2">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IF(IFERROR(VLOOKUP(J48,AUXILIAR!$AD$6:$AE$15,2,FALSE),"")="","",VLOOKUP(J48,AUXILIAR!$AD$6:$AE$15,2,FALSE))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7"/>
      <c r="AF48" s="160"/>
      <c r="AG48" s="193"/>
      <c r="AH48" s="311"/>
      <c r="AI48" s="179"/>
      <c r="AJ48" s="180"/>
      <c r="AK48" s="181"/>
      <c r="AL48" s="194"/>
    </row>
    <row r="49" spans="2:38" ht="30" customHeight="1" x14ac:dyDescent="0.2">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IF(IFERROR(VLOOKUP(J49,AUXILIAR!$AD$6:$AE$15,2,FALSE),"")="","",VLOOKUP(J49,AUXILIAR!$AD$6:$AE$15,2,FALSE))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7"/>
      <c r="AF49" s="160"/>
      <c r="AG49" s="193"/>
      <c r="AH49" s="311"/>
      <c r="AI49" s="179"/>
      <c r="AJ49" s="180"/>
      <c r="AK49" s="181"/>
      <c r="AL49" s="194"/>
    </row>
    <row r="50" spans="2:38" ht="30" customHeight="1" x14ac:dyDescent="0.2">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IF(IFERROR(VLOOKUP(J50,AUXILIAR!$AD$6:$AE$15,2,FALSE),"")="","",VLOOKUP(J50,AUXILIAR!$AD$6:$AE$15,2,FALSE))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7"/>
      <c r="AF50" s="160"/>
      <c r="AG50" s="193"/>
      <c r="AH50" s="311"/>
      <c r="AI50" s="179"/>
      <c r="AJ50" s="180"/>
      <c r="AK50" s="181"/>
      <c r="AL50" s="194"/>
    </row>
    <row r="51" spans="2:38" ht="30" customHeight="1" x14ac:dyDescent="0.2">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IF(IFERROR(VLOOKUP(J51,AUXILIAR!$AD$6:$AE$15,2,FALSE),"")="","",VLOOKUP(J51,AUXILIAR!$AD$6:$AE$15,2,FALSE))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7"/>
      <c r="AF51" s="160"/>
      <c r="AG51" s="193"/>
      <c r="AH51" s="311"/>
      <c r="AI51" s="179"/>
      <c r="AJ51" s="180"/>
      <c r="AK51" s="181"/>
      <c r="AL51" s="194"/>
    </row>
    <row r="52" spans="2:38" ht="30" customHeight="1" x14ac:dyDescent="0.2">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IF(IFERROR(VLOOKUP(J52,AUXILIAR!$AD$6:$AE$15,2,FALSE),"")="","",VLOOKUP(J52,AUXILIAR!$AD$6:$AE$15,2,FALSE))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7"/>
      <c r="AF52" s="160"/>
      <c r="AG52" s="193"/>
      <c r="AH52" s="311"/>
      <c r="AI52" s="179"/>
      <c r="AJ52" s="180"/>
      <c r="AK52" s="181"/>
      <c r="AL52" s="194"/>
    </row>
    <row r="53" spans="2:38" ht="30" customHeight="1" x14ac:dyDescent="0.2">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IF(IFERROR(VLOOKUP(J53,AUXILIAR!$AD$6:$AE$15,2,FALSE),"")="","",VLOOKUP(J53,AUXILIAR!$AD$6:$AE$15,2,FALSE))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7"/>
      <c r="AF53" s="160"/>
      <c r="AG53" s="193"/>
      <c r="AH53" s="311"/>
      <c r="AI53" s="179"/>
      <c r="AJ53" s="180"/>
      <c r="AK53" s="181"/>
      <c r="AL53" s="194"/>
    </row>
    <row r="54" spans="2:38" ht="30" customHeight="1" x14ac:dyDescent="0.2">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IF(IFERROR(VLOOKUP(J54,AUXILIAR!$AD$6:$AE$15,2,FALSE),"")="","",VLOOKUP(J54,AUXILIAR!$AD$6:$AE$15,2,FALSE))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7"/>
      <c r="AF54" s="160"/>
      <c r="AG54" s="193"/>
      <c r="AH54" s="311"/>
      <c r="AI54" s="179"/>
      <c r="AJ54" s="180"/>
      <c r="AK54" s="181"/>
      <c r="AL54" s="194"/>
    </row>
    <row r="55" spans="2:38" ht="30" customHeight="1" x14ac:dyDescent="0.2">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IF(IFERROR(VLOOKUP(J55,AUXILIAR!$AD$6:$AE$15,2,FALSE),"")="","",VLOOKUP(J55,AUXILIAR!$AD$6:$AE$15,2,FALSE))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7"/>
      <c r="AF55" s="160"/>
      <c r="AG55" s="193"/>
      <c r="AH55" s="311"/>
      <c r="AI55" s="179"/>
      <c r="AJ55" s="180"/>
      <c r="AK55" s="181"/>
      <c r="AL55" s="194"/>
    </row>
    <row r="56" spans="2:38" ht="30" customHeight="1" x14ac:dyDescent="0.2">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IF(IFERROR(VLOOKUP(J56,AUXILIAR!$AD$6:$AE$15,2,FALSE),"")="","",VLOOKUP(J56,AUXILIAR!$AD$6:$AE$15,2,FALSE))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7"/>
      <c r="AF56" s="160"/>
      <c r="AG56" s="193"/>
      <c r="AH56" s="311"/>
      <c r="AI56" s="179"/>
      <c r="AJ56" s="180"/>
      <c r="AK56" s="181"/>
      <c r="AL56" s="194"/>
    </row>
    <row r="57" spans="2:38" ht="30" customHeight="1" x14ac:dyDescent="0.2">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IF(IFERROR(VLOOKUP(J57,AUXILIAR!$AD$6:$AE$15,2,FALSE),"")="","",VLOOKUP(J57,AUXILIAR!$AD$6:$AE$15,2,FALSE))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7"/>
      <c r="AF57" s="160"/>
      <c r="AG57" s="193"/>
      <c r="AH57" s="311"/>
      <c r="AI57" s="179"/>
      <c r="AJ57" s="180"/>
      <c r="AK57" s="181"/>
      <c r="AL57" s="194"/>
    </row>
    <row r="58" spans="2:38" ht="30" customHeight="1" x14ac:dyDescent="0.2">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IF(IFERROR(VLOOKUP(J58,AUXILIAR!$AD$6:$AE$15,2,FALSE),"")="","",VLOOKUP(J58,AUXILIAR!$AD$6:$AE$15,2,FALSE))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7"/>
      <c r="AF58" s="160"/>
      <c r="AG58" s="193"/>
      <c r="AH58" s="311"/>
      <c r="AI58" s="179"/>
      <c r="AJ58" s="180"/>
      <c r="AK58" s="181"/>
      <c r="AL58" s="194"/>
    </row>
    <row r="59" spans="2:38" ht="30" customHeight="1" x14ac:dyDescent="0.2">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IF(IFERROR(VLOOKUP(J59,AUXILIAR!$AD$6:$AE$15,2,FALSE),"")="","",VLOOKUP(J59,AUXILIAR!$AD$6:$AE$15,2,FALSE))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7"/>
      <c r="AF59" s="160"/>
      <c r="AG59" s="193"/>
      <c r="AH59" s="311"/>
      <c r="AI59" s="179"/>
      <c r="AJ59" s="180"/>
      <c r="AK59" s="181"/>
      <c r="AL59" s="194"/>
    </row>
    <row r="60" spans="2:38" ht="30" customHeight="1" x14ac:dyDescent="0.2">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IF(IFERROR(VLOOKUP(J60,AUXILIAR!$AD$6:$AE$15,2,FALSE),"")="","",VLOOKUP(J60,AUXILIAR!$AD$6:$AE$15,2,FALSE))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7"/>
      <c r="AF60" s="160"/>
      <c r="AG60" s="193"/>
      <c r="AH60" s="311"/>
      <c r="AI60" s="179"/>
      <c r="AJ60" s="180"/>
      <c r="AK60" s="181"/>
      <c r="AL60" s="194"/>
    </row>
    <row r="61" spans="2:38" ht="30" customHeight="1" x14ac:dyDescent="0.2">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IF(IFERROR(VLOOKUP(J61,AUXILIAR!$AD$6:$AE$15,2,FALSE),"")="","",VLOOKUP(J61,AUXILIAR!$AD$6:$AE$15,2,FALSE))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7"/>
      <c r="AF61" s="160"/>
      <c r="AG61" s="193"/>
      <c r="AH61" s="311"/>
      <c r="AI61" s="179"/>
      <c r="AJ61" s="180"/>
      <c r="AK61" s="181"/>
      <c r="AL61" s="194"/>
    </row>
    <row r="62" spans="2:38" ht="30" customHeight="1" x14ac:dyDescent="0.2">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IF(IFERROR(VLOOKUP(J62,AUXILIAR!$AD$6:$AE$15,2,FALSE),"")="","",VLOOKUP(J62,AUXILIAR!$AD$6:$AE$15,2,FALSE))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7"/>
      <c r="AF62" s="160"/>
      <c r="AG62" s="193"/>
      <c r="AH62" s="311"/>
      <c r="AI62" s="179"/>
      <c r="AJ62" s="180"/>
      <c r="AK62" s="181"/>
      <c r="AL62" s="194"/>
    </row>
    <row r="63" spans="2:38" ht="30" customHeight="1" x14ac:dyDescent="0.2">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IF(IFERROR(VLOOKUP(J63,AUXILIAR!$AD$6:$AE$15,2,FALSE),"")="","",VLOOKUP(J63,AUXILIAR!$AD$6:$AE$15,2,FALSE))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7"/>
      <c r="AF63" s="160"/>
      <c r="AG63" s="193"/>
      <c r="AH63" s="311"/>
      <c r="AI63" s="179"/>
      <c r="AJ63" s="180"/>
      <c r="AK63" s="181"/>
      <c r="AL63" s="194"/>
    </row>
    <row r="64" spans="2:38" ht="30" customHeight="1" x14ac:dyDescent="0.2">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IF(IFERROR(VLOOKUP(J64,AUXILIAR!$AD$6:$AE$15,2,FALSE),"")="","",VLOOKUP(J64,AUXILIAR!$AD$6:$AE$15,2,FALSE))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7"/>
      <c r="AF64" s="160"/>
      <c r="AG64" s="193"/>
      <c r="AH64" s="311"/>
      <c r="AI64" s="179"/>
      <c r="AJ64" s="180"/>
      <c r="AK64" s="181"/>
      <c r="AL64" s="194"/>
    </row>
    <row r="65" spans="2:38" ht="30" customHeight="1" x14ac:dyDescent="0.2">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IF(IFERROR(VLOOKUP(J65,AUXILIAR!$AD$6:$AE$15,2,FALSE),"")="","",VLOOKUP(J65,AUXILIAR!$AD$6:$AE$15,2,FALSE))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7"/>
      <c r="AF65" s="160"/>
      <c r="AG65" s="193"/>
      <c r="AH65" s="311"/>
      <c r="AI65" s="179"/>
      <c r="AJ65" s="180"/>
      <c r="AK65" s="181"/>
      <c r="AL65" s="194"/>
    </row>
    <row r="66" spans="2:38" ht="30" customHeight="1" x14ac:dyDescent="0.2">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IF(IFERROR(VLOOKUP(J66,AUXILIAR!$AD$6:$AE$15,2,FALSE),"")="","",VLOOKUP(J66,AUXILIAR!$AD$6:$AE$15,2,FALSE))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7"/>
      <c r="AF66" s="160"/>
      <c r="AG66" s="193"/>
      <c r="AH66" s="311"/>
      <c r="AI66" s="179"/>
      <c r="AJ66" s="180"/>
      <c r="AK66" s="181"/>
      <c r="AL66" s="194"/>
    </row>
    <row r="67" spans="2:38" ht="30" customHeight="1" x14ac:dyDescent="0.2">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IF(IFERROR(VLOOKUP(J67,AUXILIAR!$AD$6:$AE$15,2,FALSE),"")="","",VLOOKUP(J67,AUXILIAR!$AD$6:$AE$15,2,FALSE))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7"/>
      <c r="AF67" s="160"/>
      <c r="AG67" s="193"/>
      <c r="AH67" s="311"/>
      <c r="AI67" s="179"/>
      <c r="AJ67" s="180"/>
      <c r="AK67" s="181"/>
      <c r="AL67" s="194"/>
    </row>
    <row r="68" spans="2:38" ht="30" customHeight="1" x14ac:dyDescent="0.2">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IF(IFERROR(VLOOKUP(J68,AUXILIAR!$AD$6:$AE$15,2,FALSE),"")="","",VLOOKUP(J68,AUXILIAR!$AD$6:$AE$15,2,FALSE))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7"/>
      <c r="AF68" s="160"/>
      <c r="AG68" s="193"/>
      <c r="AH68" s="311"/>
      <c r="AI68" s="179"/>
      <c r="AJ68" s="180"/>
      <c r="AK68" s="181"/>
      <c r="AL68" s="194"/>
    </row>
    <row r="69" spans="2:38" ht="30" customHeight="1" x14ac:dyDescent="0.2">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IF(IFERROR(VLOOKUP(J69,AUXILIAR!$AD$6:$AE$15,2,FALSE),"")="","",VLOOKUP(J69,AUXILIAR!$AD$6:$AE$15,2,FALSE))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7"/>
      <c r="AF69" s="160"/>
      <c r="AG69" s="193"/>
      <c r="AH69" s="311"/>
      <c r="AI69" s="179"/>
      <c r="AJ69" s="180"/>
      <c r="AK69" s="181"/>
      <c r="AL69" s="194"/>
    </row>
    <row r="70" spans="2:38" ht="30" customHeight="1" x14ac:dyDescent="0.2">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IF(IFERROR(VLOOKUP(J70,AUXILIAR!$AD$6:$AE$15,2,FALSE),"")="","",VLOOKUP(J70,AUXILIAR!$AD$6:$AE$15,2,FALSE))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7"/>
      <c r="AF70" s="160"/>
      <c r="AG70" s="193"/>
      <c r="AH70" s="311"/>
      <c r="AI70" s="179"/>
      <c r="AJ70" s="180"/>
      <c r="AK70" s="181"/>
      <c r="AL70" s="194"/>
    </row>
    <row r="71" spans="2:38" ht="30" customHeight="1" x14ac:dyDescent="0.2">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IF(IFERROR(VLOOKUP(J71,AUXILIAR!$AD$6:$AE$15,2,FALSE),"")="","",VLOOKUP(J71,AUXILIAR!$AD$6:$AE$15,2,FALSE))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7"/>
      <c r="AF71" s="160"/>
      <c r="AG71" s="193"/>
      <c r="AH71" s="311"/>
      <c r="AI71" s="179"/>
      <c r="AJ71" s="180"/>
      <c r="AK71" s="181"/>
      <c r="AL71" s="194"/>
    </row>
    <row r="72" spans="2:38" ht="30" customHeight="1" x14ac:dyDescent="0.2">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IF(IFERROR(VLOOKUP(J72,AUXILIAR!$AD$6:$AE$15,2,FALSE),"")="","",VLOOKUP(J72,AUXILIAR!$AD$6:$AE$15,2,FALSE))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7"/>
      <c r="AF72" s="160"/>
      <c r="AG72" s="193"/>
      <c r="AH72" s="311"/>
      <c r="AI72" s="179"/>
      <c r="AJ72" s="180"/>
      <c r="AK72" s="181"/>
      <c r="AL72" s="194"/>
    </row>
    <row r="73" spans="2:38" ht="30" customHeight="1" x14ac:dyDescent="0.2">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IF(IFERROR(VLOOKUP(J73,AUXILIAR!$AD$6:$AE$15,2,FALSE),"")="","",VLOOKUP(J73,AUXILIAR!$AD$6:$AE$15,2,FALSE))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7"/>
      <c r="AF73" s="160"/>
      <c r="AG73" s="193"/>
      <c r="AH73" s="311"/>
      <c r="AI73" s="179"/>
      <c r="AJ73" s="180"/>
      <c r="AK73" s="181"/>
      <c r="AL73" s="194"/>
    </row>
    <row r="74" spans="2:38" ht="30" customHeight="1" x14ac:dyDescent="0.2">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IF(IFERROR(VLOOKUP(J74,AUXILIAR!$AD$6:$AE$15,2,FALSE),"")="","",VLOOKUP(J74,AUXILIAR!$AD$6:$AE$15,2,FALSE))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7"/>
      <c r="AF74" s="160"/>
      <c r="AG74" s="193"/>
      <c r="AH74" s="311"/>
      <c r="AI74" s="179"/>
      <c r="AJ74" s="180"/>
      <c r="AK74" s="181"/>
      <c r="AL74" s="194"/>
    </row>
    <row r="75" spans="2:38" ht="30" customHeight="1" x14ac:dyDescent="0.2">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IF(IFERROR(VLOOKUP(J75,AUXILIAR!$AD$6:$AE$15,2,FALSE),"")="","",VLOOKUP(J75,AUXILIAR!$AD$6:$AE$15,2,FALSE))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7"/>
      <c r="AF75" s="160"/>
      <c r="AG75" s="193"/>
      <c r="AH75" s="311"/>
      <c r="AI75" s="179"/>
      <c r="AJ75" s="180"/>
      <c r="AK75" s="181"/>
      <c r="AL75" s="194"/>
    </row>
    <row r="76" spans="2:38" ht="30" customHeight="1" x14ac:dyDescent="0.2">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IF(IFERROR(VLOOKUP(J76,AUXILIAR!$AD$6:$AE$15,2,FALSE),"")="","",VLOOKUP(J76,AUXILIAR!$AD$6:$AE$15,2,FALSE))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7"/>
      <c r="AF76" s="160"/>
      <c r="AG76" s="193"/>
      <c r="AH76" s="311"/>
      <c r="AI76" s="179"/>
      <c r="AJ76" s="180"/>
      <c r="AK76" s="181"/>
      <c r="AL76" s="194"/>
    </row>
    <row r="77" spans="2:38" ht="30" customHeight="1" x14ac:dyDescent="0.2">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IF(IFERROR(VLOOKUP(J77,AUXILIAR!$AD$6:$AE$15,2,FALSE),"")="","",VLOOKUP(J77,AUXILIAR!$AD$6:$AE$15,2,FALSE))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7"/>
      <c r="AF77" s="160"/>
      <c r="AG77" s="193"/>
      <c r="AH77" s="311"/>
      <c r="AI77" s="179"/>
      <c r="AJ77" s="180"/>
      <c r="AK77" s="181"/>
      <c r="AL77" s="194"/>
    </row>
    <row r="78" spans="2:38" ht="30" customHeight="1" x14ac:dyDescent="0.2">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IF(IFERROR(VLOOKUP(J78,AUXILIAR!$AD$6:$AE$15,2,FALSE),"")="","",VLOOKUP(J78,AUXILIAR!$AD$6:$AE$15,2,FALSE))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7"/>
      <c r="AF78" s="160"/>
      <c r="AG78" s="193"/>
      <c r="AH78" s="311"/>
      <c r="AI78" s="179"/>
      <c r="AJ78" s="180"/>
      <c r="AK78" s="181"/>
      <c r="AL78" s="194"/>
    </row>
    <row r="79" spans="2:38" ht="30" customHeight="1" x14ac:dyDescent="0.2">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IF(IFERROR(VLOOKUP(J79,AUXILIAR!$AD$6:$AE$15,2,FALSE),"")="","",VLOOKUP(J79,AUXILIAR!$AD$6:$AE$15,2,FALSE))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7"/>
      <c r="AF79" s="160"/>
      <c r="AG79" s="193"/>
      <c r="AH79" s="311"/>
      <c r="AI79" s="179"/>
      <c r="AJ79" s="180"/>
      <c r="AK79" s="181"/>
      <c r="AL79" s="194"/>
    </row>
    <row r="80" spans="2:38" ht="30" customHeight="1" x14ac:dyDescent="0.2">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IF(IFERROR(VLOOKUP(J80,AUXILIAR!$AD$6:$AE$15,2,FALSE),"")="","",VLOOKUP(J80,AUXILIAR!$AD$6:$AE$15,2,FALSE))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7"/>
      <c r="AF80" s="160"/>
      <c r="AG80" s="193"/>
      <c r="AH80" s="311"/>
      <c r="AI80" s="179"/>
      <c r="AJ80" s="180"/>
      <c r="AK80" s="181"/>
      <c r="AL80" s="194"/>
    </row>
    <row r="81" spans="2:38" ht="30" customHeight="1" x14ac:dyDescent="0.2">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IF(IFERROR(VLOOKUP(J81,AUXILIAR!$AD$6:$AE$15,2,FALSE),"")="","",VLOOKUP(J81,AUXILIAR!$AD$6:$AE$15,2,FALSE))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7"/>
      <c r="AF81" s="160"/>
      <c r="AG81" s="193"/>
      <c r="AH81" s="311"/>
      <c r="AI81" s="179"/>
      <c r="AJ81" s="180"/>
      <c r="AK81" s="181"/>
      <c r="AL81" s="194"/>
    </row>
    <row r="82" spans="2:38" ht="30" customHeight="1" x14ac:dyDescent="0.2">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IF(IFERROR(VLOOKUP(J82,AUXILIAR!$AD$6:$AE$15,2,FALSE),"")="","",VLOOKUP(J82,AUXILIAR!$AD$6:$AE$15,2,FALSE))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7"/>
      <c r="AF82" s="160"/>
      <c r="AG82" s="193"/>
      <c r="AH82" s="311"/>
      <c r="AI82" s="179"/>
      <c r="AJ82" s="180"/>
      <c r="AK82" s="181"/>
      <c r="AL82" s="194"/>
    </row>
    <row r="83" spans="2:38" ht="30" customHeight="1" thickBot="1" x14ac:dyDescent="0.25">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5" t="str">
        <f>IF(IFERROR(VLOOKUP(J83,AUXILIAR!$AD$6:$AE$15,2,FALSE),"")="","",VLOOKUP(J83,AUXILIAR!$AD$6:$AE$15,2,FALSE))</f>
        <v/>
      </c>
      <c r="M83" s="196">
        <v>75</v>
      </c>
      <c r="N83" s="147" t="str">
        <f t="shared" si="4"/>
        <v/>
      </c>
      <c r="O83" s="197"/>
      <c r="P83" s="198"/>
      <c r="Q83" s="199"/>
      <c r="R83" s="200"/>
      <c r="S83" s="201"/>
      <c r="T83" s="200"/>
      <c r="U83" s="200"/>
      <c r="V83" s="202"/>
      <c r="W83" s="203"/>
      <c r="X83" s="204"/>
      <c r="Y83" s="205"/>
      <c r="Z83" s="206"/>
      <c r="AA83" s="207">
        <f t="shared" si="5"/>
        <v>0</v>
      </c>
      <c r="AB83" s="206"/>
      <c r="AC83" s="207">
        <f t="shared" si="12"/>
        <v>0</v>
      </c>
      <c r="AD83" s="208">
        <f t="shared" si="13"/>
        <v>0</v>
      </c>
      <c r="AE83" s="308"/>
      <c r="AF83" s="209"/>
      <c r="AG83" s="210"/>
      <c r="AH83" s="312"/>
      <c r="AI83" s="210"/>
      <c r="AJ83" s="211"/>
      <c r="AK83" s="212"/>
      <c r="AL83" s="213"/>
    </row>
    <row r="84" spans="2:38" s="127" customFormat="1" ht="30" customHeight="1" x14ac:dyDescent="0.2">
      <c r="L84" s="301" t="s">
        <v>227</v>
      </c>
      <c r="M84" s="301" t="s">
        <v>227</v>
      </c>
      <c r="N84" s="301" t="s">
        <v>226</v>
      </c>
      <c r="O84" s="301" t="s">
        <v>227</v>
      </c>
      <c r="P84" s="301" t="s">
        <v>227</v>
      </c>
      <c r="Q84" s="301" t="s">
        <v>227</v>
      </c>
      <c r="R84" s="301" t="s">
        <v>227</v>
      </c>
      <c r="S84" s="301" t="s">
        <v>227</v>
      </c>
      <c r="T84" s="301" t="s">
        <v>227</v>
      </c>
      <c r="U84" s="214" t="s">
        <v>6</v>
      </c>
      <c r="V84" s="301" t="s">
        <v>227</v>
      </c>
      <c r="W84" s="215">
        <f>SUMIF($O$9:$O$83,"NUEVA FACTURA",W9:W83)</f>
        <v>0</v>
      </c>
      <c r="X84" s="215">
        <f>SUMIF($O$9:$O$83,"NUEVA FACTURA",X9:X83)</f>
        <v>0</v>
      </c>
      <c r="Y84" s="215">
        <f>IF(OR(USUARIO!$C$2="",AUXILIAR!$AH$6&lt;&gt;USUARIO!$C$2),0,SUMIF($O$9:$O$83,"NUEVA FACTURA",Y9:Y83)+SUMIF($O$9:$O$83,"SEGUNDO PAGO O POSTERIORES",Y9:Y83))</f>
        <v>0</v>
      </c>
      <c r="Z84" s="301" t="s">
        <v>227</v>
      </c>
      <c r="AA84" s="301" t="s">
        <v>227</v>
      </c>
      <c r="AB84" s="301" t="s">
        <v>227</v>
      </c>
      <c r="AC84" s="215">
        <f>SUMIF($O$9:$O$83,"NUEVA FACTURA",AC9:AC83)</f>
        <v>0</v>
      </c>
      <c r="AD84" s="215">
        <f>SUMIF($O$9:$O$83,"NUEVA FACTURA",AD9:AD83)</f>
        <v>0</v>
      </c>
      <c r="AE84" s="215">
        <f>SUM(AE9:AE83)</f>
        <v>0</v>
      </c>
      <c r="AF84" s="300" t="s">
        <v>227</v>
      </c>
      <c r="AG84" s="300" t="s">
        <v>226</v>
      </c>
      <c r="AH84" s="300" t="s">
        <v>226</v>
      </c>
      <c r="AI84" s="300" t="s">
        <v>227</v>
      </c>
      <c r="AJ84" s="300" t="s">
        <v>227</v>
      </c>
      <c r="AK84" s="300"/>
      <c r="AL84" s="300" t="s">
        <v>227</v>
      </c>
    </row>
    <row r="86" spans="2:38" ht="20.100000000000001" customHeight="1" x14ac:dyDescent="0.2">
      <c r="V86" s="216"/>
    </row>
    <row r="87" spans="2:38" ht="20.100000000000001" customHeight="1" x14ac:dyDescent="0.2">
      <c r="V87" s="216"/>
    </row>
    <row r="88" spans="2:38" ht="20.100000000000001" customHeight="1" x14ac:dyDescent="0.2">
      <c r="V88" s="216"/>
    </row>
    <row r="89" spans="2:38" ht="20.100000000000001" customHeight="1" x14ac:dyDescent="0.2">
      <c r="V89" s="216"/>
    </row>
  </sheetData>
  <sheetProtection algorithmName="SHA-512" hashValue="y9SILfGfSAi60GsYc4TJpJR5idd3toUYIXFU1si7oTR33Iq6pu400eEb/Dik7NqfEh7T46Tt97mhVpvWxpAhNA==" saltValue="ky1Dm1djeLdsX3Dlv+OwN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2" priority="29">
      <formula>$L9&lt;&gt;""</formula>
    </cfRule>
  </conditionalFormatting>
  <conditionalFormatting sqref="P9:P83">
    <cfRule type="expression" dxfId="81" priority="31">
      <formula>AND($J9=2,$N9=1,$P9="")</formula>
    </cfRule>
  </conditionalFormatting>
  <conditionalFormatting sqref="P9:X83 Z9:AD83">
    <cfRule type="expression" dxfId="80" priority="7" stopIfTrue="1">
      <formula>$N9=2</formula>
    </cfRule>
  </conditionalFormatting>
  <conditionalFormatting sqref="Q9:Q83">
    <cfRule type="expression" dxfId="78" priority="32" stopIfTrue="1">
      <formula>AND($J9=2,$N9=1,$Q9="")</formula>
    </cfRule>
  </conditionalFormatting>
  <conditionalFormatting sqref="R9:R83">
    <cfRule type="expression" dxfId="76" priority="72">
      <formula>AND($J9=2,$N9=1,$R9="")</formula>
    </cfRule>
  </conditionalFormatting>
  <conditionalFormatting sqref="S9:S83">
    <cfRule type="expression" dxfId="75" priority="25">
      <formula>AND($J9=2,$N9=1,$S9="")</formula>
    </cfRule>
  </conditionalFormatting>
  <conditionalFormatting sqref="T9:T22">
    <cfRule type="expression" dxfId="74" priority="17">
      <formula>AND($J9=2,$N9=1,$S9="")</formula>
    </cfRule>
  </conditionalFormatting>
  <conditionalFormatting sqref="T9:T83">
    <cfRule type="expression" dxfId="73" priority="95">
      <formula>AND($J9=2,$N9=1,$T9="")</formula>
    </cfRule>
  </conditionalFormatting>
  <conditionalFormatting sqref="U3">
    <cfRule type="expression" dxfId="72" priority="2">
      <formula>$U$3&lt;&gt;""</formula>
    </cfRule>
  </conditionalFormatting>
  <conditionalFormatting sqref="U9:U83">
    <cfRule type="expression" dxfId="71" priority="71">
      <formula>AND($J9=2,$N9=1,$U9="")</formula>
    </cfRule>
  </conditionalFormatting>
  <conditionalFormatting sqref="V9:V83">
    <cfRule type="expression" dxfId="70" priority="87">
      <formula>AND($J9=2,$N9=1,$V9="")</formula>
    </cfRule>
  </conditionalFormatting>
  <conditionalFormatting sqref="W9:W83">
    <cfRule type="expression" dxfId="69" priority="98">
      <formula>AND($J9=4,$N9=1,$W9="")</formula>
    </cfRule>
  </conditionalFormatting>
  <conditionalFormatting sqref="X9:X83">
    <cfRule type="expression" dxfId="68" priority="1">
      <formula>$X9&gt;$W9</formula>
    </cfRule>
    <cfRule type="expression" dxfId="67"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AND(AUXILIAR!$AD$18&lt;1575,OR(EXPEDIENTE!$F$25="",EXPEDIENTE!$F$27=""))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2" id="{DF5955A3-A191-4987-BCBE-8F493D8C8CED}">
            <xm:f>AND($AF9&lt;&gt;"",OR($AF9&lt;EXPEDIENTE!$I$25,$AF9&gt;EXPEDIENTE!$I$29))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O9:O83</xm:sqref>
        </x14:dataValidation>
        <x14:dataValidation type="list" allowBlank="1" showInputMessage="1" showErrorMessage="1" xr:uid="{00000000-0002-0000-0200-000001000000}">
          <x14:formula1>
            <xm:f>OFFSET(AUXILIAR!$AB$6,0,,COUNTIF(Tipo_gasto,"&lt;&gt;X"))</xm:f>
          </x14:formula1>
          <xm:sqref>U10:U83</xm:sqref>
        </x14:dataValidation>
        <x14:dataValidation type="list" allowBlank="1" showInputMessage="1" showErrorMessage="1" xr:uid="{701A2001-839E-48BD-A118-E85429CD8FF7}">
          <x14:formula1>
            <xm:f>OFFSET(AUXILIAR!$AB$29,0,,COUNTIF(Tipo_gasto,"&lt;&gt;X"))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6" t="s">
        <v>82</v>
      </c>
      <c r="I2" s="366"/>
      <c r="J2" s="366"/>
      <c r="K2" s="366"/>
      <c r="L2" s="366" t="s">
        <v>83</v>
      </c>
      <c r="M2" s="366"/>
      <c r="N2" s="366"/>
      <c r="O2" s="366"/>
      <c r="P2" s="366"/>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7" t="s">
        <v>191</v>
      </c>
      <c r="C85" s="367"/>
      <c r="D85" s="367"/>
      <c r="E85" s="367"/>
      <c r="F85" s="367"/>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198</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68" t="s">
        <v>99</v>
      </c>
      <c r="G2" s="368"/>
      <c r="H2" s="368"/>
      <c r="I2" s="368"/>
      <c r="J2" s="368"/>
      <c r="K2" s="368"/>
      <c r="L2" s="368"/>
      <c r="M2" s="368"/>
      <c r="N2" s="368"/>
      <c r="O2" s="368"/>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3" t="s">
        <v>0</v>
      </c>
      <c r="D7" s="375" t="s">
        <v>8</v>
      </c>
      <c r="E7" s="375" t="s">
        <v>192</v>
      </c>
      <c r="F7" s="376" t="s">
        <v>101</v>
      </c>
      <c r="G7" s="376"/>
      <c r="H7" s="376"/>
      <c r="I7" s="376"/>
      <c r="J7" s="376"/>
      <c r="K7" s="376"/>
      <c r="L7" s="375" t="s">
        <v>193</v>
      </c>
      <c r="M7" s="385" t="s">
        <v>100</v>
      </c>
      <c r="N7" s="386"/>
      <c r="O7" s="369" t="s">
        <v>65</v>
      </c>
    </row>
    <row r="8" spans="2:15" s="43" customFormat="1" ht="69.95" customHeight="1" thickBot="1" x14ac:dyDescent="0.25">
      <c r="B8" s="38"/>
      <c r="C8" s="384"/>
      <c r="D8" s="374"/>
      <c r="E8" s="374"/>
      <c r="F8" s="374" t="s">
        <v>25</v>
      </c>
      <c r="G8" s="374"/>
      <c r="H8" s="68" t="s">
        <v>26</v>
      </c>
      <c r="I8" s="68" t="s">
        <v>194</v>
      </c>
      <c r="J8" s="71" t="s">
        <v>16</v>
      </c>
      <c r="K8" s="72" t="s">
        <v>195</v>
      </c>
      <c r="L8" s="374"/>
      <c r="M8" s="387"/>
      <c r="N8" s="388"/>
      <c r="O8" s="370"/>
    </row>
    <row r="9" spans="2:15" s="44" customFormat="1" ht="9.9499999999999993" customHeight="1" thickBot="1" x14ac:dyDescent="0.25">
      <c r="B9" s="19"/>
      <c r="J9" s="19"/>
    </row>
    <row r="10" spans="2:15" s="2" customFormat="1" ht="35.1" customHeight="1" x14ac:dyDescent="0.2">
      <c r="B10" s="3">
        <f>IF(K10="",0,1)</f>
        <v>0</v>
      </c>
      <c r="C10" s="377">
        <v>1</v>
      </c>
      <c r="D10" s="380"/>
      <c r="E10" s="371"/>
      <c r="F10" s="73" t="s">
        <v>97</v>
      </c>
      <c r="G10" s="77"/>
      <c r="H10" s="78"/>
      <c r="I10" s="79"/>
      <c r="J10" s="80"/>
      <c r="K10" s="81"/>
      <c r="L10" s="20"/>
      <c r="M10" s="389"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92"/>
      <c r="O10" s="45"/>
    </row>
    <row r="11" spans="2:15" s="2" customFormat="1" ht="35.1" customHeight="1" x14ac:dyDescent="0.2">
      <c r="B11" s="3">
        <f t="shared" ref="B11:B12" si="0">IF(K11="",0,1)</f>
        <v>0</v>
      </c>
      <c r="C11" s="378"/>
      <c r="D11" s="381"/>
      <c r="E11" s="372"/>
      <c r="F11" s="74" t="s">
        <v>98</v>
      </c>
      <c r="G11" s="46"/>
      <c r="H11" s="21"/>
      <c r="I11" s="47"/>
      <c r="J11" s="48"/>
      <c r="K11" s="22"/>
      <c r="L11" s="23"/>
      <c r="M11" s="390"/>
      <c r="N11" s="393"/>
      <c r="O11" s="49"/>
    </row>
    <row r="12" spans="2:15" s="2" customFormat="1" ht="35.1" customHeight="1" thickBot="1" x14ac:dyDescent="0.25">
      <c r="B12" s="3">
        <f t="shared" si="0"/>
        <v>0</v>
      </c>
      <c r="C12" s="379"/>
      <c r="D12" s="382"/>
      <c r="E12" s="373"/>
      <c r="F12" s="75" t="s">
        <v>98</v>
      </c>
      <c r="G12" s="50"/>
      <c r="H12" s="24"/>
      <c r="I12" s="51"/>
      <c r="J12" s="52"/>
      <c r="K12" s="25"/>
      <c r="L12" s="26"/>
      <c r="M12" s="391"/>
      <c r="N12" s="394"/>
      <c r="O12" s="53"/>
    </row>
    <row r="13" spans="2:15" s="2" customFormat="1" ht="9.9499999999999993" customHeight="1" thickBot="1" x14ac:dyDescent="0.25">
      <c r="B13" s="3"/>
    </row>
    <row r="14" spans="2:15" s="2" customFormat="1" ht="35.1" customHeight="1" x14ac:dyDescent="0.2">
      <c r="B14" s="3">
        <f>IF(K14="",0,1)</f>
        <v>0</v>
      </c>
      <c r="C14" s="377">
        <v>2</v>
      </c>
      <c r="D14" s="380"/>
      <c r="E14" s="371"/>
      <c r="F14" s="73" t="s">
        <v>97</v>
      </c>
      <c r="G14" s="77"/>
      <c r="H14" s="78"/>
      <c r="I14" s="79"/>
      <c r="J14" s="80"/>
      <c r="K14" s="81"/>
      <c r="L14" s="20"/>
      <c r="M14" s="389"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92"/>
      <c r="O14" s="54"/>
    </row>
    <row r="15" spans="2:15" s="2" customFormat="1" ht="35.1" customHeight="1" x14ac:dyDescent="0.2">
      <c r="B15" s="3">
        <f t="shared" ref="B15:B16" si="1">IF(K15="",0,1)</f>
        <v>0</v>
      </c>
      <c r="C15" s="378"/>
      <c r="D15" s="381"/>
      <c r="E15" s="372"/>
      <c r="F15" s="74" t="s">
        <v>98</v>
      </c>
      <c r="G15" s="46"/>
      <c r="H15" s="21"/>
      <c r="I15" s="47"/>
      <c r="J15" s="48"/>
      <c r="K15" s="22"/>
      <c r="L15" s="23"/>
      <c r="M15" s="390"/>
      <c r="N15" s="393"/>
      <c r="O15" s="55"/>
    </row>
    <row r="16" spans="2:15" s="2" customFormat="1" ht="35.1" customHeight="1" thickBot="1" x14ac:dyDescent="0.25">
      <c r="B16" s="3">
        <f t="shared" si="1"/>
        <v>0</v>
      </c>
      <c r="C16" s="379"/>
      <c r="D16" s="382"/>
      <c r="E16" s="373"/>
      <c r="F16" s="75" t="s">
        <v>98</v>
      </c>
      <c r="G16" s="50"/>
      <c r="H16" s="24"/>
      <c r="I16" s="51"/>
      <c r="J16" s="52"/>
      <c r="K16" s="25"/>
      <c r="L16" s="26"/>
      <c r="M16" s="391"/>
      <c r="N16" s="394"/>
      <c r="O16" s="56"/>
    </row>
    <row r="17" spans="2:15" s="2" customFormat="1" ht="9.9499999999999993" customHeight="1" thickBot="1" x14ac:dyDescent="0.25">
      <c r="B17" s="3"/>
    </row>
    <row r="18" spans="2:15" s="2" customFormat="1" ht="35.1" customHeight="1" x14ac:dyDescent="0.2">
      <c r="B18" s="3">
        <f>IF(K18="",0,1)</f>
        <v>0</v>
      </c>
      <c r="C18" s="377">
        <v>3</v>
      </c>
      <c r="D18" s="380"/>
      <c r="E18" s="371"/>
      <c r="F18" s="73" t="s">
        <v>97</v>
      </c>
      <c r="G18" s="77"/>
      <c r="H18" s="78"/>
      <c r="I18" s="79"/>
      <c r="J18" s="80"/>
      <c r="K18" s="81"/>
      <c r="L18" s="20"/>
      <c r="M18" s="389"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92"/>
      <c r="O18" s="54"/>
    </row>
    <row r="19" spans="2:15" s="2" customFormat="1" ht="35.1" customHeight="1" x14ac:dyDescent="0.2">
      <c r="B19" s="3">
        <f t="shared" ref="B19:B20" si="2">IF(K19="",0,1)</f>
        <v>0</v>
      </c>
      <c r="C19" s="378"/>
      <c r="D19" s="381"/>
      <c r="E19" s="372"/>
      <c r="F19" s="74" t="s">
        <v>98</v>
      </c>
      <c r="G19" s="46"/>
      <c r="H19" s="21"/>
      <c r="I19" s="47"/>
      <c r="J19" s="48"/>
      <c r="K19" s="22"/>
      <c r="L19" s="23"/>
      <c r="M19" s="390"/>
      <c r="N19" s="393"/>
      <c r="O19" s="55"/>
    </row>
    <row r="20" spans="2:15" s="2" customFormat="1" ht="35.1" customHeight="1" thickBot="1" x14ac:dyDescent="0.25">
      <c r="B20" s="3">
        <f t="shared" si="2"/>
        <v>0</v>
      </c>
      <c r="C20" s="379"/>
      <c r="D20" s="382"/>
      <c r="E20" s="373"/>
      <c r="F20" s="75" t="s">
        <v>98</v>
      </c>
      <c r="G20" s="50"/>
      <c r="H20" s="24"/>
      <c r="I20" s="51"/>
      <c r="J20" s="52"/>
      <c r="K20" s="25"/>
      <c r="L20" s="26"/>
      <c r="M20" s="391"/>
      <c r="N20" s="394"/>
      <c r="O20" s="56"/>
    </row>
    <row r="21" spans="2:15" s="2" customFormat="1" ht="9.9499999999999993" customHeight="1" thickBot="1" x14ac:dyDescent="0.25">
      <c r="B21" s="3"/>
    </row>
    <row r="22" spans="2:15" s="2" customFormat="1" ht="35.1" customHeight="1" x14ac:dyDescent="0.2">
      <c r="B22" s="3">
        <f>IF(K22="",0,1)</f>
        <v>0</v>
      </c>
      <c r="C22" s="377">
        <v>4</v>
      </c>
      <c r="D22" s="380"/>
      <c r="E22" s="371"/>
      <c r="F22" s="73" t="s">
        <v>97</v>
      </c>
      <c r="G22" s="77"/>
      <c r="H22" s="78"/>
      <c r="I22" s="79"/>
      <c r="J22" s="80"/>
      <c r="K22" s="81"/>
      <c r="L22" s="20"/>
      <c r="M22" s="389"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92"/>
      <c r="O22" s="54"/>
    </row>
    <row r="23" spans="2:15" s="2" customFormat="1" ht="35.1" customHeight="1" x14ac:dyDescent="0.2">
      <c r="B23" s="3">
        <f t="shared" ref="B23:B24" si="3">IF(K23="",0,1)</f>
        <v>0</v>
      </c>
      <c r="C23" s="378"/>
      <c r="D23" s="381"/>
      <c r="E23" s="372"/>
      <c r="F23" s="74" t="s">
        <v>98</v>
      </c>
      <c r="G23" s="46"/>
      <c r="H23" s="21"/>
      <c r="I23" s="47"/>
      <c r="J23" s="48"/>
      <c r="K23" s="22"/>
      <c r="L23" s="23"/>
      <c r="M23" s="390"/>
      <c r="N23" s="393"/>
      <c r="O23" s="55"/>
    </row>
    <row r="24" spans="2:15" s="2" customFormat="1" ht="35.1" customHeight="1" thickBot="1" x14ac:dyDescent="0.25">
      <c r="B24" s="3">
        <f t="shared" si="3"/>
        <v>0</v>
      </c>
      <c r="C24" s="379"/>
      <c r="D24" s="382"/>
      <c r="E24" s="373"/>
      <c r="F24" s="75" t="s">
        <v>98</v>
      </c>
      <c r="G24" s="50"/>
      <c r="H24" s="24"/>
      <c r="I24" s="51"/>
      <c r="J24" s="52"/>
      <c r="K24" s="25"/>
      <c r="L24" s="26"/>
      <c r="M24" s="391"/>
      <c r="N24" s="394"/>
      <c r="O24" s="56"/>
    </row>
    <row r="25" spans="2:15" s="2" customFormat="1" ht="9.9499999999999993" customHeight="1" thickBot="1" x14ac:dyDescent="0.25">
      <c r="B25" s="3"/>
    </row>
    <row r="26" spans="2:15" s="2" customFormat="1" ht="35.1" customHeight="1" x14ac:dyDescent="0.2">
      <c r="B26" s="3">
        <f>IF(K26="",0,1)</f>
        <v>0</v>
      </c>
      <c r="C26" s="377">
        <v>5</v>
      </c>
      <c r="D26" s="380"/>
      <c r="E26" s="371"/>
      <c r="F26" s="73" t="s">
        <v>97</v>
      </c>
      <c r="G26" s="77"/>
      <c r="H26" s="78"/>
      <c r="I26" s="79"/>
      <c r="J26" s="80"/>
      <c r="K26" s="81"/>
      <c r="L26" s="20"/>
      <c r="M26" s="389"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92"/>
      <c r="O26" s="54"/>
    </row>
    <row r="27" spans="2:15" s="2" customFormat="1" ht="35.1" customHeight="1" x14ac:dyDescent="0.2">
      <c r="B27" s="3">
        <f t="shared" ref="B27:B28" si="4">IF(K27="",0,1)</f>
        <v>0</v>
      </c>
      <c r="C27" s="378"/>
      <c r="D27" s="381"/>
      <c r="E27" s="372"/>
      <c r="F27" s="74" t="s">
        <v>98</v>
      </c>
      <c r="G27" s="46"/>
      <c r="H27" s="21"/>
      <c r="I27" s="47"/>
      <c r="J27" s="48"/>
      <c r="K27" s="22"/>
      <c r="L27" s="23"/>
      <c r="M27" s="390"/>
      <c r="N27" s="393"/>
      <c r="O27" s="55"/>
    </row>
    <row r="28" spans="2:15" s="2" customFormat="1" ht="35.1" customHeight="1" thickBot="1" x14ac:dyDescent="0.25">
      <c r="B28" s="3">
        <f t="shared" si="4"/>
        <v>0</v>
      </c>
      <c r="C28" s="379"/>
      <c r="D28" s="382"/>
      <c r="E28" s="373"/>
      <c r="F28" s="75" t="s">
        <v>98</v>
      </c>
      <c r="G28" s="50"/>
      <c r="H28" s="24"/>
      <c r="I28" s="51"/>
      <c r="J28" s="52"/>
      <c r="K28" s="25"/>
      <c r="L28" s="26"/>
      <c r="M28" s="391"/>
      <c r="N28" s="394"/>
      <c r="O28" s="56"/>
    </row>
    <row r="29" spans="2:15" s="2" customFormat="1" ht="9.9499999999999993" customHeight="1" thickBot="1" x14ac:dyDescent="0.25">
      <c r="B29" s="3"/>
    </row>
    <row r="30" spans="2:15" s="2" customFormat="1" ht="35.1" customHeight="1" x14ac:dyDescent="0.2">
      <c r="B30" s="3">
        <f>IF(K30="",0,1)</f>
        <v>0</v>
      </c>
      <c r="C30" s="377">
        <v>6</v>
      </c>
      <c r="D30" s="380"/>
      <c r="E30" s="371"/>
      <c r="F30" s="73" t="s">
        <v>97</v>
      </c>
      <c r="G30" s="77"/>
      <c r="H30" s="78"/>
      <c r="I30" s="79"/>
      <c r="J30" s="80"/>
      <c r="K30" s="81"/>
      <c r="L30" s="20"/>
      <c r="M30" s="389"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92"/>
      <c r="O30" s="54"/>
    </row>
    <row r="31" spans="2:15" s="2" customFormat="1" ht="35.1" customHeight="1" x14ac:dyDescent="0.2">
      <c r="B31" s="3">
        <f t="shared" ref="B31:B32" si="5">IF(K31="",0,1)</f>
        <v>0</v>
      </c>
      <c r="C31" s="378"/>
      <c r="D31" s="381"/>
      <c r="E31" s="372"/>
      <c r="F31" s="74" t="s">
        <v>98</v>
      </c>
      <c r="G31" s="46"/>
      <c r="H31" s="21"/>
      <c r="I31" s="47"/>
      <c r="J31" s="48"/>
      <c r="K31" s="22"/>
      <c r="L31" s="23"/>
      <c r="M31" s="390"/>
      <c r="N31" s="393"/>
      <c r="O31" s="55"/>
    </row>
    <row r="32" spans="2:15" s="2" customFormat="1" ht="35.1" customHeight="1" thickBot="1" x14ac:dyDescent="0.25">
      <c r="B32" s="3">
        <f t="shared" si="5"/>
        <v>0</v>
      </c>
      <c r="C32" s="379"/>
      <c r="D32" s="382"/>
      <c r="E32" s="373"/>
      <c r="F32" s="75" t="s">
        <v>98</v>
      </c>
      <c r="G32" s="50"/>
      <c r="H32" s="24"/>
      <c r="I32" s="51"/>
      <c r="J32" s="52"/>
      <c r="K32" s="25"/>
      <c r="L32" s="26"/>
      <c r="M32" s="391"/>
      <c r="N32" s="394"/>
      <c r="O32" s="56"/>
    </row>
    <row r="33" spans="2:15" s="2" customFormat="1" ht="9.9499999999999993" customHeight="1" thickBot="1" x14ac:dyDescent="0.25">
      <c r="B33" s="3"/>
    </row>
    <row r="34" spans="2:15" s="2" customFormat="1" ht="35.1" customHeight="1" x14ac:dyDescent="0.2">
      <c r="B34" s="3">
        <f>IF(K34="",0,1)</f>
        <v>0</v>
      </c>
      <c r="C34" s="377">
        <v>7</v>
      </c>
      <c r="D34" s="380"/>
      <c r="E34" s="371"/>
      <c r="F34" s="73" t="s">
        <v>97</v>
      </c>
      <c r="G34" s="77"/>
      <c r="H34" s="78"/>
      <c r="I34" s="79"/>
      <c r="J34" s="80"/>
      <c r="K34" s="81"/>
      <c r="L34" s="20"/>
      <c r="M34" s="389"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92"/>
      <c r="O34" s="54"/>
    </row>
    <row r="35" spans="2:15" s="2" customFormat="1" ht="35.1" customHeight="1" x14ac:dyDescent="0.2">
      <c r="B35" s="3">
        <f t="shared" ref="B35:B36" si="6">IF(K35="",0,1)</f>
        <v>0</v>
      </c>
      <c r="C35" s="378"/>
      <c r="D35" s="381"/>
      <c r="E35" s="372"/>
      <c r="F35" s="74" t="s">
        <v>98</v>
      </c>
      <c r="G35" s="46"/>
      <c r="H35" s="21"/>
      <c r="I35" s="47"/>
      <c r="J35" s="48"/>
      <c r="K35" s="22"/>
      <c r="L35" s="23"/>
      <c r="M35" s="390"/>
      <c r="N35" s="393"/>
      <c r="O35" s="55"/>
    </row>
    <row r="36" spans="2:15" s="2" customFormat="1" ht="35.1" customHeight="1" thickBot="1" x14ac:dyDescent="0.25">
      <c r="B36" s="3">
        <f t="shared" si="6"/>
        <v>0</v>
      </c>
      <c r="C36" s="379"/>
      <c r="D36" s="382"/>
      <c r="E36" s="373"/>
      <c r="F36" s="75" t="s">
        <v>98</v>
      </c>
      <c r="G36" s="50"/>
      <c r="H36" s="24"/>
      <c r="I36" s="51"/>
      <c r="J36" s="52"/>
      <c r="K36" s="25"/>
      <c r="L36" s="26"/>
      <c r="M36" s="391"/>
      <c r="N36" s="394"/>
      <c r="O36" s="56"/>
    </row>
    <row r="37" spans="2:15" s="2" customFormat="1" ht="9.9499999999999993" customHeight="1" thickBot="1" x14ac:dyDescent="0.25">
      <c r="B37" s="3"/>
    </row>
    <row r="38" spans="2:15" s="2" customFormat="1" ht="35.1" customHeight="1" x14ac:dyDescent="0.2">
      <c r="B38" s="3">
        <f>IF(K38="",0,1)</f>
        <v>0</v>
      </c>
      <c r="C38" s="377">
        <v>8</v>
      </c>
      <c r="D38" s="380"/>
      <c r="E38" s="371"/>
      <c r="F38" s="73" t="s">
        <v>97</v>
      </c>
      <c r="G38" s="77"/>
      <c r="H38" s="78"/>
      <c r="I38" s="79"/>
      <c r="J38" s="80"/>
      <c r="K38" s="81"/>
      <c r="L38" s="20"/>
      <c r="M38" s="389"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92"/>
      <c r="O38" s="54"/>
    </row>
    <row r="39" spans="2:15" s="2" customFormat="1" ht="35.1" customHeight="1" x14ac:dyDescent="0.2">
      <c r="B39" s="3">
        <f t="shared" ref="B39:B40" si="7">IF(K39="",0,1)</f>
        <v>0</v>
      </c>
      <c r="C39" s="378"/>
      <c r="D39" s="381"/>
      <c r="E39" s="372"/>
      <c r="F39" s="74" t="s">
        <v>98</v>
      </c>
      <c r="G39" s="46"/>
      <c r="H39" s="21"/>
      <c r="I39" s="47"/>
      <c r="J39" s="48"/>
      <c r="K39" s="22"/>
      <c r="L39" s="23"/>
      <c r="M39" s="390"/>
      <c r="N39" s="393"/>
      <c r="O39" s="55"/>
    </row>
    <row r="40" spans="2:15" s="2" customFormat="1" ht="35.1" customHeight="1" thickBot="1" x14ac:dyDescent="0.25">
      <c r="B40" s="3">
        <f t="shared" si="7"/>
        <v>0</v>
      </c>
      <c r="C40" s="379"/>
      <c r="D40" s="382"/>
      <c r="E40" s="373"/>
      <c r="F40" s="75" t="s">
        <v>98</v>
      </c>
      <c r="G40" s="50"/>
      <c r="H40" s="24"/>
      <c r="I40" s="51"/>
      <c r="J40" s="52"/>
      <c r="K40" s="25"/>
      <c r="L40" s="26"/>
      <c r="M40" s="391"/>
      <c r="N40" s="394"/>
      <c r="O40" s="56"/>
    </row>
    <row r="41" spans="2:15" s="2" customFormat="1" ht="9.9499999999999993" customHeight="1" thickBot="1" x14ac:dyDescent="0.25">
      <c r="B41" s="3"/>
    </row>
    <row r="42" spans="2:15" s="2" customFormat="1" ht="35.1" customHeight="1" x14ac:dyDescent="0.2">
      <c r="B42" s="3">
        <f>IF(K42="",0,1)</f>
        <v>0</v>
      </c>
      <c r="C42" s="377">
        <v>9</v>
      </c>
      <c r="D42" s="380"/>
      <c r="E42" s="371"/>
      <c r="F42" s="73" t="s">
        <v>97</v>
      </c>
      <c r="G42" s="77"/>
      <c r="H42" s="78"/>
      <c r="I42" s="79"/>
      <c r="J42" s="80"/>
      <c r="K42" s="81"/>
      <c r="L42" s="20"/>
      <c r="M42" s="389"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92"/>
      <c r="O42" s="54"/>
    </row>
    <row r="43" spans="2:15" s="2" customFormat="1" ht="35.1" customHeight="1" x14ac:dyDescent="0.2">
      <c r="B43" s="3">
        <f t="shared" ref="B43:B44" si="8">IF(K43="",0,1)</f>
        <v>0</v>
      </c>
      <c r="C43" s="378"/>
      <c r="D43" s="381"/>
      <c r="E43" s="372"/>
      <c r="F43" s="74" t="s">
        <v>98</v>
      </c>
      <c r="G43" s="46"/>
      <c r="H43" s="21"/>
      <c r="I43" s="47"/>
      <c r="J43" s="48"/>
      <c r="K43" s="22"/>
      <c r="L43" s="23"/>
      <c r="M43" s="390"/>
      <c r="N43" s="393"/>
      <c r="O43" s="55"/>
    </row>
    <row r="44" spans="2:15" s="2" customFormat="1" ht="35.1" customHeight="1" thickBot="1" x14ac:dyDescent="0.25">
      <c r="B44" s="3">
        <f t="shared" si="8"/>
        <v>0</v>
      </c>
      <c r="C44" s="379"/>
      <c r="D44" s="382"/>
      <c r="E44" s="373"/>
      <c r="F44" s="75" t="s">
        <v>98</v>
      </c>
      <c r="G44" s="50"/>
      <c r="H44" s="24"/>
      <c r="I44" s="51"/>
      <c r="J44" s="52"/>
      <c r="K44" s="25"/>
      <c r="L44" s="26"/>
      <c r="M44" s="391"/>
      <c r="N44" s="394"/>
      <c r="O44" s="56"/>
    </row>
    <row r="45" spans="2:15" s="2" customFormat="1" ht="9.9499999999999993" customHeight="1" thickBot="1" x14ac:dyDescent="0.25">
      <c r="B45" s="3"/>
    </row>
    <row r="46" spans="2:15" s="2" customFormat="1" ht="35.1" customHeight="1" x14ac:dyDescent="0.2">
      <c r="B46" s="3">
        <f>IF(K46="",0,1)</f>
        <v>0</v>
      </c>
      <c r="C46" s="377">
        <v>10</v>
      </c>
      <c r="D46" s="380"/>
      <c r="E46" s="371"/>
      <c r="F46" s="73" t="s">
        <v>97</v>
      </c>
      <c r="G46" s="77"/>
      <c r="H46" s="78"/>
      <c r="I46" s="79"/>
      <c r="J46" s="80"/>
      <c r="K46" s="81"/>
      <c r="L46" s="20"/>
      <c r="M46" s="389"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92"/>
      <c r="O46" s="54"/>
    </row>
    <row r="47" spans="2:15" s="2" customFormat="1" ht="35.1" customHeight="1" x14ac:dyDescent="0.2">
      <c r="B47" s="3">
        <f t="shared" ref="B47:B48" si="9">IF(K47="",0,1)</f>
        <v>0</v>
      </c>
      <c r="C47" s="378"/>
      <c r="D47" s="381"/>
      <c r="E47" s="372"/>
      <c r="F47" s="74" t="s">
        <v>98</v>
      </c>
      <c r="G47" s="46"/>
      <c r="H47" s="21"/>
      <c r="I47" s="47"/>
      <c r="J47" s="48"/>
      <c r="K47" s="22"/>
      <c r="L47" s="23"/>
      <c r="M47" s="390"/>
      <c r="N47" s="393"/>
      <c r="O47" s="55"/>
    </row>
    <row r="48" spans="2:15" s="2" customFormat="1" ht="35.1" customHeight="1" thickBot="1" x14ac:dyDescent="0.25">
      <c r="B48" s="3">
        <f t="shared" si="9"/>
        <v>0</v>
      </c>
      <c r="C48" s="379"/>
      <c r="D48" s="382"/>
      <c r="E48" s="373"/>
      <c r="F48" s="75" t="s">
        <v>98</v>
      </c>
      <c r="G48" s="50"/>
      <c r="H48" s="24"/>
      <c r="I48" s="51"/>
      <c r="J48" s="52"/>
      <c r="K48" s="25"/>
      <c r="L48" s="26"/>
      <c r="M48" s="391"/>
      <c r="N48" s="394"/>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X5" sqref="X5"/>
    </sheetView>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429" t="s">
        <v>58</v>
      </c>
      <c r="E2" s="430"/>
      <c r="F2" s="431"/>
      <c r="G2" s="435" t="s">
        <v>63</v>
      </c>
      <c r="H2" s="436"/>
      <c r="I2" s="437"/>
      <c r="J2" s="438" t="s">
        <v>61</v>
      </c>
      <c r="K2" s="435" t="s">
        <v>64</v>
      </c>
      <c r="L2" s="436"/>
      <c r="M2" s="437"/>
      <c r="N2" s="416" t="s">
        <v>62</v>
      </c>
      <c r="O2" s="419" t="s">
        <v>91</v>
      </c>
      <c r="P2" s="426" t="s">
        <v>156</v>
      </c>
      <c r="Q2" s="427"/>
      <c r="R2" s="427"/>
      <c r="S2" s="427"/>
      <c r="T2" s="428"/>
      <c r="U2" s="404" t="s">
        <v>57</v>
      </c>
      <c r="V2" s="405"/>
      <c r="W2" s="395" t="s">
        <v>203</v>
      </c>
      <c r="X2" s="398" t="s">
        <v>54</v>
      </c>
      <c r="Y2" s="401" t="s">
        <v>53</v>
      </c>
    </row>
    <row r="3" spans="2:25" ht="20.100000000000001" customHeight="1" x14ac:dyDescent="0.2">
      <c r="D3" s="432"/>
      <c r="E3" s="433"/>
      <c r="F3" s="434"/>
      <c r="G3" s="217" t="s">
        <v>59</v>
      </c>
      <c r="H3" s="218" t="s">
        <v>60</v>
      </c>
      <c r="I3" s="420" t="s">
        <v>51</v>
      </c>
      <c r="J3" s="439"/>
      <c r="K3" s="217" t="s">
        <v>59</v>
      </c>
      <c r="L3" s="218" t="s">
        <v>60</v>
      </c>
      <c r="M3" s="420" t="s">
        <v>52</v>
      </c>
      <c r="N3" s="417"/>
      <c r="O3" s="420"/>
      <c r="P3" s="424" t="s">
        <v>196</v>
      </c>
      <c r="Q3" s="410" t="s">
        <v>201</v>
      </c>
      <c r="R3" s="422" t="s">
        <v>202</v>
      </c>
      <c r="S3" s="412" t="s">
        <v>157</v>
      </c>
      <c r="T3" s="414" t="s">
        <v>197</v>
      </c>
      <c r="U3" s="406" t="s">
        <v>55</v>
      </c>
      <c r="V3" s="408" t="s">
        <v>56</v>
      </c>
      <c r="W3" s="396"/>
      <c r="X3" s="399"/>
      <c r="Y3" s="402"/>
    </row>
    <row r="4" spans="2:25" s="122" customFormat="1" ht="45" customHeight="1" thickBot="1" x14ac:dyDescent="0.25">
      <c r="D4" s="219" t="s">
        <v>50</v>
      </c>
      <c r="E4" s="220" t="s">
        <v>47</v>
      </c>
      <c r="F4" s="221" t="s">
        <v>1</v>
      </c>
      <c r="G4" s="222" t="s">
        <v>48</v>
      </c>
      <c r="H4" s="223" t="s">
        <v>199</v>
      </c>
      <c r="I4" s="421"/>
      <c r="J4" s="440"/>
      <c r="K4" s="222" t="s">
        <v>49</v>
      </c>
      <c r="L4" s="223" t="s">
        <v>200</v>
      </c>
      <c r="M4" s="421"/>
      <c r="N4" s="418"/>
      <c r="O4" s="421"/>
      <c r="P4" s="425"/>
      <c r="Q4" s="411"/>
      <c r="R4" s="423"/>
      <c r="S4" s="413"/>
      <c r="T4" s="415"/>
      <c r="U4" s="407"/>
      <c r="V4" s="409"/>
      <c r="W4" s="397"/>
      <c r="X4" s="400"/>
      <c r="Y4" s="403"/>
    </row>
    <row r="5" spans="2:25" ht="39.950000000000003" customHeight="1" x14ac:dyDescent="0.2">
      <c r="B5" s="120">
        <f>IF(Y5&lt;&gt;"",1,0)</f>
        <v>0</v>
      </c>
      <c r="C5" s="122">
        <v>1</v>
      </c>
      <c r="D5" s="224" t="str">
        <f>IF('RELACIÓN DE FACTURAS'!O9="","",'RELACIÓN DE FACTURAS'!O9)</f>
        <v/>
      </c>
      <c r="E5" s="225" t="str">
        <f>IF('RELACIÓN DE FACTURAS'!P9="","",'RELACIÓN DE FACTURAS'!P9)</f>
        <v/>
      </c>
      <c r="F5" s="226" t="str">
        <f>IF('RELACIÓN DE FACTURAS'!R9="","",'RELACIÓN DE FACTURAS'!R9)</f>
        <v/>
      </c>
      <c r="G5" s="227" t="str">
        <f>IF(D5="","",IF(AND(D5="NUEVA FACTURA",'RELACIÓN DE FACTURAS'!Q9=""),"",IF(AND(D5="NUEVA FACTURA",'RELACIÓN DE FACTURAS'!Q9&lt;&gt;""),'RELACIÓN DE FACTURAS'!Q9,IF(D5="SEGUNDO PAGO O POSTERIORES",G4,""))))</f>
        <v/>
      </c>
      <c r="H5" s="228"/>
      <c r="I5" s="229" t="str">
        <f>IF(D5="","",IF(J5="","REVISAR",IF(OR(J5&lt;EXPEDIENTE!$I$25,J5&gt;EXPEDIENTE!$I$27),"SI","NO")))</f>
        <v/>
      </c>
      <c r="J5" s="230" t="str">
        <f t="shared" ref="J5:J32" si="0">IF(D5="","",IF(H5&lt;&gt;"",H5,G5))</f>
        <v/>
      </c>
      <c r="K5" s="231" t="str">
        <f>IF(D5="","",IF('RELACIÓN DE FACTURAS'!AF9="","",'RELACIÓN DE FACTURAS'!AF9))</f>
        <v/>
      </c>
      <c r="L5" s="228"/>
      <c r="M5" s="229" t="str">
        <f>IF(D5="","",IF(N5="","REVISAR",IF(OR(N5&lt;EXPEDIENTE!$I$25,N5&gt;EXPEDIENTE!$I$29),"SI","NO")))</f>
        <v/>
      </c>
      <c r="N5" s="232" t="str">
        <f t="shared" ref="N5:N32" si="1">IF(D5="","",IF(L5&lt;&gt;"",L5,K5))</f>
        <v/>
      </c>
      <c r="O5" s="233">
        <f>IF(N5&lt;EXPEDIENTE!$I$25,-1,IF(N5&gt;EXPEDIENTE!$I$29,1,0))</f>
        <v>0</v>
      </c>
      <c r="P5" s="234" t="str">
        <f t="shared" ref="P5:P32" si="2">IF(D5="","",IF(OR(J5="",N5=""),"PDTE",IF(N5-J5&gt;30,"SI","NO")))</f>
        <v/>
      </c>
      <c r="Q5" s="228"/>
      <c r="R5" s="235"/>
      <c r="S5" s="236" t="str">
        <f>IF(OR(Q5="",R5=""),"",IF(Q5&gt;EXPEDIENTE!$I$27,"",MIN(DATE(YEAR(Q5),MONTH(Q5),DAY(Q5)+R5),EXPEDIENTE!$I$29)))</f>
        <v/>
      </c>
      <c r="T5" s="299" t="str">
        <f>IF(D5="","",IF(AND(P5="NO",Q5="",S5=""),"NO",IF(Q5&gt;EXPEDIENTE!$I$27,"ENTREGA FUERA PLAZO",IF(OR(Q5="",R5=""),"PDTE",IF(S5&lt;N5,"SI","NO")))))</f>
        <v/>
      </c>
      <c r="U5" s="237" t="str">
        <f>IF('RELACIÓN DE FACTURAS'!X9="","",'RELACIÓN DE FACTURAS'!X9)</f>
        <v/>
      </c>
      <c r="V5" s="238" t="str">
        <f>IF('RELACIÓN DE FACTURAS'!Y9="","",'RELACIÓN DE FACTURAS'!Y9)</f>
        <v/>
      </c>
      <c r="W5" s="239"/>
      <c r="X5" s="276" t="str">
        <f t="shared" ref="X5:X32" si="3">IF(D5="","",IF(AND(I5="NO",M5="NO",T5="NO",W5="NO"),"OK","NO OK"))</f>
        <v/>
      </c>
      <c r="Y5" s="240"/>
    </row>
    <row r="6" spans="2:25" ht="39.950000000000003" customHeight="1" x14ac:dyDescent="0.2">
      <c r="B6" s="120">
        <f>IF(Y6&lt;&gt;"",MAX($B$5:B5)+1,0)</f>
        <v>0</v>
      </c>
      <c r="C6" s="122">
        <v>2</v>
      </c>
      <c r="D6" s="241" t="str">
        <f>IF('RELACIÓN DE FACTURAS'!O10="","",'RELACIÓN DE FACTURAS'!O10)</f>
        <v/>
      </c>
      <c r="E6" s="242" t="str">
        <f>IF(D6="SEGUNDO PAGO O POSTERIORES",E5,IF('RELACIÓN DE FACTURAS'!P10="","",'RELACIÓN DE FACTURAS'!P10))</f>
        <v/>
      </c>
      <c r="F6" s="243" t="str">
        <f>IF(D6="SEGUNDO PAGO O POSTERIORES",F5,IF('RELACIÓN DE FACTURAS'!R10="","",'RELACIÓN DE FACTURAS'!R10))</f>
        <v/>
      </c>
      <c r="G6" s="244" t="str">
        <f>IF(D6="","",IF(AND(D6="NUEVA FACTURA",'RELACIÓN DE FACTURAS'!Q10=""),"",IF(AND(D6="NUEVA FACTURA",'RELACIÓN DE FACTURAS'!Q10&lt;&gt;""),'RELACIÓN DE FACTURAS'!Q10,IF(D6="SEGUNDO PAGO O POSTERIORES",G5,""))))</f>
        <v/>
      </c>
      <c r="H6" s="245"/>
      <c r="I6" s="246" t="str">
        <f>IF(D6="","",IF(J6="","REVISAR",IF(OR(J6&lt;EXPEDIENTE!$I$25,J6&gt;EXPEDIENTE!$I$27),"SI","NO")))</f>
        <v/>
      </c>
      <c r="J6" s="247" t="str">
        <f t="shared" si="0"/>
        <v/>
      </c>
      <c r="K6" s="244" t="str">
        <f>IF(D6="","",IF('RELACIÓN DE FACTURAS'!AF10="","",'RELACIÓN DE FACTURAS'!AF10))</f>
        <v/>
      </c>
      <c r="L6" s="245"/>
      <c r="M6" s="246" t="str">
        <f>IF(D6="","",IF(N6="","REVISAR",IF(OR(N6&lt;EXPEDIENTE!$I$25,N6&gt;EXPEDIENTE!$I$29),"SI","NO")))</f>
        <v/>
      </c>
      <c r="N6" s="248" t="str">
        <f t="shared" si="1"/>
        <v/>
      </c>
      <c r="O6" s="249">
        <f>IF(N6&lt;EXPEDIENTE!$I$25,-1,IF(N6&gt;EXPEDIENTE!$I$29,1,0))</f>
        <v>0</v>
      </c>
      <c r="P6" s="250" t="str">
        <f t="shared" si="2"/>
        <v/>
      </c>
      <c r="Q6" s="245"/>
      <c r="R6" s="251"/>
      <c r="S6" s="252" t="str">
        <f>IF(OR(Q6="",R6=""),"",IF(Q6&gt;EXPEDIENTE!$I$27,"",MIN(DATE(YEAR(Q6),MONTH(Q6),DAY(Q6)+R6),EXPEDIENTE!$I$29)))</f>
        <v/>
      </c>
      <c r="T6" s="253" t="str">
        <f>IF(D6="","",IF(AND(P6="NO",Q6="",S6=""),"NO",IF(Q6&gt;EXPEDIENTE!$I$27,"ENTREGA FUERA PLAZO",IF(OR(Q6="",R6=""),"PDTE",IF(S6&lt;N6,"SI","NO")))))</f>
        <v/>
      </c>
      <c r="U6" s="254" t="str">
        <f>IF('RELACIÓN DE FACTURAS'!X10="","",'RELACIÓN DE FACTURAS'!X10)</f>
        <v/>
      </c>
      <c r="V6" s="255" t="str">
        <f>IF('RELACIÓN DE FACTURAS'!Y10="","",'RELACIÓN DE FACTURAS'!Y10)</f>
        <v/>
      </c>
      <c r="W6" s="256"/>
      <c r="X6" s="277" t="str">
        <f t="shared" si="3"/>
        <v/>
      </c>
      <c r="Y6" s="257"/>
    </row>
    <row r="7" spans="2:25" ht="39.950000000000003" customHeight="1" x14ac:dyDescent="0.2">
      <c r="B7" s="120">
        <f>IF(Y7&lt;&gt;"",MAX($B$5:B6)+1,0)</f>
        <v>0</v>
      </c>
      <c r="C7" s="122">
        <v>3</v>
      </c>
      <c r="D7" s="241" t="str">
        <f>IF('RELACIÓN DE FACTURAS'!O11="","",'RELACIÓN DE FACTURAS'!O11)</f>
        <v/>
      </c>
      <c r="E7" s="242" t="str">
        <f>IF(D7="SEGUNDO PAGO O POSTERIORES",E6,IF('RELACIÓN DE FACTURAS'!P11="","",'RELACIÓN DE FACTURAS'!P11))</f>
        <v/>
      </c>
      <c r="F7" s="243" t="str">
        <f>IF(D7="SEGUNDO PAGO O POSTERIORES",F6,IF('RELACIÓN DE FACTURAS'!R11="","",'RELACIÓN DE FACTURAS'!R11))</f>
        <v/>
      </c>
      <c r="G7" s="244" t="str">
        <f>IF(D7="","",IF(AND(D7="NUEVA FACTURA",'RELACIÓN DE FACTURAS'!Q11=""),"",IF(AND(D7="NUEVA FACTURA",'RELACIÓN DE FACTURAS'!Q11&lt;&gt;""),'RELACIÓN DE FACTURAS'!Q11,IF(D7="SEGUNDO PAGO O POSTERIORES",G6,""))))</f>
        <v/>
      </c>
      <c r="H7" s="245"/>
      <c r="I7" s="246" t="str">
        <f>IF(D7="","",IF(J7="","REVISAR",IF(OR(J7&lt;EXPEDIENTE!$I$25,J7&gt;EXPEDIENTE!$I$27),"SI","NO")))</f>
        <v/>
      </c>
      <c r="J7" s="247" t="str">
        <f t="shared" si="0"/>
        <v/>
      </c>
      <c r="K7" s="244" t="str">
        <f>IF(D7="","",IF('RELACIÓN DE FACTURAS'!AF11="","",'RELACIÓN DE FACTURAS'!AF11))</f>
        <v/>
      </c>
      <c r="L7" s="245"/>
      <c r="M7" s="246" t="str">
        <f>IF(D7="","",IF(N7="","REVISAR",IF(OR(N7&lt;EXPEDIENTE!$I$25,N7&gt;EXPEDIENTE!$I$29),"SI","NO")))</f>
        <v/>
      </c>
      <c r="N7" s="248" t="str">
        <f t="shared" si="1"/>
        <v/>
      </c>
      <c r="O7" s="249">
        <f>IF(N7&lt;EXPEDIENTE!$I$25,-1,IF(N7&gt;EXPEDIENTE!$I$29,1,0))</f>
        <v>0</v>
      </c>
      <c r="P7" s="250" t="str">
        <f t="shared" si="2"/>
        <v/>
      </c>
      <c r="Q7" s="245"/>
      <c r="R7" s="251"/>
      <c r="S7" s="252" t="str">
        <f>IF(OR(Q7="",R7=""),"",IF(Q7&gt;EXPEDIENTE!$I$27,"",MIN(DATE(YEAR(Q7),MONTH(Q7),DAY(Q7)+R7),EXPEDIENTE!$I$29)))</f>
        <v/>
      </c>
      <c r="T7" s="253" t="str">
        <f>IF(D7="","",IF(AND(P7="NO",Q7="",S7=""),"NO",IF(Q7&gt;EXPEDIENTE!$I$27,"ENTREGA FUERA PLAZO",IF(OR(Q7="",R7=""),"PDTE",IF(S7&lt;N7,"SI","NO")))))</f>
        <v/>
      </c>
      <c r="U7" s="254" t="str">
        <f>IF('RELACIÓN DE FACTURAS'!X11="","",'RELACIÓN DE FACTURAS'!X11)</f>
        <v/>
      </c>
      <c r="V7" s="255" t="str">
        <f>IF('RELACIÓN DE FACTURAS'!Y11="","",'RELACIÓN DE FACTURAS'!Y11)</f>
        <v/>
      </c>
      <c r="W7" s="256"/>
      <c r="X7" s="277" t="str">
        <f t="shared" si="3"/>
        <v/>
      </c>
      <c r="Y7" s="257"/>
    </row>
    <row r="8" spans="2:25" ht="39.950000000000003" customHeight="1" x14ac:dyDescent="0.2">
      <c r="B8" s="120">
        <f>IF(Y8&lt;&gt;"",MAX($B$5:B7)+1,0)</f>
        <v>0</v>
      </c>
      <c r="C8" s="122">
        <v>4</v>
      </c>
      <c r="D8" s="241" t="str">
        <f>IF('RELACIÓN DE FACTURAS'!O12="","",'RELACIÓN DE FACTURAS'!O12)</f>
        <v/>
      </c>
      <c r="E8" s="242" t="str">
        <f>IF(D8="SEGUNDO PAGO O POSTERIORES",E7,IF('RELACIÓN DE FACTURAS'!P12="","",'RELACIÓN DE FACTURAS'!P12))</f>
        <v/>
      </c>
      <c r="F8" s="243" t="str">
        <f>IF(D8="SEGUNDO PAGO O POSTERIORES",F7,IF('RELACIÓN DE FACTURAS'!R12="","",'RELACIÓN DE FACTURAS'!R12))</f>
        <v/>
      </c>
      <c r="G8" s="244" t="str">
        <f>IF(D8="","",IF(AND(D8="NUEVA FACTURA",'RELACIÓN DE FACTURAS'!Q12=""),"",IF(AND(D8="NUEVA FACTURA",'RELACIÓN DE FACTURAS'!Q12&lt;&gt;""),'RELACIÓN DE FACTURAS'!Q12,IF(D8="SEGUNDO PAGO O POSTERIORES",G7,""))))</f>
        <v/>
      </c>
      <c r="H8" s="245"/>
      <c r="I8" s="246" t="str">
        <f>IF(D8="","",IF(J8="","REVISAR",IF(OR(J8&lt;EXPEDIENTE!$I$25,J8&gt;EXPEDIENTE!$I$27),"SI","NO")))</f>
        <v/>
      </c>
      <c r="J8" s="247" t="str">
        <f t="shared" si="0"/>
        <v/>
      </c>
      <c r="K8" s="244" t="str">
        <f>IF(D8="","",IF('RELACIÓN DE FACTURAS'!AF12="","",'RELACIÓN DE FACTURAS'!AF12))</f>
        <v/>
      </c>
      <c r="L8" s="245"/>
      <c r="M8" s="246" t="str">
        <f>IF(D8="","",IF(N8="","REVISAR",IF(OR(N8&lt;EXPEDIENTE!$I$25,N8&gt;EXPEDIENTE!$I$29),"SI","NO")))</f>
        <v/>
      </c>
      <c r="N8" s="248" t="str">
        <f t="shared" si="1"/>
        <v/>
      </c>
      <c r="O8" s="249">
        <f>IF(N8&lt;EXPEDIENTE!$I$25,-1,IF(N8&gt;EXPEDIENTE!$I$29,1,0))</f>
        <v>0</v>
      </c>
      <c r="P8" s="250" t="str">
        <f t="shared" si="2"/>
        <v/>
      </c>
      <c r="Q8" s="245"/>
      <c r="R8" s="251"/>
      <c r="S8" s="252" t="str">
        <f>IF(OR(Q8="",R8=""),"",IF(Q8&gt;EXPEDIENTE!$I$27,"",MIN(DATE(YEAR(Q8),MONTH(Q8),DAY(Q8)+R8),EXPEDIENTE!$I$29)))</f>
        <v/>
      </c>
      <c r="T8" s="253" t="str">
        <f>IF(D8="","",IF(AND(P8="NO",Q8="",S8=""),"NO",IF(Q8&gt;EXPEDIENTE!$I$27,"ENTREGA FUERA PLAZO",IF(OR(Q8="",R8=""),"PDTE",IF(S8&lt;N8,"SI","NO")))))</f>
        <v/>
      </c>
      <c r="U8" s="254" t="str">
        <f>IF('RELACIÓN DE FACTURAS'!X12="","",'RELACIÓN DE FACTURAS'!X12)</f>
        <v/>
      </c>
      <c r="V8" s="255" t="str">
        <f>IF('RELACIÓN DE FACTURAS'!Y12="","",'RELACIÓN DE FACTURAS'!Y12)</f>
        <v/>
      </c>
      <c r="W8" s="256"/>
      <c r="X8" s="277" t="str">
        <f t="shared" si="3"/>
        <v/>
      </c>
      <c r="Y8" s="257"/>
    </row>
    <row r="9" spans="2:25" ht="39.950000000000003" customHeight="1" x14ac:dyDescent="0.2">
      <c r="B9" s="120">
        <f>IF(Y9&lt;&gt;"",MAX($B$5:B8)+1,0)</f>
        <v>0</v>
      </c>
      <c r="C9" s="122">
        <v>5</v>
      </c>
      <c r="D9" s="241" t="str">
        <f>IF('RELACIÓN DE FACTURAS'!O13="","",'RELACIÓN DE FACTURAS'!O13)</f>
        <v/>
      </c>
      <c r="E9" s="242" t="str">
        <f>IF(D9="SEGUNDO PAGO O POSTERIORES",E8,IF('RELACIÓN DE FACTURAS'!P13="","",'RELACIÓN DE FACTURAS'!P13))</f>
        <v/>
      </c>
      <c r="F9" s="243" t="str">
        <f>IF(D9="SEGUNDO PAGO O POSTERIORES",F8,IF('RELACIÓN DE FACTURAS'!R13="","",'RELACIÓN DE FACTURAS'!R13))</f>
        <v/>
      </c>
      <c r="G9" s="244" t="str">
        <f>IF(D9="","",IF(AND(D9="NUEVA FACTURA",'RELACIÓN DE FACTURAS'!Q13=""),"",IF(AND(D9="NUEVA FACTURA",'RELACIÓN DE FACTURAS'!Q13&lt;&gt;""),'RELACIÓN DE FACTURAS'!Q13,IF(D9="SEGUNDO PAGO O POSTERIORES",G8,""))))</f>
        <v/>
      </c>
      <c r="H9" s="245"/>
      <c r="I9" s="246" t="str">
        <f>IF(D9="","",IF(J9="","REVISAR",IF(OR(J9&lt;EXPEDIENTE!$I$25,J9&gt;EXPEDIENTE!$I$27),"SI","NO")))</f>
        <v/>
      </c>
      <c r="J9" s="247" t="str">
        <f t="shared" si="0"/>
        <v/>
      </c>
      <c r="K9" s="244" t="str">
        <f>IF(D9="","",IF('RELACIÓN DE FACTURAS'!AF13="","",'RELACIÓN DE FACTURAS'!AF13))</f>
        <v/>
      </c>
      <c r="L9" s="245"/>
      <c r="M9" s="246" t="str">
        <f>IF(D9="","",IF(N9="","REVISAR",IF(OR(N9&lt;EXPEDIENTE!$I$25,N9&gt;EXPEDIENTE!$I$29),"SI","NO")))</f>
        <v/>
      </c>
      <c r="N9" s="248" t="str">
        <f t="shared" si="1"/>
        <v/>
      </c>
      <c r="O9" s="249">
        <f>IF(N9&lt;EXPEDIENTE!$I$25,-1,IF(N9&gt;EXPEDIENTE!$I$29,1,0))</f>
        <v>0</v>
      </c>
      <c r="P9" s="250" t="str">
        <f t="shared" si="2"/>
        <v/>
      </c>
      <c r="Q9" s="245"/>
      <c r="R9" s="251"/>
      <c r="S9" s="252" t="str">
        <f>IF(OR(Q9="",R9=""),"",IF(Q9&gt;EXPEDIENTE!$I$27,"",MIN(DATE(YEAR(Q9),MONTH(Q9),DAY(Q9)+R9),EXPEDIENTE!$I$29)))</f>
        <v/>
      </c>
      <c r="T9" s="253" t="str">
        <f>IF(D9="","",IF(AND(P9="NO",Q9="",S9=""),"NO",IF(Q9&gt;EXPEDIENTE!$I$27,"ENTREGA FUERA PLAZO",IF(OR(Q9="",R9=""),"PDTE",IF(S9&lt;N9,"SI","NO")))))</f>
        <v/>
      </c>
      <c r="U9" s="254" t="str">
        <f>IF('RELACIÓN DE FACTURAS'!X13="","",'RELACIÓN DE FACTURAS'!X13)</f>
        <v/>
      </c>
      <c r="V9" s="255" t="str">
        <f>IF('RELACIÓN DE FACTURAS'!Y13="","",'RELACIÓN DE FACTURAS'!Y13)</f>
        <v/>
      </c>
      <c r="W9" s="256"/>
      <c r="X9" s="277" t="str">
        <f t="shared" si="3"/>
        <v/>
      </c>
      <c r="Y9" s="257"/>
    </row>
    <row r="10" spans="2:25" ht="39.950000000000003" customHeight="1" x14ac:dyDescent="0.2">
      <c r="B10" s="120">
        <f>IF(Y10&lt;&gt;"",MAX($B$5:B9)+1,0)</f>
        <v>0</v>
      </c>
      <c r="C10" s="122">
        <v>6</v>
      </c>
      <c r="D10" s="241" t="str">
        <f>IF('RELACIÓN DE FACTURAS'!O14="","",'RELACIÓN DE FACTURAS'!O14)</f>
        <v/>
      </c>
      <c r="E10" s="242" t="str">
        <f>IF(D10="SEGUNDO PAGO O POSTERIORES",E9,IF('RELACIÓN DE FACTURAS'!P14="","",'RELACIÓN DE FACTURAS'!P14))</f>
        <v/>
      </c>
      <c r="F10" s="243" t="str">
        <f>IF(D10="SEGUNDO PAGO O POSTERIORES",F9,IF('RELACIÓN DE FACTURAS'!R14="","",'RELACIÓN DE FACTURAS'!R14))</f>
        <v/>
      </c>
      <c r="G10" s="244" t="str">
        <f>IF(D10="","",IF(AND(D10="NUEVA FACTURA",'RELACIÓN DE FACTURAS'!Q14=""),"",IF(AND(D10="NUEVA FACTURA",'RELACIÓN DE FACTURAS'!Q14&lt;&gt;""),'RELACIÓN DE FACTURAS'!Q14,IF(D10="SEGUNDO PAGO O POSTERIORES",G9,""))))</f>
        <v/>
      </c>
      <c r="H10" s="245"/>
      <c r="I10" s="246" t="str">
        <f>IF(D10="","",IF(J10="","REVISAR",IF(OR(J10&lt;EXPEDIENTE!$I$25,J10&gt;EXPEDIENTE!$I$27),"SI","NO")))</f>
        <v/>
      </c>
      <c r="J10" s="247" t="str">
        <f t="shared" si="0"/>
        <v/>
      </c>
      <c r="K10" s="244" t="str">
        <f>IF(D10="","",IF('RELACIÓN DE FACTURAS'!AF14="","",'RELACIÓN DE FACTURAS'!AF14))</f>
        <v/>
      </c>
      <c r="L10" s="245"/>
      <c r="M10" s="246" t="str">
        <f>IF(D10="","",IF(N10="","REVISAR",IF(OR(N10&lt;EXPEDIENTE!$I$25,N10&gt;EXPEDIENTE!$I$29),"SI","NO")))</f>
        <v/>
      </c>
      <c r="N10" s="248" t="str">
        <f t="shared" si="1"/>
        <v/>
      </c>
      <c r="O10" s="249">
        <f>IF(N10&lt;EXPEDIENTE!$I$25,-1,IF(N10&gt;EXPEDIENTE!$I$29,1,0))</f>
        <v>0</v>
      </c>
      <c r="P10" s="250" t="str">
        <f t="shared" si="2"/>
        <v/>
      </c>
      <c r="Q10" s="245"/>
      <c r="R10" s="251"/>
      <c r="S10" s="252" t="str">
        <f>IF(OR(Q10="",R10=""),"",IF(Q10&gt;EXPEDIENTE!$I$27,"",MIN(DATE(YEAR(Q10),MONTH(Q10),DAY(Q10)+R10),EXPEDIENTE!$I$29)))</f>
        <v/>
      </c>
      <c r="T10" s="253" t="str">
        <f>IF(D10="","",IF(AND(P10="NO",Q10="",S10=""),"NO",IF(Q10&gt;EXPEDIENTE!$I$27,"ENTREGA FUERA PLAZO",IF(OR(Q10="",R10=""),"PDTE",IF(S10&lt;N10,"SI","NO")))))</f>
        <v/>
      </c>
      <c r="U10" s="254" t="str">
        <f>IF('RELACIÓN DE FACTURAS'!X14="","",'RELACIÓN DE FACTURAS'!X14)</f>
        <v/>
      </c>
      <c r="V10" s="255" t="str">
        <f>IF('RELACIÓN DE FACTURAS'!Y14="","",'RELACIÓN DE FACTURAS'!Y14)</f>
        <v/>
      </c>
      <c r="W10" s="256"/>
      <c r="X10" s="277" t="str">
        <f t="shared" si="3"/>
        <v/>
      </c>
      <c r="Y10" s="257"/>
    </row>
    <row r="11" spans="2:25" ht="39.950000000000003" customHeight="1" x14ac:dyDescent="0.2">
      <c r="B11" s="120">
        <f>IF(Y11&lt;&gt;"",MAX($B$5:B10)+1,0)</f>
        <v>0</v>
      </c>
      <c r="C11" s="122">
        <v>7</v>
      </c>
      <c r="D11" s="241" t="str">
        <f>IF('RELACIÓN DE FACTURAS'!O15="","",'RELACIÓN DE FACTURAS'!O15)</f>
        <v/>
      </c>
      <c r="E11" s="242" t="str">
        <f>IF(D11="SEGUNDO PAGO O POSTERIORES",E10,IF('RELACIÓN DE FACTURAS'!P15="","",'RELACIÓN DE FACTURAS'!P15))</f>
        <v/>
      </c>
      <c r="F11" s="243" t="str">
        <f>IF(D11="SEGUNDO PAGO O POSTERIORES",F10,IF('RELACIÓN DE FACTURAS'!R15="","",'RELACIÓN DE FACTURAS'!R15))</f>
        <v/>
      </c>
      <c r="G11" s="244" t="str">
        <f>IF(D11="","",IF(AND(D11="NUEVA FACTURA",'RELACIÓN DE FACTURAS'!Q15=""),"",IF(AND(D11="NUEVA FACTURA",'RELACIÓN DE FACTURAS'!Q15&lt;&gt;""),'RELACIÓN DE FACTURAS'!Q15,IF(D11="SEGUNDO PAGO O POSTERIORES",G10,""))))</f>
        <v/>
      </c>
      <c r="H11" s="245"/>
      <c r="I11" s="246" t="str">
        <f>IF(D11="","",IF(J11="","REVISAR",IF(OR(J11&lt;EXPEDIENTE!$I$25,J11&gt;EXPEDIENTE!$I$27),"SI","NO")))</f>
        <v/>
      </c>
      <c r="J11" s="247" t="str">
        <f t="shared" si="0"/>
        <v/>
      </c>
      <c r="K11" s="244" t="str">
        <f>IF(D11="","",IF('RELACIÓN DE FACTURAS'!AF15="","",'RELACIÓN DE FACTURAS'!AF15))</f>
        <v/>
      </c>
      <c r="L11" s="245"/>
      <c r="M11" s="246" t="str">
        <f>IF(D11="","",IF(N11="","REVISAR",IF(OR(N11&lt;EXPEDIENTE!$I$25,N11&gt;EXPEDIENTE!$I$29),"SI","NO")))</f>
        <v/>
      </c>
      <c r="N11" s="248" t="str">
        <f t="shared" si="1"/>
        <v/>
      </c>
      <c r="O11" s="249">
        <f>IF(N11&lt;EXPEDIENTE!$I$25,-1,IF(N11&gt;EXPEDIENTE!$I$29,1,0))</f>
        <v>0</v>
      </c>
      <c r="P11" s="250" t="str">
        <f t="shared" si="2"/>
        <v/>
      </c>
      <c r="Q11" s="245"/>
      <c r="R11" s="251"/>
      <c r="S11" s="252" t="str">
        <f>IF(OR(Q11="",R11=""),"",IF(Q11&gt;EXPEDIENTE!$I$27,"",MIN(DATE(YEAR(Q11),MONTH(Q11),DAY(Q11)+R11),EXPEDIENTE!$I$29)))</f>
        <v/>
      </c>
      <c r="T11" s="253" t="str">
        <f>IF(D11="","",IF(AND(P11="NO",Q11="",S11=""),"NO",IF(Q11&gt;EXPEDIENTE!$I$27,"ENTREGA FUERA PLAZO",IF(OR(Q11="",R11=""),"PDTE",IF(S11&lt;N11,"SI","NO")))))</f>
        <v/>
      </c>
      <c r="U11" s="254" t="str">
        <f>IF('RELACIÓN DE FACTURAS'!X15="","",'RELACIÓN DE FACTURAS'!X15)</f>
        <v/>
      </c>
      <c r="V11" s="255" t="str">
        <f>IF('RELACIÓN DE FACTURAS'!Y15="","",'RELACIÓN DE FACTURAS'!Y15)</f>
        <v/>
      </c>
      <c r="W11" s="256"/>
      <c r="X11" s="277" t="str">
        <f t="shared" si="3"/>
        <v/>
      </c>
      <c r="Y11" s="257"/>
    </row>
    <row r="12" spans="2:25" ht="39.950000000000003" customHeight="1" x14ac:dyDescent="0.2">
      <c r="B12" s="120">
        <f>IF(Y12&lt;&gt;"",MAX($B$5:B11)+1,0)</f>
        <v>0</v>
      </c>
      <c r="C12" s="122">
        <v>8</v>
      </c>
      <c r="D12" s="241" t="str">
        <f>IF('RELACIÓN DE FACTURAS'!O16="","",'RELACIÓN DE FACTURAS'!O16)</f>
        <v/>
      </c>
      <c r="E12" s="242" t="str">
        <f>IF(D12="SEGUNDO PAGO O POSTERIORES",E11,IF('RELACIÓN DE FACTURAS'!P16="","",'RELACIÓN DE FACTURAS'!P16))</f>
        <v/>
      </c>
      <c r="F12" s="243" t="str">
        <f>IF(D12="SEGUNDO PAGO O POSTERIORES",F11,IF('RELACIÓN DE FACTURAS'!R16="","",'RELACIÓN DE FACTURAS'!R16))</f>
        <v/>
      </c>
      <c r="G12" s="244" t="str">
        <f>IF(D12="","",IF(AND(D12="NUEVA FACTURA",'RELACIÓN DE FACTURAS'!Q16=""),"",IF(AND(D12="NUEVA FACTURA",'RELACIÓN DE FACTURAS'!Q16&lt;&gt;""),'RELACIÓN DE FACTURAS'!Q16,IF(D12="SEGUNDO PAGO O POSTERIORES",G11,""))))</f>
        <v/>
      </c>
      <c r="H12" s="245"/>
      <c r="I12" s="246" t="str">
        <f>IF(D12="","",IF(J12="","REVISAR",IF(OR(J12&lt;EXPEDIENTE!$I$25,J12&gt;EXPEDIENTE!$I$27),"SI","NO")))</f>
        <v/>
      </c>
      <c r="J12" s="247" t="str">
        <f t="shared" si="0"/>
        <v/>
      </c>
      <c r="K12" s="244" t="str">
        <f>IF(D12="","",IF('RELACIÓN DE FACTURAS'!AF16="","",'RELACIÓN DE FACTURAS'!AF16))</f>
        <v/>
      </c>
      <c r="L12" s="245"/>
      <c r="M12" s="246" t="str">
        <f>IF(D12="","",IF(N12="","REVISAR",IF(OR(N12&lt;EXPEDIENTE!$I$25,N12&gt;EXPEDIENTE!$I$29),"SI","NO")))</f>
        <v/>
      </c>
      <c r="N12" s="248" t="str">
        <f t="shared" si="1"/>
        <v/>
      </c>
      <c r="O12" s="249">
        <f>IF(N12&lt;EXPEDIENTE!$I$25,-1,IF(N12&gt;EXPEDIENTE!$I$29,1,0))</f>
        <v>0</v>
      </c>
      <c r="P12" s="250" t="str">
        <f t="shared" si="2"/>
        <v/>
      </c>
      <c r="Q12" s="245"/>
      <c r="R12" s="251"/>
      <c r="S12" s="252" t="str">
        <f>IF(OR(Q12="",R12=""),"",IF(Q12&gt;EXPEDIENTE!$I$27,"",MIN(DATE(YEAR(Q12),MONTH(Q12),DAY(Q12)+R12),EXPEDIENTE!$I$29)))</f>
        <v/>
      </c>
      <c r="T12" s="253" t="str">
        <f>IF(D12="","",IF(AND(P12="NO",Q12="",S12=""),"NO",IF(Q12&gt;EXPEDIENTE!$I$27,"ENTREGA FUERA PLAZO",IF(OR(Q12="",R12=""),"PDTE",IF(S12&lt;N12,"SI","NO")))))</f>
        <v/>
      </c>
      <c r="U12" s="254" t="str">
        <f>IF('RELACIÓN DE FACTURAS'!X16="","",'RELACIÓN DE FACTURAS'!X16)</f>
        <v/>
      </c>
      <c r="V12" s="255" t="str">
        <f>IF('RELACIÓN DE FACTURAS'!Y16="","",'RELACIÓN DE FACTURAS'!Y16)</f>
        <v/>
      </c>
      <c r="W12" s="256"/>
      <c r="X12" s="277" t="str">
        <f t="shared" si="3"/>
        <v/>
      </c>
      <c r="Y12" s="257"/>
    </row>
    <row r="13" spans="2:25" ht="39.950000000000003" customHeight="1" x14ac:dyDescent="0.2">
      <c r="B13" s="120">
        <f>IF(Y13&lt;&gt;"",MAX($B$5:B12)+1,0)</f>
        <v>0</v>
      </c>
      <c r="C13" s="122">
        <v>9</v>
      </c>
      <c r="D13" s="241" t="str">
        <f>IF('RELACIÓN DE FACTURAS'!O17="","",'RELACIÓN DE FACTURAS'!O17)</f>
        <v/>
      </c>
      <c r="E13" s="242" t="str">
        <f>IF(D13="SEGUNDO PAGO O POSTERIORES",E12,IF('RELACIÓN DE FACTURAS'!P17="","",'RELACIÓN DE FACTURAS'!P17))</f>
        <v/>
      </c>
      <c r="F13" s="243" t="str">
        <f>IF(D13="SEGUNDO PAGO O POSTERIORES",F12,IF('RELACIÓN DE FACTURAS'!R17="","",'RELACIÓN DE FACTURAS'!R17))</f>
        <v/>
      </c>
      <c r="G13" s="244" t="str">
        <f>IF(D13="","",IF(AND(D13="NUEVA FACTURA",'RELACIÓN DE FACTURAS'!Q17=""),"",IF(AND(D13="NUEVA FACTURA",'RELACIÓN DE FACTURAS'!Q17&lt;&gt;""),'RELACIÓN DE FACTURAS'!Q17,IF(D13="SEGUNDO PAGO O POSTERIORES",G12,""))))</f>
        <v/>
      </c>
      <c r="H13" s="245"/>
      <c r="I13" s="246" t="str">
        <f>IF(D13="","",IF(J13="","REVISAR",IF(OR(J13&lt;EXPEDIENTE!$I$25,J13&gt;EXPEDIENTE!$I$27),"SI","NO")))</f>
        <v/>
      </c>
      <c r="J13" s="247" t="str">
        <f t="shared" si="0"/>
        <v/>
      </c>
      <c r="K13" s="244" t="str">
        <f>IF(D13="","",IF('RELACIÓN DE FACTURAS'!AF17="","",'RELACIÓN DE FACTURAS'!AF17))</f>
        <v/>
      </c>
      <c r="L13" s="245"/>
      <c r="M13" s="246" t="str">
        <f>IF(D13="","",IF(N13="","REVISAR",IF(OR(N13&lt;EXPEDIENTE!$I$25,N13&gt;EXPEDIENTE!$I$29),"SI","NO")))</f>
        <v/>
      </c>
      <c r="N13" s="248" t="str">
        <f t="shared" si="1"/>
        <v/>
      </c>
      <c r="O13" s="249">
        <f>IF(N13&lt;EXPEDIENTE!$I$25,-1,IF(N13&gt;EXPEDIENTE!$I$29,1,0))</f>
        <v>0</v>
      </c>
      <c r="P13" s="250" t="str">
        <f t="shared" si="2"/>
        <v/>
      </c>
      <c r="Q13" s="245"/>
      <c r="R13" s="251"/>
      <c r="S13" s="252" t="str">
        <f>IF(OR(Q13="",R13=""),"",IF(Q13&gt;EXPEDIENTE!$I$27,"",MIN(DATE(YEAR(Q13),MONTH(Q13),DAY(Q13)+R13),EXPEDIENTE!$I$29)))</f>
        <v/>
      </c>
      <c r="T13" s="253" t="str">
        <f>IF(D13="","",IF(AND(P13="NO",Q13="",S13=""),"NO",IF(Q13&gt;EXPEDIENTE!$I$27,"ENTREGA FUERA PLAZO",IF(OR(Q13="",R13=""),"PDTE",IF(S13&lt;N13,"SI","NO")))))</f>
        <v/>
      </c>
      <c r="U13" s="254" t="str">
        <f>IF('RELACIÓN DE FACTURAS'!X17="","",'RELACIÓN DE FACTURAS'!X17)</f>
        <v/>
      </c>
      <c r="V13" s="255" t="str">
        <f>IF('RELACIÓN DE FACTURAS'!Y17="","",'RELACIÓN DE FACTURAS'!Y17)</f>
        <v/>
      </c>
      <c r="W13" s="256"/>
      <c r="X13" s="277" t="str">
        <f t="shared" si="3"/>
        <v/>
      </c>
      <c r="Y13" s="257"/>
    </row>
    <row r="14" spans="2:25" ht="39.950000000000003" customHeight="1" x14ac:dyDescent="0.2">
      <c r="B14" s="120">
        <f>IF(Y14&lt;&gt;"",MAX($B$5:B13)+1,0)</f>
        <v>0</v>
      </c>
      <c r="C14" s="122">
        <v>10</v>
      </c>
      <c r="D14" s="241" t="str">
        <f>IF('RELACIÓN DE FACTURAS'!O18="","",'RELACIÓN DE FACTURAS'!O18)</f>
        <v/>
      </c>
      <c r="E14" s="242" t="str">
        <f>IF(D14="SEGUNDO PAGO O POSTERIORES",E13,IF('RELACIÓN DE FACTURAS'!P18="","",'RELACIÓN DE FACTURAS'!P18))</f>
        <v/>
      </c>
      <c r="F14" s="243" t="str">
        <f>IF(D14="SEGUNDO PAGO O POSTERIORES",F13,IF('RELACIÓN DE FACTURAS'!R18="","",'RELACIÓN DE FACTURAS'!R18))</f>
        <v/>
      </c>
      <c r="G14" s="244" t="str">
        <f>IF(D14="","",IF(AND(D14="NUEVA FACTURA",'RELACIÓN DE FACTURAS'!Q18=""),"",IF(AND(D14="NUEVA FACTURA",'RELACIÓN DE FACTURAS'!Q18&lt;&gt;""),'RELACIÓN DE FACTURAS'!Q18,IF(D14="SEGUNDO PAGO O POSTERIORES",G13,""))))</f>
        <v/>
      </c>
      <c r="H14" s="245"/>
      <c r="I14" s="246" t="str">
        <f>IF(D14="","",IF(J14="","REVISAR",IF(OR(J14&lt;EXPEDIENTE!$I$25,J14&gt;EXPEDIENTE!$I$27),"SI","NO")))</f>
        <v/>
      </c>
      <c r="J14" s="247" t="str">
        <f t="shared" si="0"/>
        <v/>
      </c>
      <c r="K14" s="244" t="str">
        <f>IF(D14="","",IF('RELACIÓN DE FACTURAS'!AF18="","",'RELACIÓN DE FACTURAS'!AF18))</f>
        <v/>
      </c>
      <c r="L14" s="245"/>
      <c r="M14" s="246" t="str">
        <f>IF(D14="","",IF(N14="","REVISAR",IF(OR(N14&lt;EXPEDIENTE!$I$25,N14&gt;EXPEDIENTE!$I$29),"SI","NO")))</f>
        <v/>
      </c>
      <c r="N14" s="248" t="str">
        <f t="shared" si="1"/>
        <v/>
      </c>
      <c r="O14" s="249">
        <f>IF(N14&lt;EXPEDIENTE!$I$25,-1,IF(N14&gt;EXPEDIENTE!$I$29,1,0))</f>
        <v>0</v>
      </c>
      <c r="P14" s="250" t="str">
        <f t="shared" si="2"/>
        <v/>
      </c>
      <c r="Q14" s="245"/>
      <c r="R14" s="251"/>
      <c r="S14" s="252" t="str">
        <f>IF(OR(Q14="",R14=""),"",IF(Q14&gt;EXPEDIENTE!$I$27,"",MIN(DATE(YEAR(Q14),MONTH(Q14),DAY(Q14)+R14),EXPEDIENTE!$I$29)))</f>
        <v/>
      </c>
      <c r="T14" s="253" t="str">
        <f>IF(D14="","",IF(AND(P14="NO",Q14="",S14=""),"NO",IF(Q14&gt;EXPEDIENTE!$I$27,"ENTREGA FUERA PLAZO",IF(OR(Q14="",R14=""),"PDTE",IF(S14&lt;N14,"SI","NO")))))</f>
        <v/>
      </c>
      <c r="U14" s="254" t="str">
        <f>IF('RELACIÓN DE FACTURAS'!X18="","",'RELACIÓN DE FACTURAS'!X18)</f>
        <v/>
      </c>
      <c r="V14" s="255" t="str">
        <f>IF('RELACIÓN DE FACTURAS'!Y18="","",'RELACIÓN DE FACTURAS'!Y18)</f>
        <v/>
      </c>
      <c r="W14" s="256"/>
      <c r="X14" s="277" t="str">
        <f t="shared" si="3"/>
        <v/>
      </c>
      <c r="Y14" s="257"/>
    </row>
    <row r="15" spans="2:25" ht="39.950000000000003" customHeight="1" x14ac:dyDescent="0.2">
      <c r="B15" s="120">
        <f>IF(Y15&lt;&gt;"",MAX($B$5:B14)+1,0)</f>
        <v>0</v>
      </c>
      <c r="C15" s="122">
        <v>11</v>
      </c>
      <c r="D15" s="241" t="str">
        <f>IF('RELACIÓN DE FACTURAS'!O19="","",'RELACIÓN DE FACTURAS'!O19)</f>
        <v/>
      </c>
      <c r="E15" s="242" t="str">
        <f>IF(D15="SEGUNDO PAGO O POSTERIORES",E14,IF('RELACIÓN DE FACTURAS'!P19="","",'RELACIÓN DE FACTURAS'!P19))</f>
        <v/>
      </c>
      <c r="F15" s="243" t="str">
        <f>IF(D15="SEGUNDO PAGO O POSTERIORES",F14,IF('RELACIÓN DE FACTURAS'!R19="","",'RELACIÓN DE FACTURAS'!R19))</f>
        <v/>
      </c>
      <c r="G15" s="244" t="str">
        <f>IF(D15="","",IF(AND(D15="NUEVA FACTURA",'RELACIÓN DE FACTURAS'!Q19=""),"",IF(AND(D15="NUEVA FACTURA",'RELACIÓN DE FACTURAS'!Q19&lt;&gt;""),'RELACIÓN DE FACTURAS'!Q19,IF(D15="SEGUNDO PAGO O POSTERIORES",G14,""))))</f>
        <v/>
      </c>
      <c r="H15" s="245"/>
      <c r="I15" s="246" t="str">
        <f>IF(D15="","",IF(J15="","REVISAR",IF(OR(J15&lt;EXPEDIENTE!$I$25,J15&gt;EXPEDIENTE!$I$27),"SI","NO")))</f>
        <v/>
      </c>
      <c r="J15" s="247" t="str">
        <f t="shared" si="0"/>
        <v/>
      </c>
      <c r="K15" s="244" t="str">
        <f>IF(D15="","",IF('RELACIÓN DE FACTURAS'!AF19="","",'RELACIÓN DE FACTURAS'!AF19))</f>
        <v/>
      </c>
      <c r="L15" s="245"/>
      <c r="M15" s="246" t="str">
        <f>IF(D15="","",IF(N15="","REVISAR",IF(OR(N15&lt;EXPEDIENTE!$I$25,N15&gt;EXPEDIENTE!$I$29),"SI","NO")))</f>
        <v/>
      </c>
      <c r="N15" s="248" t="str">
        <f t="shared" si="1"/>
        <v/>
      </c>
      <c r="O15" s="249">
        <f>IF(N15&lt;EXPEDIENTE!$I$25,-1,IF(N15&gt;EXPEDIENTE!$I$29,1,0))</f>
        <v>0</v>
      </c>
      <c r="P15" s="250" t="str">
        <f t="shared" si="2"/>
        <v/>
      </c>
      <c r="Q15" s="245"/>
      <c r="R15" s="251"/>
      <c r="S15" s="252" t="str">
        <f>IF(OR(Q15="",R15=""),"",IF(Q15&gt;EXPEDIENTE!$I$27,"",MIN(DATE(YEAR(Q15),MONTH(Q15),DAY(Q15)+R15),EXPEDIENTE!$I$29)))</f>
        <v/>
      </c>
      <c r="T15" s="253" t="str">
        <f>IF(D15="","",IF(AND(P15="NO",Q15="",S15=""),"NO",IF(Q15&gt;EXPEDIENTE!$I$27,"ENTREGA FUERA PLAZO",IF(OR(Q15="",R15=""),"PDTE",IF(S15&lt;N15,"SI","NO")))))</f>
        <v/>
      </c>
      <c r="U15" s="254" t="str">
        <f>IF('RELACIÓN DE FACTURAS'!X19="","",'RELACIÓN DE FACTURAS'!X19)</f>
        <v/>
      </c>
      <c r="V15" s="255" t="str">
        <f>IF('RELACIÓN DE FACTURAS'!Y19="","",'RELACIÓN DE FACTURAS'!Y19)</f>
        <v/>
      </c>
      <c r="W15" s="256"/>
      <c r="X15" s="277" t="str">
        <f t="shared" si="3"/>
        <v/>
      </c>
      <c r="Y15" s="257"/>
    </row>
    <row r="16" spans="2:25" ht="39.950000000000003" customHeight="1" x14ac:dyDescent="0.2">
      <c r="B16" s="120">
        <f>IF(Y16&lt;&gt;"",MAX($B$5:B15)+1,0)</f>
        <v>0</v>
      </c>
      <c r="C16" s="122">
        <v>12</v>
      </c>
      <c r="D16" s="241" t="str">
        <f>IF('RELACIÓN DE FACTURAS'!O20="","",'RELACIÓN DE FACTURAS'!O20)</f>
        <v/>
      </c>
      <c r="E16" s="242" t="str">
        <f>IF(D16="SEGUNDO PAGO O POSTERIORES",E15,IF('RELACIÓN DE FACTURAS'!P20="","",'RELACIÓN DE FACTURAS'!P20))</f>
        <v/>
      </c>
      <c r="F16" s="243" t="str">
        <f>IF(D16="SEGUNDO PAGO O POSTERIORES",F15,IF('RELACIÓN DE FACTURAS'!R20="","",'RELACIÓN DE FACTURAS'!R20))</f>
        <v/>
      </c>
      <c r="G16" s="244" t="str">
        <f>IF(D16="","",IF(AND(D16="NUEVA FACTURA",'RELACIÓN DE FACTURAS'!Q20=""),"",IF(AND(D16="NUEVA FACTURA",'RELACIÓN DE FACTURAS'!Q20&lt;&gt;""),'RELACIÓN DE FACTURAS'!Q20,IF(D16="SEGUNDO PAGO O POSTERIORES",G15,""))))</f>
        <v/>
      </c>
      <c r="H16" s="245"/>
      <c r="I16" s="246" t="str">
        <f>IF(D16="","",IF(J16="","REVISAR",IF(OR(J16&lt;EXPEDIENTE!$I$25,J16&gt;EXPEDIENTE!$I$27),"SI","NO")))</f>
        <v/>
      </c>
      <c r="J16" s="247" t="str">
        <f t="shared" si="0"/>
        <v/>
      </c>
      <c r="K16" s="244" t="str">
        <f>IF(D16="","",IF('RELACIÓN DE FACTURAS'!AF20="","",'RELACIÓN DE FACTURAS'!AF20))</f>
        <v/>
      </c>
      <c r="L16" s="245"/>
      <c r="M16" s="246" t="str">
        <f>IF(D16="","",IF(N16="","REVISAR",IF(OR(N16&lt;EXPEDIENTE!$I$25,N16&gt;EXPEDIENTE!$I$29),"SI","NO")))</f>
        <v/>
      </c>
      <c r="N16" s="248" t="str">
        <f t="shared" si="1"/>
        <v/>
      </c>
      <c r="O16" s="249">
        <f>IF(N16&lt;EXPEDIENTE!$I$25,-1,IF(N16&gt;EXPEDIENTE!$I$29,1,0))</f>
        <v>0</v>
      </c>
      <c r="P16" s="250" t="str">
        <f t="shared" si="2"/>
        <v/>
      </c>
      <c r="Q16" s="245"/>
      <c r="R16" s="251"/>
      <c r="S16" s="252" t="str">
        <f>IF(OR(Q16="",R16=""),"",IF(Q16&gt;EXPEDIENTE!$I$27,"",MIN(DATE(YEAR(Q16),MONTH(Q16),DAY(Q16)+R16),EXPEDIENTE!$I$29)))</f>
        <v/>
      </c>
      <c r="T16" s="253" t="str">
        <f>IF(D16="","",IF(AND(P16="NO",Q16="",S16=""),"NO",IF(Q16&gt;EXPEDIENTE!$I$27,"ENTREGA FUERA PLAZO",IF(OR(Q16="",R16=""),"PDTE",IF(S16&lt;N16,"SI","NO")))))</f>
        <v/>
      </c>
      <c r="U16" s="254" t="str">
        <f>IF('RELACIÓN DE FACTURAS'!X20="","",'RELACIÓN DE FACTURAS'!X20)</f>
        <v/>
      </c>
      <c r="V16" s="255" t="str">
        <f>IF('RELACIÓN DE FACTURAS'!Y20="","",'RELACIÓN DE FACTURAS'!Y20)</f>
        <v/>
      </c>
      <c r="W16" s="256"/>
      <c r="X16" s="277" t="str">
        <f t="shared" si="3"/>
        <v/>
      </c>
      <c r="Y16" s="257"/>
    </row>
    <row r="17" spans="2:25" ht="39.950000000000003" customHeight="1" x14ac:dyDescent="0.2">
      <c r="B17" s="120">
        <f>IF(Y17&lt;&gt;"",MAX($B$5:B16)+1,0)</f>
        <v>0</v>
      </c>
      <c r="C17" s="122">
        <v>13</v>
      </c>
      <c r="D17" s="241" t="str">
        <f>IF('RELACIÓN DE FACTURAS'!O21="","",'RELACIÓN DE FACTURAS'!O21)</f>
        <v/>
      </c>
      <c r="E17" s="242" t="str">
        <f>IF(D17="SEGUNDO PAGO O POSTERIORES",E16,IF('RELACIÓN DE FACTURAS'!P21="","",'RELACIÓN DE FACTURAS'!P21))</f>
        <v/>
      </c>
      <c r="F17" s="243" t="str">
        <f>IF(D17="SEGUNDO PAGO O POSTERIORES",F16,IF('RELACIÓN DE FACTURAS'!R21="","",'RELACIÓN DE FACTURAS'!R21))</f>
        <v/>
      </c>
      <c r="G17" s="244" t="str">
        <f>IF(D17="","",IF(AND(D17="NUEVA FACTURA",'RELACIÓN DE FACTURAS'!Q21=""),"",IF(AND(D17="NUEVA FACTURA",'RELACIÓN DE FACTURAS'!Q21&lt;&gt;""),'RELACIÓN DE FACTURAS'!Q21,IF(D17="SEGUNDO PAGO O POSTERIORES",G16,""))))</f>
        <v/>
      </c>
      <c r="H17" s="245"/>
      <c r="I17" s="246" t="str">
        <f>IF(D17="","",IF(J17="","REVISAR",IF(OR(J17&lt;EXPEDIENTE!$I$25,J17&gt;EXPEDIENTE!$I$27),"SI","NO")))</f>
        <v/>
      </c>
      <c r="J17" s="247" t="str">
        <f t="shared" si="0"/>
        <v/>
      </c>
      <c r="K17" s="244" t="str">
        <f>IF(D17="","",IF('RELACIÓN DE FACTURAS'!AF21="","",'RELACIÓN DE FACTURAS'!AF21))</f>
        <v/>
      </c>
      <c r="L17" s="245"/>
      <c r="M17" s="246" t="str">
        <f>IF(D17="","",IF(N17="","REVISAR",IF(OR(N17&lt;EXPEDIENTE!$I$25,N17&gt;EXPEDIENTE!$I$29),"SI","NO")))</f>
        <v/>
      </c>
      <c r="N17" s="248" t="str">
        <f t="shared" si="1"/>
        <v/>
      </c>
      <c r="O17" s="249">
        <f>IF(N17&lt;EXPEDIENTE!$I$25,-1,IF(N17&gt;EXPEDIENTE!$I$29,1,0))</f>
        <v>0</v>
      </c>
      <c r="P17" s="250" t="str">
        <f t="shared" si="2"/>
        <v/>
      </c>
      <c r="Q17" s="245"/>
      <c r="R17" s="251"/>
      <c r="S17" s="252" t="str">
        <f>IF(OR(Q17="",R17=""),"",IF(Q17&gt;EXPEDIENTE!$I$27,"",MIN(DATE(YEAR(Q17),MONTH(Q17),DAY(Q17)+R17),EXPEDIENTE!$I$29)))</f>
        <v/>
      </c>
      <c r="T17" s="253" t="str">
        <f>IF(D17="","",IF(AND(P17="NO",Q17="",S17=""),"NO",IF(Q17&gt;EXPEDIENTE!$I$27,"ENTREGA FUERA PLAZO",IF(OR(Q17="",R17=""),"PDTE",IF(S17&lt;N17,"SI","NO")))))</f>
        <v/>
      </c>
      <c r="U17" s="254" t="str">
        <f>IF('RELACIÓN DE FACTURAS'!X21="","",'RELACIÓN DE FACTURAS'!X21)</f>
        <v/>
      </c>
      <c r="V17" s="255" t="str">
        <f>IF('RELACIÓN DE FACTURAS'!Y21="","",'RELACIÓN DE FACTURAS'!Y21)</f>
        <v/>
      </c>
      <c r="W17" s="256"/>
      <c r="X17" s="277" t="str">
        <f t="shared" si="3"/>
        <v/>
      </c>
      <c r="Y17" s="257"/>
    </row>
    <row r="18" spans="2:25" ht="39.950000000000003" customHeight="1" x14ac:dyDescent="0.2">
      <c r="B18" s="120">
        <f>IF(Y18&lt;&gt;"",MAX($B$5:B17)+1,0)</f>
        <v>0</v>
      </c>
      <c r="C18" s="122">
        <v>14</v>
      </c>
      <c r="D18" s="241" t="str">
        <f>IF('RELACIÓN DE FACTURAS'!O22="","",'RELACIÓN DE FACTURAS'!O22)</f>
        <v/>
      </c>
      <c r="E18" s="242" t="str">
        <f>IF(D18="SEGUNDO PAGO O POSTERIORES",E17,IF('RELACIÓN DE FACTURAS'!P22="","",'RELACIÓN DE FACTURAS'!P22))</f>
        <v/>
      </c>
      <c r="F18" s="243" t="str">
        <f>IF(D18="SEGUNDO PAGO O POSTERIORES",F17,IF('RELACIÓN DE FACTURAS'!R22="","",'RELACIÓN DE FACTURAS'!R22))</f>
        <v/>
      </c>
      <c r="G18" s="244" t="str">
        <f>IF(D18="","",IF(AND(D18="NUEVA FACTURA",'RELACIÓN DE FACTURAS'!Q22=""),"",IF(AND(D18="NUEVA FACTURA",'RELACIÓN DE FACTURAS'!Q22&lt;&gt;""),'RELACIÓN DE FACTURAS'!Q22,IF(D18="SEGUNDO PAGO O POSTERIORES",G17,""))))</f>
        <v/>
      </c>
      <c r="H18" s="245"/>
      <c r="I18" s="246" t="str">
        <f>IF(D18="","",IF(J18="","REVISAR",IF(OR(J18&lt;EXPEDIENTE!$I$25,J18&gt;EXPEDIENTE!$I$27),"SI","NO")))</f>
        <v/>
      </c>
      <c r="J18" s="247" t="str">
        <f t="shared" si="0"/>
        <v/>
      </c>
      <c r="K18" s="244" t="str">
        <f>IF(D18="","",IF('RELACIÓN DE FACTURAS'!AF22="","",'RELACIÓN DE FACTURAS'!AF22))</f>
        <v/>
      </c>
      <c r="L18" s="245"/>
      <c r="M18" s="246" t="str">
        <f>IF(D18="","",IF(N18="","REVISAR",IF(OR(N18&lt;EXPEDIENTE!$I$25,N18&gt;EXPEDIENTE!$I$29),"SI","NO")))</f>
        <v/>
      </c>
      <c r="N18" s="248" t="str">
        <f t="shared" si="1"/>
        <v/>
      </c>
      <c r="O18" s="249">
        <f>IF(N18&lt;EXPEDIENTE!$I$25,-1,IF(N18&gt;EXPEDIENTE!$I$29,1,0))</f>
        <v>0</v>
      </c>
      <c r="P18" s="250" t="str">
        <f t="shared" si="2"/>
        <v/>
      </c>
      <c r="Q18" s="245"/>
      <c r="R18" s="251"/>
      <c r="S18" s="252" t="str">
        <f>IF(OR(Q18="",R18=""),"",IF(Q18&gt;EXPEDIENTE!$I$27,"",MIN(DATE(YEAR(Q18),MONTH(Q18),DAY(Q18)+R18),EXPEDIENTE!$I$29)))</f>
        <v/>
      </c>
      <c r="T18" s="253" t="str">
        <f>IF(D18="","",IF(AND(P18="NO",Q18="",S18=""),"NO",IF(Q18&gt;EXPEDIENTE!$I$27,"ENTREGA FUERA PLAZO",IF(OR(Q18="",R18=""),"PDTE",IF(S18&lt;N18,"SI","NO")))))</f>
        <v/>
      </c>
      <c r="U18" s="254" t="str">
        <f>IF('RELACIÓN DE FACTURAS'!X22="","",'RELACIÓN DE FACTURAS'!X22)</f>
        <v/>
      </c>
      <c r="V18" s="255" t="str">
        <f>IF('RELACIÓN DE FACTURAS'!Y22="","",'RELACIÓN DE FACTURAS'!Y22)</f>
        <v/>
      </c>
      <c r="W18" s="256"/>
      <c r="X18" s="277" t="str">
        <f t="shared" si="3"/>
        <v/>
      </c>
      <c r="Y18" s="257"/>
    </row>
    <row r="19" spans="2:25" ht="39.950000000000003" customHeight="1" x14ac:dyDescent="0.2">
      <c r="B19" s="120">
        <f>IF(Y19&lt;&gt;"",MAX($B$5:B18)+1,0)</f>
        <v>0</v>
      </c>
      <c r="C19" s="122">
        <v>15</v>
      </c>
      <c r="D19" s="241" t="str">
        <f>IF('RELACIÓN DE FACTURAS'!O23="","",'RELACIÓN DE FACTURAS'!O23)</f>
        <v/>
      </c>
      <c r="E19" s="242" t="str">
        <f>IF(D19="SEGUNDO PAGO O POSTERIORES",E18,IF('RELACIÓN DE FACTURAS'!P23="","",'RELACIÓN DE FACTURAS'!P23))</f>
        <v/>
      </c>
      <c r="F19" s="243" t="str">
        <f>IF(D19="SEGUNDO PAGO O POSTERIORES",F18,IF('RELACIÓN DE FACTURAS'!R23="","",'RELACIÓN DE FACTURAS'!R23))</f>
        <v/>
      </c>
      <c r="G19" s="244" t="str">
        <f>IF(D19="","",IF(AND(D19="NUEVA FACTURA",'RELACIÓN DE FACTURAS'!Q23=""),"",IF(AND(D19="NUEVA FACTURA",'RELACIÓN DE FACTURAS'!Q23&lt;&gt;""),'RELACIÓN DE FACTURAS'!Q23,IF(D19="SEGUNDO PAGO O POSTERIORES",G18,""))))</f>
        <v/>
      </c>
      <c r="H19" s="245"/>
      <c r="I19" s="246" t="str">
        <f>IF(D19="","",IF(J19="","REVISAR",IF(OR(J19&lt;EXPEDIENTE!$I$25,J19&gt;EXPEDIENTE!$I$27),"SI","NO")))</f>
        <v/>
      </c>
      <c r="J19" s="247" t="str">
        <f t="shared" si="0"/>
        <v/>
      </c>
      <c r="K19" s="244" t="str">
        <f>IF(D19="","",IF('RELACIÓN DE FACTURAS'!AF23="","",'RELACIÓN DE FACTURAS'!AF23))</f>
        <v/>
      </c>
      <c r="L19" s="245"/>
      <c r="M19" s="246" t="str">
        <f>IF(D19="","",IF(N19="","REVISAR",IF(OR(N19&lt;EXPEDIENTE!$I$25,N19&gt;EXPEDIENTE!$I$29),"SI","NO")))</f>
        <v/>
      </c>
      <c r="N19" s="248" t="str">
        <f t="shared" si="1"/>
        <v/>
      </c>
      <c r="O19" s="249">
        <f>IF(N19&lt;EXPEDIENTE!$I$25,-1,IF(N19&gt;EXPEDIENTE!$I$29,1,0))</f>
        <v>0</v>
      </c>
      <c r="P19" s="250" t="str">
        <f t="shared" si="2"/>
        <v/>
      </c>
      <c r="Q19" s="245"/>
      <c r="R19" s="251"/>
      <c r="S19" s="252" t="str">
        <f>IF(OR(Q19="",R19=""),"",IF(Q19&gt;EXPEDIENTE!$I$27,"",MIN(DATE(YEAR(Q19),MONTH(Q19),DAY(Q19)+R19),EXPEDIENTE!$I$29)))</f>
        <v/>
      </c>
      <c r="T19" s="253" t="str">
        <f>IF(D19="","",IF(AND(P19="NO",Q19="",S19=""),"NO",IF(Q19&gt;EXPEDIENTE!$I$27,"ENTREGA FUERA PLAZO",IF(OR(Q19="",R19=""),"PDTE",IF(S19&lt;N19,"SI","NO")))))</f>
        <v/>
      </c>
      <c r="U19" s="254" t="str">
        <f>IF('RELACIÓN DE FACTURAS'!X23="","",'RELACIÓN DE FACTURAS'!X23)</f>
        <v/>
      </c>
      <c r="V19" s="255" t="str">
        <f>IF('RELACIÓN DE FACTURAS'!Y23="","",'RELACIÓN DE FACTURAS'!Y23)</f>
        <v/>
      </c>
      <c r="W19" s="256"/>
      <c r="X19" s="277" t="str">
        <f t="shared" si="3"/>
        <v/>
      </c>
      <c r="Y19" s="257"/>
    </row>
    <row r="20" spans="2:25" ht="39.950000000000003" customHeight="1" x14ac:dyDescent="0.2">
      <c r="B20" s="120">
        <f>IF(Y20&lt;&gt;"",MAX($B$5:B19)+1,0)</f>
        <v>0</v>
      </c>
      <c r="C20" s="122">
        <v>16</v>
      </c>
      <c r="D20" s="241" t="str">
        <f>IF('RELACIÓN DE FACTURAS'!O24="","",'RELACIÓN DE FACTURAS'!O24)</f>
        <v/>
      </c>
      <c r="E20" s="242" t="str">
        <f>IF(D20="SEGUNDO PAGO O POSTERIORES",E19,IF('RELACIÓN DE FACTURAS'!P24="","",'RELACIÓN DE FACTURAS'!P24))</f>
        <v/>
      </c>
      <c r="F20" s="243" t="str">
        <f>IF(D20="SEGUNDO PAGO O POSTERIORES",F19,IF('RELACIÓN DE FACTURAS'!R24="","",'RELACIÓN DE FACTURAS'!R24))</f>
        <v/>
      </c>
      <c r="G20" s="244" t="str">
        <f>IF(D20="","",IF(AND(D20="NUEVA FACTURA",'RELACIÓN DE FACTURAS'!Q24=""),"",IF(AND(D20="NUEVA FACTURA",'RELACIÓN DE FACTURAS'!Q24&lt;&gt;""),'RELACIÓN DE FACTURAS'!Q24,IF(D20="SEGUNDO PAGO O POSTERIORES",G19,""))))</f>
        <v/>
      </c>
      <c r="H20" s="245"/>
      <c r="I20" s="246" t="str">
        <f>IF(D20="","",IF(J20="","REVISAR",IF(OR(J20&lt;EXPEDIENTE!$I$25,J20&gt;EXPEDIENTE!$I$27),"SI","NO")))</f>
        <v/>
      </c>
      <c r="J20" s="247" t="str">
        <f t="shared" si="0"/>
        <v/>
      </c>
      <c r="K20" s="244" t="str">
        <f>IF(D20="","",IF('RELACIÓN DE FACTURAS'!AF24="","",'RELACIÓN DE FACTURAS'!AF24))</f>
        <v/>
      </c>
      <c r="L20" s="245"/>
      <c r="M20" s="246" t="str">
        <f>IF(D20="","",IF(N20="","REVISAR",IF(OR(N20&lt;EXPEDIENTE!$I$25,N20&gt;EXPEDIENTE!$I$29),"SI","NO")))</f>
        <v/>
      </c>
      <c r="N20" s="248" t="str">
        <f t="shared" si="1"/>
        <v/>
      </c>
      <c r="O20" s="249">
        <f>IF(N20&lt;EXPEDIENTE!$I$25,-1,IF(N20&gt;EXPEDIENTE!$I$29,1,0))</f>
        <v>0</v>
      </c>
      <c r="P20" s="250" t="str">
        <f t="shared" si="2"/>
        <v/>
      </c>
      <c r="Q20" s="245"/>
      <c r="R20" s="251"/>
      <c r="S20" s="252" t="str">
        <f>IF(OR(Q20="",R20=""),"",IF(Q20&gt;EXPEDIENTE!$I$27,"",MIN(DATE(YEAR(Q20),MONTH(Q20),DAY(Q20)+R20),EXPEDIENTE!$I$29)))</f>
        <v/>
      </c>
      <c r="T20" s="253" t="str">
        <f>IF(D20="","",IF(AND(P20="NO",Q20="",S20=""),"NO",IF(Q20&gt;EXPEDIENTE!$I$27,"ENTREGA FUERA PLAZO",IF(OR(Q20="",R20=""),"PDTE",IF(S20&lt;N20,"SI","NO")))))</f>
        <v/>
      </c>
      <c r="U20" s="254" t="str">
        <f>IF('RELACIÓN DE FACTURAS'!X24="","",'RELACIÓN DE FACTURAS'!X24)</f>
        <v/>
      </c>
      <c r="V20" s="255" t="str">
        <f>IF('RELACIÓN DE FACTURAS'!Y24="","",'RELACIÓN DE FACTURAS'!Y24)</f>
        <v/>
      </c>
      <c r="W20" s="256"/>
      <c r="X20" s="277" t="str">
        <f t="shared" si="3"/>
        <v/>
      </c>
      <c r="Y20" s="257"/>
    </row>
    <row r="21" spans="2:25" ht="39.950000000000003" customHeight="1" x14ac:dyDescent="0.2">
      <c r="B21" s="120">
        <f>IF(Y21&lt;&gt;"",MAX($B$5:B20)+1,0)</f>
        <v>0</v>
      </c>
      <c r="C21" s="122">
        <v>17</v>
      </c>
      <c r="D21" s="241" t="str">
        <f>IF('RELACIÓN DE FACTURAS'!O25="","",'RELACIÓN DE FACTURAS'!O25)</f>
        <v/>
      </c>
      <c r="E21" s="242" t="str">
        <f>IF(D21="SEGUNDO PAGO O POSTERIORES",E20,IF('RELACIÓN DE FACTURAS'!P25="","",'RELACIÓN DE FACTURAS'!P25))</f>
        <v/>
      </c>
      <c r="F21" s="243" t="str">
        <f>IF(D21="SEGUNDO PAGO O POSTERIORES",F20,IF('RELACIÓN DE FACTURAS'!R25="","",'RELACIÓN DE FACTURAS'!R25))</f>
        <v/>
      </c>
      <c r="G21" s="244" t="str">
        <f>IF(D21="","",IF(AND(D21="NUEVA FACTURA",'RELACIÓN DE FACTURAS'!Q25=""),"",IF(AND(D21="NUEVA FACTURA",'RELACIÓN DE FACTURAS'!Q25&lt;&gt;""),'RELACIÓN DE FACTURAS'!Q25,IF(D21="SEGUNDO PAGO O POSTERIORES",G20,""))))</f>
        <v/>
      </c>
      <c r="H21" s="245"/>
      <c r="I21" s="246" t="str">
        <f>IF(D21="","",IF(J21="","REVISAR",IF(OR(J21&lt;EXPEDIENTE!$I$25,J21&gt;EXPEDIENTE!$I$27),"SI","NO")))</f>
        <v/>
      </c>
      <c r="J21" s="247" t="str">
        <f t="shared" si="0"/>
        <v/>
      </c>
      <c r="K21" s="244" t="str">
        <f>IF(D21="","",IF('RELACIÓN DE FACTURAS'!AF25="","",'RELACIÓN DE FACTURAS'!AF25))</f>
        <v/>
      </c>
      <c r="L21" s="245"/>
      <c r="M21" s="246" t="str">
        <f>IF(D21="","",IF(N21="","REVISAR",IF(OR(N21&lt;EXPEDIENTE!$I$25,N21&gt;EXPEDIENTE!$I$29),"SI","NO")))</f>
        <v/>
      </c>
      <c r="N21" s="248" t="str">
        <f t="shared" si="1"/>
        <v/>
      </c>
      <c r="O21" s="249">
        <f>IF(N21&lt;EXPEDIENTE!$I$25,-1,IF(N21&gt;EXPEDIENTE!$I$29,1,0))</f>
        <v>0</v>
      </c>
      <c r="P21" s="250" t="str">
        <f t="shared" si="2"/>
        <v/>
      </c>
      <c r="Q21" s="245"/>
      <c r="R21" s="251"/>
      <c r="S21" s="252" t="str">
        <f>IF(OR(Q21="",R21=""),"",IF(Q21&gt;EXPEDIENTE!$I$27,"",MIN(DATE(YEAR(Q21),MONTH(Q21),DAY(Q21)+R21),EXPEDIENTE!$I$29)))</f>
        <v/>
      </c>
      <c r="T21" s="253" t="str">
        <f>IF(D21="","",IF(AND(P21="NO",Q21="",S21=""),"NO",IF(Q21&gt;EXPEDIENTE!$I$27,"ENTREGA FUERA PLAZO",IF(OR(Q21="",R21=""),"PDTE",IF(S21&lt;N21,"SI","NO")))))</f>
        <v/>
      </c>
      <c r="U21" s="254" t="str">
        <f>IF('RELACIÓN DE FACTURAS'!X25="","",'RELACIÓN DE FACTURAS'!X25)</f>
        <v/>
      </c>
      <c r="V21" s="255" t="str">
        <f>IF('RELACIÓN DE FACTURAS'!Y25="","",'RELACIÓN DE FACTURAS'!Y25)</f>
        <v/>
      </c>
      <c r="W21" s="256"/>
      <c r="X21" s="277" t="str">
        <f t="shared" si="3"/>
        <v/>
      </c>
      <c r="Y21" s="257"/>
    </row>
    <row r="22" spans="2:25" ht="39.950000000000003" customHeight="1" x14ac:dyDescent="0.2">
      <c r="B22" s="120">
        <f>IF(Y22&lt;&gt;"",MAX($B$5:B21)+1,0)</f>
        <v>0</v>
      </c>
      <c r="C22" s="122">
        <v>18</v>
      </c>
      <c r="D22" s="241" t="str">
        <f>IF('RELACIÓN DE FACTURAS'!O26="","",'RELACIÓN DE FACTURAS'!O26)</f>
        <v/>
      </c>
      <c r="E22" s="242" t="str">
        <f>IF(D22="SEGUNDO PAGO O POSTERIORES",E21,IF('RELACIÓN DE FACTURAS'!P26="","",'RELACIÓN DE FACTURAS'!P26))</f>
        <v/>
      </c>
      <c r="F22" s="243" t="str">
        <f>IF(D22="SEGUNDO PAGO O POSTERIORES",F21,IF('RELACIÓN DE FACTURAS'!R26="","",'RELACIÓN DE FACTURAS'!R26))</f>
        <v/>
      </c>
      <c r="G22" s="244" t="str">
        <f>IF(D22="","",IF(AND(D22="NUEVA FACTURA",'RELACIÓN DE FACTURAS'!Q26=""),"",IF(AND(D22="NUEVA FACTURA",'RELACIÓN DE FACTURAS'!Q26&lt;&gt;""),'RELACIÓN DE FACTURAS'!Q26,IF(D22="SEGUNDO PAGO O POSTERIORES",G21,""))))</f>
        <v/>
      </c>
      <c r="H22" s="245"/>
      <c r="I22" s="246" t="str">
        <f>IF(D22="","",IF(J22="","REVISAR",IF(OR(J22&lt;EXPEDIENTE!$I$25,J22&gt;EXPEDIENTE!$I$27),"SI","NO")))</f>
        <v/>
      </c>
      <c r="J22" s="247" t="str">
        <f t="shared" si="0"/>
        <v/>
      </c>
      <c r="K22" s="244" t="str">
        <f>IF(D22="","",IF('RELACIÓN DE FACTURAS'!AF26="","",'RELACIÓN DE FACTURAS'!AF26))</f>
        <v/>
      </c>
      <c r="L22" s="245"/>
      <c r="M22" s="246" t="str">
        <f>IF(D22="","",IF(N22="","REVISAR",IF(OR(N22&lt;EXPEDIENTE!$I$25,N22&gt;EXPEDIENTE!$I$29),"SI","NO")))</f>
        <v/>
      </c>
      <c r="N22" s="248" t="str">
        <f t="shared" si="1"/>
        <v/>
      </c>
      <c r="O22" s="249">
        <f>IF(N22&lt;EXPEDIENTE!$I$25,-1,IF(N22&gt;EXPEDIENTE!$I$29,1,0))</f>
        <v>0</v>
      </c>
      <c r="P22" s="250" t="str">
        <f t="shared" si="2"/>
        <v/>
      </c>
      <c r="Q22" s="245"/>
      <c r="R22" s="251"/>
      <c r="S22" s="252" t="str">
        <f>IF(OR(Q22="",R22=""),"",IF(Q22&gt;EXPEDIENTE!$I$27,"",MIN(DATE(YEAR(Q22),MONTH(Q22),DAY(Q22)+R22),EXPEDIENTE!$I$29)))</f>
        <v/>
      </c>
      <c r="T22" s="253" t="str">
        <f>IF(D22="","",IF(AND(P22="NO",Q22="",S22=""),"NO",IF(Q22&gt;EXPEDIENTE!$I$27,"ENTREGA FUERA PLAZO",IF(OR(Q22="",R22=""),"PDTE",IF(S22&lt;N22,"SI","NO")))))</f>
        <v/>
      </c>
      <c r="U22" s="254" t="str">
        <f>IF('RELACIÓN DE FACTURAS'!X26="","",'RELACIÓN DE FACTURAS'!X26)</f>
        <v/>
      </c>
      <c r="V22" s="255" t="str">
        <f>IF('RELACIÓN DE FACTURAS'!Y26="","",'RELACIÓN DE FACTURAS'!Y26)</f>
        <v/>
      </c>
      <c r="W22" s="256"/>
      <c r="X22" s="277" t="str">
        <f t="shared" si="3"/>
        <v/>
      </c>
      <c r="Y22" s="257"/>
    </row>
    <row r="23" spans="2:25" ht="39.950000000000003" customHeight="1" x14ac:dyDescent="0.2">
      <c r="B23" s="120">
        <f>IF(Y23&lt;&gt;"",MAX($B$5:B22)+1,0)</f>
        <v>0</v>
      </c>
      <c r="C23" s="122">
        <v>19</v>
      </c>
      <c r="D23" s="241" t="str">
        <f>IF('RELACIÓN DE FACTURAS'!O27="","",'RELACIÓN DE FACTURAS'!O27)</f>
        <v/>
      </c>
      <c r="E23" s="242" t="str">
        <f>IF(D23="SEGUNDO PAGO O POSTERIORES",E22,IF('RELACIÓN DE FACTURAS'!P27="","",'RELACIÓN DE FACTURAS'!P27))</f>
        <v/>
      </c>
      <c r="F23" s="243" t="str">
        <f>IF(D23="SEGUNDO PAGO O POSTERIORES",F22,IF('RELACIÓN DE FACTURAS'!R27="","",'RELACIÓN DE FACTURAS'!R27))</f>
        <v/>
      </c>
      <c r="G23" s="244" t="str">
        <f>IF(D23="","",IF(AND(D23="NUEVA FACTURA",'RELACIÓN DE FACTURAS'!Q27=""),"",IF(AND(D23="NUEVA FACTURA",'RELACIÓN DE FACTURAS'!Q27&lt;&gt;""),'RELACIÓN DE FACTURAS'!Q27,IF(D23="SEGUNDO PAGO O POSTERIORES",G22,""))))</f>
        <v/>
      </c>
      <c r="H23" s="245"/>
      <c r="I23" s="246" t="str">
        <f>IF(D23="","",IF(J23="","REVISAR",IF(OR(J23&lt;EXPEDIENTE!$I$25,J23&gt;EXPEDIENTE!$I$27),"SI","NO")))</f>
        <v/>
      </c>
      <c r="J23" s="247" t="str">
        <f t="shared" si="0"/>
        <v/>
      </c>
      <c r="K23" s="244" t="str">
        <f>IF(D23="","",IF('RELACIÓN DE FACTURAS'!AF27="","",'RELACIÓN DE FACTURAS'!AF27))</f>
        <v/>
      </c>
      <c r="L23" s="245"/>
      <c r="M23" s="246" t="str">
        <f>IF(D23="","",IF(N23="","REVISAR",IF(OR(N23&lt;EXPEDIENTE!$I$25,N23&gt;EXPEDIENTE!$I$29),"SI","NO")))</f>
        <v/>
      </c>
      <c r="N23" s="248" t="str">
        <f t="shared" si="1"/>
        <v/>
      </c>
      <c r="O23" s="249">
        <f>IF(N23&lt;EXPEDIENTE!$I$25,-1,IF(N23&gt;EXPEDIENTE!$I$29,1,0))</f>
        <v>0</v>
      </c>
      <c r="P23" s="250" t="str">
        <f t="shared" si="2"/>
        <v/>
      </c>
      <c r="Q23" s="245"/>
      <c r="R23" s="251"/>
      <c r="S23" s="252" t="str">
        <f>IF(OR(Q23="",R23=""),"",IF(Q23&gt;EXPEDIENTE!$I$27,"",MIN(DATE(YEAR(Q23),MONTH(Q23),DAY(Q23)+R23),EXPEDIENTE!$I$29)))</f>
        <v/>
      </c>
      <c r="T23" s="253" t="str">
        <f>IF(D23="","",IF(AND(P23="NO",Q23="",S23=""),"NO",IF(Q23&gt;EXPEDIENTE!$I$27,"ENTREGA FUERA PLAZO",IF(OR(Q23="",R23=""),"PDTE",IF(S23&lt;N23,"SI","NO")))))</f>
        <v/>
      </c>
      <c r="U23" s="254" t="str">
        <f>IF('RELACIÓN DE FACTURAS'!X27="","",'RELACIÓN DE FACTURAS'!X27)</f>
        <v/>
      </c>
      <c r="V23" s="255" t="str">
        <f>IF('RELACIÓN DE FACTURAS'!Y27="","",'RELACIÓN DE FACTURAS'!Y27)</f>
        <v/>
      </c>
      <c r="W23" s="256"/>
      <c r="X23" s="277" t="str">
        <f t="shared" si="3"/>
        <v/>
      </c>
      <c r="Y23" s="257"/>
    </row>
    <row r="24" spans="2:25" ht="39.950000000000003" customHeight="1" x14ac:dyDescent="0.2">
      <c r="B24" s="120">
        <f>IF(Y24&lt;&gt;"",MAX($B$5:B23)+1,0)</f>
        <v>0</v>
      </c>
      <c r="C24" s="122">
        <v>20</v>
      </c>
      <c r="D24" s="241" t="str">
        <f>IF('RELACIÓN DE FACTURAS'!O28="","",'RELACIÓN DE FACTURAS'!O28)</f>
        <v/>
      </c>
      <c r="E24" s="242" t="str">
        <f>IF(D24="SEGUNDO PAGO O POSTERIORES",E23,IF('RELACIÓN DE FACTURAS'!P28="","",'RELACIÓN DE FACTURAS'!P28))</f>
        <v/>
      </c>
      <c r="F24" s="243" t="str">
        <f>IF(D24="SEGUNDO PAGO O POSTERIORES",F23,IF('RELACIÓN DE FACTURAS'!R28="","",'RELACIÓN DE FACTURAS'!R28))</f>
        <v/>
      </c>
      <c r="G24" s="244" t="str">
        <f>IF(D24="","",IF(AND(D24="NUEVA FACTURA",'RELACIÓN DE FACTURAS'!Q28=""),"",IF(AND(D24="NUEVA FACTURA",'RELACIÓN DE FACTURAS'!Q28&lt;&gt;""),'RELACIÓN DE FACTURAS'!Q28,IF(D24="SEGUNDO PAGO O POSTERIORES",G23,""))))</f>
        <v/>
      </c>
      <c r="H24" s="245"/>
      <c r="I24" s="246" t="str">
        <f>IF(D24="","",IF(J24="","REVISAR",IF(OR(J24&lt;EXPEDIENTE!$I$25,J24&gt;EXPEDIENTE!$I$27),"SI","NO")))</f>
        <v/>
      </c>
      <c r="J24" s="247" t="str">
        <f t="shared" si="0"/>
        <v/>
      </c>
      <c r="K24" s="244" t="str">
        <f>IF(D24="","",IF('RELACIÓN DE FACTURAS'!AF28="","",'RELACIÓN DE FACTURAS'!AF28))</f>
        <v/>
      </c>
      <c r="L24" s="245"/>
      <c r="M24" s="246" t="str">
        <f>IF(D24="","",IF(N24="","REVISAR",IF(OR(N24&lt;EXPEDIENTE!$I$25,N24&gt;EXPEDIENTE!$I$29),"SI","NO")))</f>
        <v/>
      </c>
      <c r="N24" s="248" t="str">
        <f t="shared" si="1"/>
        <v/>
      </c>
      <c r="O24" s="249">
        <f>IF(N24&lt;EXPEDIENTE!$I$25,-1,IF(N24&gt;EXPEDIENTE!$I$29,1,0))</f>
        <v>0</v>
      </c>
      <c r="P24" s="250" t="str">
        <f t="shared" si="2"/>
        <v/>
      </c>
      <c r="Q24" s="245"/>
      <c r="R24" s="251"/>
      <c r="S24" s="252" t="str">
        <f>IF(OR(Q24="",R24=""),"",IF(Q24&gt;EXPEDIENTE!$I$27,"",MIN(DATE(YEAR(Q24),MONTH(Q24),DAY(Q24)+R24),EXPEDIENTE!$I$29)))</f>
        <v/>
      </c>
      <c r="T24" s="253" t="str">
        <f>IF(D24="","",IF(AND(P24="NO",Q24="",S24=""),"NO",IF(Q24&gt;EXPEDIENTE!$I$27,"ENTREGA FUERA PLAZO",IF(OR(Q24="",R24=""),"PDTE",IF(S24&lt;N24,"SI","NO")))))</f>
        <v/>
      </c>
      <c r="U24" s="254" t="str">
        <f>IF('RELACIÓN DE FACTURAS'!X28="","",'RELACIÓN DE FACTURAS'!X28)</f>
        <v/>
      </c>
      <c r="V24" s="255" t="str">
        <f>IF('RELACIÓN DE FACTURAS'!Y28="","",'RELACIÓN DE FACTURAS'!Y28)</f>
        <v/>
      </c>
      <c r="W24" s="256"/>
      <c r="X24" s="277" t="str">
        <f t="shared" si="3"/>
        <v/>
      </c>
      <c r="Y24" s="257"/>
    </row>
    <row r="25" spans="2:25" ht="39.950000000000003" customHeight="1" x14ac:dyDescent="0.2">
      <c r="B25" s="120">
        <f>IF(Y25&lt;&gt;"",MAX($B$5:B24)+1,0)</f>
        <v>0</v>
      </c>
      <c r="C25" s="122">
        <v>21</v>
      </c>
      <c r="D25" s="241" t="str">
        <f>IF('RELACIÓN DE FACTURAS'!O29="","",'RELACIÓN DE FACTURAS'!O29)</f>
        <v/>
      </c>
      <c r="E25" s="242" t="str">
        <f>IF(D25="SEGUNDO PAGO O POSTERIORES",E24,IF('RELACIÓN DE FACTURAS'!P29="","",'RELACIÓN DE FACTURAS'!P29))</f>
        <v/>
      </c>
      <c r="F25" s="243" t="str">
        <f>IF(D25="SEGUNDO PAGO O POSTERIORES",F24,IF('RELACIÓN DE FACTURAS'!R29="","",'RELACIÓN DE FACTURAS'!R29))</f>
        <v/>
      </c>
      <c r="G25" s="244" t="str">
        <f>IF(D25="","",IF(AND(D25="NUEVA FACTURA",'RELACIÓN DE FACTURAS'!Q29=""),"",IF(AND(D25="NUEVA FACTURA",'RELACIÓN DE FACTURAS'!Q29&lt;&gt;""),'RELACIÓN DE FACTURAS'!Q29,IF(D25="SEGUNDO PAGO O POSTERIORES",G24,""))))</f>
        <v/>
      </c>
      <c r="H25" s="245"/>
      <c r="I25" s="246" t="str">
        <f>IF(D25="","",IF(J25="","REVISAR",IF(OR(J25&lt;EXPEDIENTE!$I$25,J25&gt;EXPEDIENTE!$I$27),"SI","NO")))</f>
        <v/>
      </c>
      <c r="J25" s="247" t="str">
        <f t="shared" si="0"/>
        <v/>
      </c>
      <c r="K25" s="244" t="str">
        <f>IF(D25="","",IF('RELACIÓN DE FACTURAS'!AF29="","",'RELACIÓN DE FACTURAS'!AF29))</f>
        <v/>
      </c>
      <c r="L25" s="245"/>
      <c r="M25" s="246" t="str">
        <f>IF(D25="","",IF(N25="","REVISAR",IF(OR(N25&lt;EXPEDIENTE!$I$25,N25&gt;EXPEDIENTE!$I$29),"SI","NO")))</f>
        <v/>
      </c>
      <c r="N25" s="248" t="str">
        <f t="shared" si="1"/>
        <v/>
      </c>
      <c r="O25" s="249">
        <f>IF(N25&lt;EXPEDIENTE!$I$25,-1,IF(N25&gt;EXPEDIENTE!$I$29,1,0))</f>
        <v>0</v>
      </c>
      <c r="P25" s="250" t="str">
        <f t="shared" si="2"/>
        <v/>
      </c>
      <c r="Q25" s="245"/>
      <c r="R25" s="251"/>
      <c r="S25" s="252" t="str">
        <f>IF(OR(Q25="",R25=""),"",IF(Q25&gt;EXPEDIENTE!$I$27,"",MIN(DATE(YEAR(Q25),MONTH(Q25),DAY(Q25)+R25),EXPEDIENTE!$I$29)))</f>
        <v/>
      </c>
      <c r="T25" s="253" t="str">
        <f>IF(D25="","",IF(AND(P25="NO",Q25="",S25=""),"NO",IF(Q25&gt;EXPEDIENTE!$I$27,"ENTREGA FUERA PLAZO",IF(OR(Q25="",R25=""),"PDTE",IF(S25&lt;N25,"SI","NO")))))</f>
        <v/>
      </c>
      <c r="U25" s="254" t="str">
        <f>IF('RELACIÓN DE FACTURAS'!X29="","",'RELACIÓN DE FACTURAS'!X29)</f>
        <v/>
      </c>
      <c r="V25" s="255" t="str">
        <f>IF('RELACIÓN DE FACTURAS'!Y29="","",'RELACIÓN DE FACTURAS'!Y29)</f>
        <v/>
      </c>
      <c r="W25" s="256"/>
      <c r="X25" s="277" t="str">
        <f t="shared" si="3"/>
        <v/>
      </c>
      <c r="Y25" s="257"/>
    </row>
    <row r="26" spans="2:25" ht="39.950000000000003" customHeight="1" x14ac:dyDescent="0.2">
      <c r="B26" s="120">
        <f>IF(Y26&lt;&gt;"",MAX($B$5:B25)+1,0)</f>
        <v>0</v>
      </c>
      <c r="C26" s="122">
        <v>22</v>
      </c>
      <c r="D26" s="241" t="str">
        <f>IF('RELACIÓN DE FACTURAS'!O30="","",'RELACIÓN DE FACTURAS'!O30)</f>
        <v/>
      </c>
      <c r="E26" s="242" t="str">
        <f>IF(D26="SEGUNDO PAGO O POSTERIORES",E25,IF('RELACIÓN DE FACTURAS'!P30="","",'RELACIÓN DE FACTURAS'!P30))</f>
        <v/>
      </c>
      <c r="F26" s="243" t="str">
        <f>IF(D26="SEGUNDO PAGO O POSTERIORES",F25,IF('RELACIÓN DE FACTURAS'!R30="","",'RELACIÓN DE FACTURAS'!R30))</f>
        <v/>
      </c>
      <c r="G26" s="244" t="str">
        <f>IF(D26="","",IF(AND(D26="NUEVA FACTURA",'RELACIÓN DE FACTURAS'!Q30=""),"",IF(AND(D26="NUEVA FACTURA",'RELACIÓN DE FACTURAS'!Q30&lt;&gt;""),'RELACIÓN DE FACTURAS'!Q30,IF(D26="SEGUNDO PAGO O POSTERIORES",G25,""))))</f>
        <v/>
      </c>
      <c r="H26" s="245"/>
      <c r="I26" s="246" t="str">
        <f>IF(D26="","",IF(J26="","REVISAR",IF(OR(J26&lt;EXPEDIENTE!$I$25,J26&gt;EXPEDIENTE!$I$27),"SI","NO")))</f>
        <v/>
      </c>
      <c r="J26" s="247" t="str">
        <f t="shared" si="0"/>
        <v/>
      </c>
      <c r="K26" s="244" t="str">
        <f>IF(D26="","",IF('RELACIÓN DE FACTURAS'!AF30="","",'RELACIÓN DE FACTURAS'!AF30))</f>
        <v/>
      </c>
      <c r="L26" s="245"/>
      <c r="M26" s="246" t="str">
        <f>IF(D26="","",IF(N26="","REVISAR",IF(OR(N26&lt;EXPEDIENTE!$I$25,N26&gt;EXPEDIENTE!$I$29),"SI","NO")))</f>
        <v/>
      </c>
      <c r="N26" s="248" t="str">
        <f t="shared" si="1"/>
        <v/>
      </c>
      <c r="O26" s="249">
        <f>IF(N26&lt;EXPEDIENTE!$I$25,-1,IF(N26&gt;EXPEDIENTE!$I$29,1,0))</f>
        <v>0</v>
      </c>
      <c r="P26" s="250" t="str">
        <f t="shared" si="2"/>
        <v/>
      </c>
      <c r="Q26" s="245"/>
      <c r="R26" s="251"/>
      <c r="S26" s="252" t="str">
        <f>IF(OR(Q26="",R26=""),"",IF(Q26&gt;EXPEDIENTE!$I$27,"",MIN(DATE(YEAR(Q26),MONTH(Q26),DAY(Q26)+R26),EXPEDIENTE!$I$29)))</f>
        <v/>
      </c>
      <c r="T26" s="253" t="str">
        <f>IF(D26="","",IF(AND(P26="NO",Q26="",S26=""),"NO",IF(Q26&gt;EXPEDIENTE!$I$27,"ENTREGA FUERA PLAZO",IF(OR(Q26="",R26=""),"PDTE",IF(S26&lt;N26,"SI","NO")))))</f>
        <v/>
      </c>
      <c r="U26" s="254" t="str">
        <f>IF('RELACIÓN DE FACTURAS'!X30="","",'RELACIÓN DE FACTURAS'!X30)</f>
        <v/>
      </c>
      <c r="V26" s="255" t="str">
        <f>IF('RELACIÓN DE FACTURAS'!Y30="","",'RELACIÓN DE FACTURAS'!Y30)</f>
        <v/>
      </c>
      <c r="W26" s="256"/>
      <c r="X26" s="277" t="str">
        <f t="shared" si="3"/>
        <v/>
      </c>
      <c r="Y26" s="257"/>
    </row>
    <row r="27" spans="2:25" ht="39.950000000000003" customHeight="1" x14ac:dyDescent="0.2">
      <c r="B27" s="120">
        <f>IF(Y27&lt;&gt;"",MAX($B$5:B26)+1,0)</f>
        <v>0</v>
      </c>
      <c r="C27" s="122">
        <v>23</v>
      </c>
      <c r="D27" s="241" t="str">
        <f>IF('RELACIÓN DE FACTURAS'!O31="","",'RELACIÓN DE FACTURAS'!O31)</f>
        <v/>
      </c>
      <c r="E27" s="242" t="str">
        <f>IF(D27="SEGUNDO PAGO O POSTERIORES",E26,IF('RELACIÓN DE FACTURAS'!P31="","",'RELACIÓN DE FACTURAS'!P31))</f>
        <v/>
      </c>
      <c r="F27" s="243" t="str">
        <f>IF(D27="SEGUNDO PAGO O POSTERIORES",F26,IF('RELACIÓN DE FACTURAS'!R31="","",'RELACIÓN DE FACTURAS'!R31))</f>
        <v/>
      </c>
      <c r="G27" s="244" t="str">
        <f>IF(D27="","",IF(AND(D27="NUEVA FACTURA",'RELACIÓN DE FACTURAS'!Q31=""),"",IF(AND(D27="NUEVA FACTURA",'RELACIÓN DE FACTURAS'!Q31&lt;&gt;""),'RELACIÓN DE FACTURAS'!Q31,IF(D27="SEGUNDO PAGO O POSTERIORES",G26,""))))</f>
        <v/>
      </c>
      <c r="H27" s="245"/>
      <c r="I27" s="246" t="str">
        <f>IF(D27="","",IF(J27="","REVISAR",IF(OR(J27&lt;EXPEDIENTE!$I$25,J27&gt;EXPEDIENTE!$I$27),"SI","NO")))</f>
        <v/>
      </c>
      <c r="J27" s="247" t="str">
        <f t="shared" si="0"/>
        <v/>
      </c>
      <c r="K27" s="244" t="str">
        <f>IF(D27="","",IF('RELACIÓN DE FACTURAS'!AF31="","",'RELACIÓN DE FACTURAS'!AF31))</f>
        <v/>
      </c>
      <c r="L27" s="245"/>
      <c r="M27" s="246" t="str">
        <f>IF(D27="","",IF(N27="","REVISAR",IF(OR(N27&lt;EXPEDIENTE!$I$25,N27&gt;EXPEDIENTE!$I$29),"SI","NO")))</f>
        <v/>
      </c>
      <c r="N27" s="248" t="str">
        <f t="shared" si="1"/>
        <v/>
      </c>
      <c r="O27" s="249">
        <f>IF(N27&lt;EXPEDIENTE!$I$25,-1,IF(N27&gt;EXPEDIENTE!$I$29,1,0))</f>
        <v>0</v>
      </c>
      <c r="P27" s="250" t="str">
        <f t="shared" si="2"/>
        <v/>
      </c>
      <c r="Q27" s="245"/>
      <c r="R27" s="251"/>
      <c r="S27" s="252" t="str">
        <f>IF(OR(Q27="",R27=""),"",IF(Q27&gt;EXPEDIENTE!$I$27,"",MIN(DATE(YEAR(Q27),MONTH(Q27),DAY(Q27)+R27),EXPEDIENTE!$I$29)))</f>
        <v/>
      </c>
      <c r="T27" s="253" t="str">
        <f>IF(D27="","",IF(AND(P27="NO",Q27="",S27=""),"NO",IF(Q27&gt;EXPEDIENTE!$I$27,"ENTREGA FUERA PLAZO",IF(OR(Q27="",R27=""),"PDTE",IF(S27&lt;N27,"SI","NO")))))</f>
        <v/>
      </c>
      <c r="U27" s="254" t="str">
        <f>IF('RELACIÓN DE FACTURAS'!X31="","",'RELACIÓN DE FACTURAS'!X31)</f>
        <v/>
      </c>
      <c r="V27" s="255" t="str">
        <f>IF('RELACIÓN DE FACTURAS'!Y31="","",'RELACIÓN DE FACTURAS'!Y31)</f>
        <v/>
      </c>
      <c r="W27" s="256"/>
      <c r="X27" s="277" t="str">
        <f t="shared" si="3"/>
        <v/>
      </c>
      <c r="Y27" s="257"/>
    </row>
    <row r="28" spans="2:25" ht="39.950000000000003" customHeight="1" x14ac:dyDescent="0.2">
      <c r="B28" s="120">
        <f>IF(Y28&lt;&gt;"",MAX($B$5:B27)+1,0)</f>
        <v>0</v>
      </c>
      <c r="C28" s="122">
        <v>24</v>
      </c>
      <c r="D28" s="241" t="str">
        <f>IF('RELACIÓN DE FACTURAS'!O32="","",'RELACIÓN DE FACTURAS'!O32)</f>
        <v/>
      </c>
      <c r="E28" s="242" t="str">
        <f>IF(D28="SEGUNDO PAGO O POSTERIORES",E27,IF('RELACIÓN DE FACTURAS'!P32="","",'RELACIÓN DE FACTURAS'!P32))</f>
        <v/>
      </c>
      <c r="F28" s="243" t="str">
        <f>IF(D28="SEGUNDO PAGO O POSTERIORES",F27,IF('RELACIÓN DE FACTURAS'!R32="","",'RELACIÓN DE FACTURAS'!R32))</f>
        <v/>
      </c>
      <c r="G28" s="244" t="str">
        <f>IF(D28="","",IF(AND(D28="NUEVA FACTURA",'RELACIÓN DE FACTURAS'!Q32=""),"",IF(AND(D28="NUEVA FACTURA",'RELACIÓN DE FACTURAS'!Q32&lt;&gt;""),'RELACIÓN DE FACTURAS'!Q32,IF(D28="SEGUNDO PAGO O POSTERIORES",G27,""))))</f>
        <v/>
      </c>
      <c r="H28" s="245"/>
      <c r="I28" s="246" t="str">
        <f>IF(D28="","",IF(J28="","REVISAR",IF(OR(J28&lt;EXPEDIENTE!$I$25,J28&gt;EXPEDIENTE!$I$27),"SI","NO")))</f>
        <v/>
      </c>
      <c r="J28" s="247" t="str">
        <f t="shared" si="0"/>
        <v/>
      </c>
      <c r="K28" s="244" t="str">
        <f>IF(D28="","",IF('RELACIÓN DE FACTURAS'!AF32="","",'RELACIÓN DE FACTURAS'!AF32))</f>
        <v/>
      </c>
      <c r="L28" s="245"/>
      <c r="M28" s="246" t="str">
        <f>IF(D28="","",IF(N28="","REVISAR",IF(OR(N28&lt;EXPEDIENTE!$I$25,N28&gt;EXPEDIENTE!$I$29),"SI","NO")))</f>
        <v/>
      </c>
      <c r="N28" s="248" t="str">
        <f t="shared" si="1"/>
        <v/>
      </c>
      <c r="O28" s="249">
        <f>IF(N28&lt;EXPEDIENTE!$I$25,-1,IF(N28&gt;EXPEDIENTE!$I$29,1,0))</f>
        <v>0</v>
      </c>
      <c r="P28" s="250" t="str">
        <f t="shared" si="2"/>
        <v/>
      </c>
      <c r="Q28" s="245"/>
      <c r="R28" s="251"/>
      <c r="S28" s="252" t="str">
        <f>IF(OR(Q28="",R28=""),"",IF(Q28&gt;EXPEDIENTE!$I$27,"",MIN(DATE(YEAR(Q28),MONTH(Q28),DAY(Q28)+R28),EXPEDIENTE!$I$29)))</f>
        <v/>
      </c>
      <c r="T28" s="253" t="str">
        <f>IF(D28="","",IF(AND(P28="NO",Q28="",S28=""),"NO",IF(Q28&gt;EXPEDIENTE!$I$27,"ENTREGA FUERA PLAZO",IF(OR(Q28="",R28=""),"PDTE",IF(S28&lt;N28,"SI","NO")))))</f>
        <v/>
      </c>
      <c r="U28" s="254" t="str">
        <f>IF('RELACIÓN DE FACTURAS'!X32="","",'RELACIÓN DE FACTURAS'!X32)</f>
        <v/>
      </c>
      <c r="V28" s="255" t="str">
        <f>IF('RELACIÓN DE FACTURAS'!Y32="","",'RELACIÓN DE FACTURAS'!Y32)</f>
        <v/>
      </c>
      <c r="W28" s="256"/>
      <c r="X28" s="277" t="str">
        <f t="shared" si="3"/>
        <v/>
      </c>
      <c r="Y28" s="257"/>
    </row>
    <row r="29" spans="2:25" ht="39.950000000000003" customHeight="1" x14ac:dyDescent="0.2">
      <c r="B29" s="120">
        <f>IF(Y29&lt;&gt;"",MAX($B$5:B28)+1,0)</f>
        <v>0</v>
      </c>
      <c r="C29" s="122">
        <v>25</v>
      </c>
      <c r="D29" s="241" t="str">
        <f>IF('RELACIÓN DE FACTURAS'!O33="","",'RELACIÓN DE FACTURAS'!O33)</f>
        <v/>
      </c>
      <c r="E29" s="242" t="str">
        <f>IF(D29="SEGUNDO PAGO O POSTERIORES",E28,IF('RELACIÓN DE FACTURAS'!P33="","",'RELACIÓN DE FACTURAS'!P33))</f>
        <v/>
      </c>
      <c r="F29" s="243" t="str">
        <f>IF(D29="SEGUNDO PAGO O POSTERIORES",F28,IF('RELACIÓN DE FACTURAS'!R33="","",'RELACIÓN DE FACTURAS'!R33))</f>
        <v/>
      </c>
      <c r="G29" s="244" t="str">
        <f>IF(D29="","",IF(AND(D29="NUEVA FACTURA",'RELACIÓN DE FACTURAS'!Q33=""),"",IF(AND(D29="NUEVA FACTURA",'RELACIÓN DE FACTURAS'!Q33&lt;&gt;""),'RELACIÓN DE FACTURAS'!Q33,IF(D29="SEGUNDO PAGO O POSTERIORES",G28,""))))</f>
        <v/>
      </c>
      <c r="H29" s="245"/>
      <c r="I29" s="246" t="str">
        <f>IF(D29="","",IF(J29="","REVISAR",IF(OR(J29&lt;EXPEDIENTE!$I$25,J29&gt;EXPEDIENTE!$I$27),"SI","NO")))</f>
        <v/>
      </c>
      <c r="J29" s="247" t="str">
        <f t="shared" si="0"/>
        <v/>
      </c>
      <c r="K29" s="244" t="str">
        <f>IF(D29="","",IF('RELACIÓN DE FACTURAS'!AF33="","",'RELACIÓN DE FACTURAS'!AF33))</f>
        <v/>
      </c>
      <c r="L29" s="245"/>
      <c r="M29" s="246" t="str">
        <f>IF(D29="","",IF(N29="","REVISAR",IF(OR(N29&lt;EXPEDIENTE!$I$25,N29&gt;EXPEDIENTE!$I$29),"SI","NO")))</f>
        <v/>
      </c>
      <c r="N29" s="248" t="str">
        <f t="shared" si="1"/>
        <v/>
      </c>
      <c r="O29" s="249">
        <f>IF(N29&lt;EXPEDIENTE!$I$25,-1,IF(N29&gt;EXPEDIENTE!$I$29,1,0))</f>
        <v>0</v>
      </c>
      <c r="P29" s="250" t="str">
        <f t="shared" si="2"/>
        <v/>
      </c>
      <c r="Q29" s="245"/>
      <c r="R29" s="251"/>
      <c r="S29" s="252" t="str">
        <f>IF(OR(Q29="",R29=""),"",IF(Q29&gt;EXPEDIENTE!$I$27,"",MIN(DATE(YEAR(Q29),MONTH(Q29),DAY(Q29)+R29),EXPEDIENTE!$I$29)))</f>
        <v/>
      </c>
      <c r="T29" s="253" t="str">
        <f>IF(D29="","",IF(AND(P29="NO",Q29="",S29=""),"NO",IF(Q29&gt;EXPEDIENTE!$I$27,"ENTREGA FUERA PLAZO",IF(OR(Q29="",R29=""),"PDTE",IF(S29&lt;N29,"SI","NO")))))</f>
        <v/>
      </c>
      <c r="U29" s="254" t="str">
        <f>IF('RELACIÓN DE FACTURAS'!X33="","",'RELACIÓN DE FACTURAS'!X33)</f>
        <v/>
      </c>
      <c r="V29" s="255" t="str">
        <f>IF('RELACIÓN DE FACTURAS'!Y33="","",'RELACIÓN DE FACTURAS'!Y33)</f>
        <v/>
      </c>
      <c r="W29" s="256"/>
      <c r="X29" s="277" t="str">
        <f t="shared" si="3"/>
        <v/>
      </c>
      <c r="Y29" s="257"/>
    </row>
    <row r="30" spans="2:25" ht="39.950000000000003" customHeight="1" x14ac:dyDescent="0.2">
      <c r="B30" s="120">
        <f>IF(Y30&lt;&gt;"",MAX($B$5:B29)+1,0)</f>
        <v>0</v>
      </c>
      <c r="C30" s="122">
        <v>26</v>
      </c>
      <c r="D30" s="241" t="str">
        <f>IF('RELACIÓN DE FACTURAS'!O34="","",'RELACIÓN DE FACTURAS'!O34)</f>
        <v/>
      </c>
      <c r="E30" s="242" t="str">
        <f>IF(D30="SEGUNDO PAGO O POSTERIORES",E29,IF('RELACIÓN DE FACTURAS'!P34="","",'RELACIÓN DE FACTURAS'!P34))</f>
        <v/>
      </c>
      <c r="F30" s="243" t="str">
        <f>IF(D30="SEGUNDO PAGO O POSTERIORES",F29,IF('RELACIÓN DE FACTURAS'!R34="","",'RELACIÓN DE FACTURAS'!R34))</f>
        <v/>
      </c>
      <c r="G30" s="244" t="str">
        <f>IF(D30="","",IF(AND(D30="NUEVA FACTURA",'RELACIÓN DE FACTURAS'!Q34=""),"",IF(AND(D30="NUEVA FACTURA",'RELACIÓN DE FACTURAS'!Q34&lt;&gt;""),'RELACIÓN DE FACTURAS'!Q34,IF(D30="SEGUNDO PAGO O POSTERIORES",G29,""))))</f>
        <v/>
      </c>
      <c r="H30" s="245"/>
      <c r="I30" s="246" t="str">
        <f>IF(D30="","",IF(J30="","REVISAR",IF(OR(J30&lt;EXPEDIENTE!$I$25,J30&gt;EXPEDIENTE!$I$27),"SI","NO")))</f>
        <v/>
      </c>
      <c r="J30" s="247" t="str">
        <f t="shared" si="0"/>
        <v/>
      </c>
      <c r="K30" s="244" t="str">
        <f>IF(D30="","",IF('RELACIÓN DE FACTURAS'!AF34="","",'RELACIÓN DE FACTURAS'!AF34))</f>
        <v/>
      </c>
      <c r="L30" s="245"/>
      <c r="M30" s="246" t="str">
        <f>IF(D30="","",IF(N30="","REVISAR",IF(OR(N30&lt;EXPEDIENTE!$I$25,N30&gt;EXPEDIENTE!$I$29),"SI","NO")))</f>
        <v/>
      </c>
      <c r="N30" s="248" t="str">
        <f t="shared" si="1"/>
        <v/>
      </c>
      <c r="O30" s="249">
        <f>IF(N30&lt;EXPEDIENTE!$I$25,-1,IF(N30&gt;EXPEDIENTE!$I$29,1,0))</f>
        <v>0</v>
      </c>
      <c r="P30" s="250" t="str">
        <f t="shared" si="2"/>
        <v/>
      </c>
      <c r="Q30" s="245"/>
      <c r="R30" s="251"/>
      <c r="S30" s="252" t="str">
        <f>IF(OR(Q30="",R30=""),"",IF(Q30&gt;EXPEDIENTE!$I$27,"",MIN(DATE(YEAR(Q30),MONTH(Q30),DAY(Q30)+R30),EXPEDIENTE!$I$29)))</f>
        <v/>
      </c>
      <c r="T30" s="253" t="str">
        <f>IF(D30="","",IF(AND(P30="NO",Q30="",S30=""),"NO",IF(Q30&gt;EXPEDIENTE!$I$27,"ENTREGA FUERA PLAZO",IF(OR(Q30="",R30=""),"PDTE",IF(S30&lt;N30,"SI","NO")))))</f>
        <v/>
      </c>
      <c r="U30" s="254" t="str">
        <f>IF('RELACIÓN DE FACTURAS'!X34="","",'RELACIÓN DE FACTURAS'!X34)</f>
        <v/>
      </c>
      <c r="V30" s="255" t="str">
        <f>IF('RELACIÓN DE FACTURAS'!Y34="","",'RELACIÓN DE FACTURAS'!Y34)</f>
        <v/>
      </c>
      <c r="W30" s="256"/>
      <c r="X30" s="277" t="str">
        <f t="shared" si="3"/>
        <v/>
      </c>
      <c r="Y30" s="257"/>
    </row>
    <row r="31" spans="2:25" ht="39.950000000000003" customHeight="1" x14ac:dyDescent="0.2">
      <c r="B31" s="120">
        <f>IF(Y31&lt;&gt;"",MAX($B$5:B30)+1,0)</f>
        <v>0</v>
      </c>
      <c r="C31" s="122">
        <v>27</v>
      </c>
      <c r="D31" s="241" t="str">
        <f>IF('RELACIÓN DE FACTURAS'!O35="","",'RELACIÓN DE FACTURAS'!O35)</f>
        <v/>
      </c>
      <c r="E31" s="242" t="str">
        <f>IF(D31="SEGUNDO PAGO O POSTERIORES",E30,IF('RELACIÓN DE FACTURAS'!P35="","",'RELACIÓN DE FACTURAS'!P35))</f>
        <v/>
      </c>
      <c r="F31" s="243" t="str">
        <f>IF(D31="SEGUNDO PAGO O POSTERIORES",F30,IF('RELACIÓN DE FACTURAS'!R35="","",'RELACIÓN DE FACTURAS'!R35))</f>
        <v/>
      </c>
      <c r="G31" s="244" t="str">
        <f>IF(D31="","",IF(AND(D31="NUEVA FACTURA",'RELACIÓN DE FACTURAS'!Q35=""),"",IF(AND(D31="NUEVA FACTURA",'RELACIÓN DE FACTURAS'!Q35&lt;&gt;""),'RELACIÓN DE FACTURAS'!Q35,IF(D31="SEGUNDO PAGO O POSTERIORES",G30,""))))</f>
        <v/>
      </c>
      <c r="H31" s="245"/>
      <c r="I31" s="246" t="str">
        <f>IF(D31="","",IF(J31="","REVISAR",IF(OR(J31&lt;EXPEDIENTE!$I$25,J31&gt;EXPEDIENTE!$I$27),"SI","NO")))</f>
        <v/>
      </c>
      <c r="J31" s="247" t="str">
        <f t="shared" si="0"/>
        <v/>
      </c>
      <c r="K31" s="244" t="str">
        <f>IF(D31="","",IF('RELACIÓN DE FACTURAS'!AF35="","",'RELACIÓN DE FACTURAS'!AF35))</f>
        <v/>
      </c>
      <c r="L31" s="245"/>
      <c r="M31" s="246" t="str">
        <f>IF(D31="","",IF(N31="","REVISAR",IF(OR(N31&lt;EXPEDIENTE!$I$25,N31&gt;EXPEDIENTE!$I$29),"SI","NO")))</f>
        <v/>
      </c>
      <c r="N31" s="248" t="str">
        <f t="shared" si="1"/>
        <v/>
      </c>
      <c r="O31" s="249">
        <f>IF(N31&lt;EXPEDIENTE!$I$25,-1,IF(N31&gt;EXPEDIENTE!$I$29,1,0))</f>
        <v>0</v>
      </c>
      <c r="P31" s="250" t="str">
        <f t="shared" si="2"/>
        <v/>
      </c>
      <c r="Q31" s="245"/>
      <c r="R31" s="251"/>
      <c r="S31" s="252" t="str">
        <f>IF(OR(Q31="",R31=""),"",IF(Q31&gt;EXPEDIENTE!$I$27,"",MIN(DATE(YEAR(Q31),MONTH(Q31),DAY(Q31)+R31),EXPEDIENTE!$I$29)))</f>
        <v/>
      </c>
      <c r="T31" s="253" t="str">
        <f>IF(D31="","",IF(AND(P31="NO",Q31="",S31=""),"NO",IF(Q31&gt;EXPEDIENTE!$I$27,"ENTREGA FUERA PLAZO",IF(OR(Q31="",R31=""),"PDTE",IF(S31&lt;N31,"SI","NO")))))</f>
        <v/>
      </c>
      <c r="U31" s="254" t="str">
        <f>IF('RELACIÓN DE FACTURAS'!X35="","",'RELACIÓN DE FACTURAS'!X35)</f>
        <v/>
      </c>
      <c r="V31" s="255" t="str">
        <f>IF('RELACIÓN DE FACTURAS'!Y35="","",'RELACIÓN DE FACTURAS'!Y35)</f>
        <v/>
      </c>
      <c r="W31" s="256"/>
      <c r="X31" s="277" t="str">
        <f t="shared" si="3"/>
        <v/>
      </c>
      <c r="Y31" s="257"/>
    </row>
    <row r="32" spans="2:25" ht="39.950000000000003" customHeight="1" x14ac:dyDescent="0.2">
      <c r="B32" s="120">
        <f>IF(Y32&lt;&gt;"",MAX($B$5:B31)+1,0)</f>
        <v>0</v>
      </c>
      <c r="C32" s="122">
        <v>28</v>
      </c>
      <c r="D32" s="241" t="str">
        <f>IF('RELACIÓN DE FACTURAS'!O36="","",'RELACIÓN DE FACTURAS'!O36)</f>
        <v/>
      </c>
      <c r="E32" s="242" t="str">
        <f>IF(D32="SEGUNDO PAGO O POSTERIORES",E31,IF('RELACIÓN DE FACTURAS'!P36="","",'RELACIÓN DE FACTURAS'!P36))</f>
        <v/>
      </c>
      <c r="F32" s="243" t="str">
        <f>IF(D32="SEGUNDO PAGO O POSTERIORES",F31,IF('RELACIÓN DE FACTURAS'!R36="","",'RELACIÓN DE FACTURAS'!R36))</f>
        <v/>
      </c>
      <c r="G32" s="244" t="str">
        <f>IF(D32="","",IF(AND(D32="NUEVA FACTURA",'RELACIÓN DE FACTURAS'!Q36=""),"",IF(AND(D32="NUEVA FACTURA",'RELACIÓN DE FACTURAS'!Q36&lt;&gt;""),'RELACIÓN DE FACTURAS'!Q36,IF(D32="SEGUNDO PAGO O POSTERIORES",G31,""))))</f>
        <v/>
      </c>
      <c r="H32" s="245"/>
      <c r="I32" s="246" t="str">
        <f>IF(D32="","",IF(J32="","REVISAR",IF(OR(J32&lt;EXPEDIENTE!$I$25,J32&gt;EXPEDIENTE!$I$27),"SI","NO")))</f>
        <v/>
      </c>
      <c r="J32" s="247" t="str">
        <f t="shared" si="0"/>
        <v/>
      </c>
      <c r="K32" s="244" t="str">
        <f>IF(D32="","",IF('RELACIÓN DE FACTURAS'!AF36="","",'RELACIÓN DE FACTURAS'!AF36))</f>
        <v/>
      </c>
      <c r="L32" s="245"/>
      <c r="M32" s="246" t="str">
        <f>IF(D32="","",IF(N32="","REVISAR",IF(OR(N32&lt;EXPEDIENTE!$I$25,N32&gt;EXPEDIENTE!$I$29),"SI","NO")))</f>
        <v/>
      </c>
      <c r="N32" s="248" t="str">
        <f t="shared" si="1"/>
        <v/>
      </c>
      <c r="O32" s="249">
        <f>IF(N32&lt;EXPEDIENTE!$I$25,-1,IF(N32&gt;EXPEDIENTE!$I$29,1,0))</f>
        <v>0</v>
      </c>
      <c r="P32" s="250" t="str">
        <f t="shared" si="2"/>
        <v/>
      </c>
      <c r="Q32" s="245"/>
      <c r="R32" s="251"/>
      <c r="S32" s="252" t="str">
        <f>IF(OR(Q32="",R32=""),"",IF(Q32&gt;EXPEDIENTE!$I$27,"",MIN(DATE(YEAR(Q32),MONTH(Q32),DAY(Q32)+R32),EXPEDIENTE!$I$29)))</f>
        <v/>
      </c>
      <c r="T32" s="253" t="str">
        <f>IF(D32="","",IF(AND(P32="NO",Q32="",S32=""),"NO",IF(Q32&gt;EXPEDIENTE!$I$27,"ENTREGA FUERA PLAZO",IF(OR(Q32="",R32=""),"PDTE",IF(S32&lt;N32,"SI","NO")))))</f>
        <v/>
      </c>
      <c r="U32" s="254" t="str">
        <f>IF('RELACIÓN DE FACTURAS'!X36="","",'RELACIÓN DE FACTURAS'!X36)</f>
        <v/>
      </c>
      <c r="V32" s="255" t="str">
        <f>IF('RELACIÓN DE FACTURAS'!Y36="","",'RELACIÓN DE FACTURAS'!Y36)</f>
        <v/>
      </c>
      <c r="W32" s="256"/>
      <c r="X32" s="277" t="str">
        <f t="shared" si="3"/>
        <v/>
      </c>
      <c r="Y32" s="257"/>
    </row>
    <row r="33" spans="2:25" ht="39.950000000000003" customHeight="1" x14ac:dyDescent="0.2">
      <c r="B33" s="120">
        <f>IF(Y33&lt;&gt;"",MAX($B$5:B32)+1,0)</f>
        <v>0</v>
      </c>
      <c r="C33" s="122">
        <v>29</v>
      </c>
      <c r="D33" s="241" t="str">
        <f>IF('RELACIÓN DE FACTURAS'!O37="","",'RELACIÓN DE FACTURAS'!O37)</f>
        <v/>
      </c>
      <c r="E33" s="242" t="str">
        <f>IF(D33="SEGUNDO PAGO O POSTERIORES",E32,IF('RELACIÓN DE FACTURAS'!P37="","",'RELACIÓN DE FACTURAS'!P37))</f>
        <v/>
      </c>
      <c r="F33" s="243" t="str">
        <f>IF(D33="SEGUNDO PAGO O POSTERIORES",F32,IF('RELACIÓN DE FACTURAS'!R37="","",'RELACIÓN DE FACTURAS'!R37))</f>
        <v/>
      </c>
      <c r="G33" s="244" t="str">
        <f>IF(D33="","",IF(AND(D33="NUEVA FACTURA",'RELACIÓN DE FACTURAS'!Q37=""),"",IF(AND(D33="NUEVA FACTURA",'RELACIÓN DE FACTURAS'!Q37&lt;&gt;""),'RELACIÓN DE FACTURAS'!Q37,IF(D33="SEGUNDO PAGO O POSTERIORES",G32,""))))</f>
        <v/>
      </c>
      <c r="H33" s="245"/>
      <c r="I33" s="246" t="str">
        <f>IF(D33="","",IF(J33="","REVISAR",IF(OR(J33&lt;EXPEDIENTE!$I$25,J33&gt;EXPEDIENTE!$I$27),"SI","NO")))</f>
        <v/>
      </c>
      <c r="J33" s="247" t="str">
        <f t="shared" ref="J33:J79" si="4">IF(D33="","",IF(H33&lt;&gt;"",H33,G33))</f>
        <v/>
      </c>
      <c r="K33" s="244" t="str">
        <f>IF(D33="","",IF('RELACIÓN DE FACTURAS'!AF37="","",'RELACIÓN DE FACTURAS'!AF37))</f>
        <v/>
      </c>
      <c r="L33" s="245"/>
      <c r="M33" s="246" t="str">
        <f>IF(D33="","",IF(N33="","REVISAR",IF(OR(N33&lt;EXPEDIENTE!$I$25,N33&gt;EXPEDIENTE!$I$29),"SI","NO")))</f>
        <v/>
      </c>
      <c r="N33" s="248" t="str">
        <f t="shared" ref="N33:N79" si="5">IF(D33="","",IF(L33&lt;&gt;"",L33,K33))</f>
        <v/>
      </c>
      <c r="O33" s="249">
        <f>IF(N33&lt;EXPEDIENTE!$I$25,-1,IF(N33&gt;EXPEDIENTE!$I$29,1,0))</f>
        <v>0</v>
      </c>
      <c r="P33" s="250" t="str">
        <f t="shared" ref="P33:P79" si="6">IF(D33="","",IF(OR(J33="",N33=""),"PDTE",IF(N33-J33&gt;30,"SI","NO")))</f>
        <v/>
      </c>
      <c r="Q33" s="245"/>
      <c r="R33" s="251"/>
      <c r="S33" s="252" t="str">
        <f>IF(OR(Q33="",R33=""),"",IF(Q33&gt;EXPEDIENTE!$I$27,"",MIN(DATE(YEAR(Q33),MONTH(Q33),DAY(Q33)+R33),EXPEDIENTE!$I$29)))</f>
        <v/>
      </c>
      <c r="T33" s="253" t="str">
        <f>IF(D33="","",IF(AND(P33="NO",Q33="",S33=""),"NO",IF(Q33&gt;EXPEDIENTE!$I$27,"ENTREGA FUERA PLAZO",IF(OR(Q33="",R33=""),"PDTE",IF(S33&lt;N33,"SI","NO")))))</f>
        <v/>
      </c>
      <c r="U33" s="254" t="str">
        <f>IF('RELACIÓN DE FACTURAS'!X37="","",'RELACIÓN DE FACTURAS'!X37)</f>
        <v/>
      </c>
      <c r="V33" s="255" t="str">
        <f>IF('RELACIÓN DE FACTURAS'!Y37="","",'RELACIÓN DE FACTURAS'!Y37)</f>
        <v/>
      </c>
      <c r="W33" s="256"/>
      <c r="X33" s="277" t="str">
        <f t="shared" ref="X33:X79" si="7">IF(D33="","",IF(AND(I33="NO",M33="NO",T33="NO",W33="NO"),"OK","NO OK"))</f>
        <v/>
      </c>
      <c r="Y33" s="257"/>
    </row>
    <row r="34" spans="2:25" ht="39.950000000000003" customHeight="1" x14ac:dyDescent="0.2">
      <c r="B34" s="120">
        <f>IF(Y34&lt;&gt;"",MAX($B$5:B33)+1,0)</f>
        <v>0</v>
      </c>
      <c r="C34" s="122">
        <v>30</v>
      </c>
      <c r="D34" s="241" t="str">
        <f>IF('RELACIÓN DE FACTURAS'!O38="","",'RELACIÓN DE FACTURAS'!O38)</f>
        <v/>
      </c>
      <c r="E34" s="242" t="str">
        <f>IF(D34="SEGUNDO PAGO O POSTERIORES",E33,IF('RELACIÓN DE FACTURAS'!P38="","",'RELACIÓN DE FACTURAS'!P38))</f>
        <v/>
      </c>
      <c r="F34" s="243" t="str">
        <f>IF(D34="SEGUNDO PAGO O POSTERIORES",F33,IF('RELACIÓN DE FACTURAS'!R38="","",'RELACIÓN DE FACTURAS'!R38))</f>
        <v/>
      </c>
      <c r="G34" s="244" t="str">
        <f>IF(D34="","",IF(AND(D34="NUEVA FACTURA",'RELACIÓN DE FACTURAS'!Q38=""),"",IF(AND(D34="NUEVA FACTURA",'RELACIÓN DE FACTURAS'!Q38&lt;&gt;""),'RELACIÓN DE FACTURAS'!Q38,IF(D34="SEGUNDO PAGO O POSTERIORES",G33,""))))</f>
        <v/>
      </c>
      <c r="H34" s="245"/>
      <c r="I34" s="246" t="str">
        <f>IF(D34="","",IF(J34="","REVISAR",IF(OR(J34&lt;EXPEDIENTE!$I$25,J34&gt;EXPEDIENTE!$I$27),"SI","NO")))</f>
        <v/>
      </c>
      <c r="J34" s="247" t="str">
        <f t="shared" si="4"/>
        <v/>
      </c>
      <c r="K34" s="244" t="str">
        <f>IF(D34="","",IF('RELACIÓN DE FACTURAS'!AF38="","",'RELACIÓN DE FACTURAS'!AF38))</f>
        <v/>
      </c>
      <c r="L34" s="245"/>
      <c r="M34" s="246" t="str">
        <f>IF(D34="","",IF(N34="","REVISAR",IF(OR(N34&lt;EXPEDIENTE!$I$25,N34&gt;EXPEDIENTE!$I$29),"SI","NO")))</f>
        <v/>
      </c>
      <c r="N34" s="248" t="str">
        <f t="shared" si="5"/>
        <v/>
      </c>
      <c r="O34" s="249">
        <f>IF(N34&lt;EXPEDIENTE!$I$25,-1,IF(N34&gt;EXPEDIENTE!$I$29,1,0))</f>
        <v>0</v>
      </c>
      <c r="P34" s="250" t="str">
        <f t="shared" si="6"/>
        <v/>
      </c>
      <c r="Q34" s="245"/>
      <c r="R34" s="251"/>
      <c r="S34" s="252" t="str">
        <f>IF(OR(Q34="",R34=""),"",IF(Q34&gt;EXPEDIENTE!$I$27,"",MIN(DATE(YEAR(Q34),MONTH(Q34),DAY(Q34)+R34),EXPEDIENTE!$I$29)))</f>
        <v/>
      </c>
      <c r="T34" s="253" t="str">
        <f>IF(D34="","",IF(AND(P34="NO",Q34="",S34=""),"NO",IF(Q34&gt;EXPEDIENTE!$I$27,"ENTREGA FUERA PLAZO",IF(OR(Q34="",R34=""),"PDTE",IF(S34&lt;N34,"SI","NO")))))</f>
        <v/>
      </c>
      <c r="U34" s="254" t="str">
        <f>IF('RELACIÓN DE FACTURAS'!X38="","",'RELACIÓN DE FACTURAS'!X38)</f>
        <v/>
      </c>
      <c r="V34" s="255" t="str">
        <f>IF('RELACIÓN DE FACTURAS'!Y38="","",'RELACIÓN DE FACTURAS'!Y38)</f>
        <v/>
      </c>
      <c r="W34" s="256"/>
      <c r="X34" s="277" t="str">
        <f t="shared" si="7"/>
        <v/>
      </c>
      <c r="Y34" s="257"/>
    </row>
    <row r="35" spans="2:25" ht="39.950000000000003" customHeight="1" x14ac:dyDescent="0.2">
      <c r="B35" s="120">
        <f>IF(Y35&lt;&gt;"",MAX($B$5:B34)+1,0)</f>
        <v>0</v>
      </c>
      <c r="C35" s="122">
        <v>31</v>
      </c>
      <c r="D35" s="241" t="str">
        <f>IF('RELACIÓN DE FACTURAS'!O39="","",'RELACIÓN DE FACTURAS'!O39)</f>
        <v/>
      </c>
      <c r="E35" s="242" t="str">
        <f>IF(D35="SEGUNDO PAGO O POSTERIORES",E34,IF('RELACIÓN DE FACTURAS'!P39="","",'RELACIÓN DE FACTURAS'!P39))</f>
        <v/>
      </c>
      <c r="F35" s="243" t="str">
        <f>IF(D35="SEGUNDO PAGO O POSTERIORES",F34,IF('RELACIÓN DE FACTURAS'!R39="","",'RELACIÓN DE FACTURAS'!R39))</f>
        <v/>
      </c>
      <c r="G35" s="244" t="str">
        <f>IF(D35="","",IF(AND(D35="NUEVA FACTURA",'RELACIÓN DE FACTURAS'!Q39=""),"",IF(AND(D35="NUEVA FACTURA",'RELACIÓN DE FACTURAS'!Q39&lt;&gt;""),'RELACIÓN DE FACTURAS'!Q39,IF(D35="SEGUNDO PAGO O POSTERIORES",G34,""))))</f>
        <v/>
      </c>
      <c r="H35" s="245"/>
      <c r="I35" s="246" t="str">
        <f>IF(D35="","",IF(J35="","REVISAR",IF(OR(J35&lt;EXPEDIENTE!$I$25,J35&gt;EXPEDIENTE!$I$27),"SI","NO")))</f>
        <v/>
      </c>
      <c r="J35" s="247" t="str">
        <f t="shared" si="4"/>
        <v/>
      </c>
      <c r="K35" s="244" t="str">
        <f>IF(D35="","",IF('RELACIÓN DE FACTURAS'!AF39="","",'RELACIÓN DE FACTURAS'!AF39))</f>
        <v/>
      </c>
      <c r="L35" s="245"/>
      <c r="M35" s="246" t="str">
        <f>IF(D35="","",IF(N35="","REVISAR",IF(OR(N35&lt;EXPEDIENTE!$I$25,N35&gt;EXPEDIENTE!$I$29),"SI","NO")))</f>
        <v/>
      </c>
      <c r="N35" s="248" t="str">
        <f t="shared" si="5"/>
        <v/>
      </c>
      <c r="O35" s="249">
        <f>IF(N35&lt;EXPEDIENTE!$I$25,-1,IF(N35&gt;EXPEDIENTE!$I$29,1,0))</f>
        <v>0</v>
      </c>
      <c r="P35" s="250" t="str">
        <f t="shared" si="6"/>
        <v/>
      </c>
      <c r="Q35" s="245"/>
      <c r="R35" s="251"/>
      <c r="S35" s="252" t="str">
        <f>IF(OR(Q35="",R35=""),"",IF(Q35&gt;EXPEDIENTE!$I$27,"",MIN(DATE(YEAR(Q35),MONTH(Q35),DAY(Q35)+R35),EXPEDIENTE!$I$29)))</f>
        <v/>
      </c>
      <c r="T35" s="253" t="str">
        <f>IF(D35="","",IF(AND(P35="NO",Q35="",S35=""),"NO",IF(Q35&gt;EXPEDIENTE!$I$27,"ENTREGA FUERA PLAZO",IF(OR(Q35="",R35=""),"PDTE",IF(S35&lt;N35,"SI","NO")))))</f>
        <v/>
      </c>
      <c r="U35" s="254" t="str">
        <f>IF('RELACIÓN DE FACTURAS'!X39="","",'RELACIÓN DE FACTURAS'!X39)</f>
        <v/>
      </c>
      <c r="V35" s="255" t="str">
        <f>IF('RELACIÓN DE FACTURAS'!Y39="","",'RELACIÓN DE FACTURAS'!Y39)</f>
        <v/>
      </c>
      <c r="W35" s="256"/>
      <c r="X35" s="277" t="str">
        <f t="shared" si="7"/>
        <v/>
      </c>
      <c r="Y35" s="257"/>
    </row>
    <row r="36" spans="2:25" ht="39.950000000000003" customHeight="1" x14ac:dyDescent="0.2">
      <c r="B36" s="120">
        <f>IF(Y36&lt;&gt;"",MAX($B$5:B35)+1,0)</f>
        <v>0</v>
      </c>
      <c r="C36" s="122">
        <v>32</v>
      </c>
      <c r="D36" s="241" t="str">
        <f>IF('RELACIÓN DE FACTURAS'!O40="","",'RELACIÓN DE FACTURAS'!O40)</f>
        <v/>
      </c>
      <c r="E36" s="242" t="str">
        <f>IF(D36="SEGUNDO PAGO O POSTERIORES",E35,IF('RELACIÓN DE FACTURAS'!P40="","",'RELACIÓN DE FACTURAS'!P40))</f>
        <v/>
      </c>
      <c r="F36" s="243" t="str">
        <f>IF(D36="SEGUNDO PAGO O POSTERIORES",F35,IF('RELACIÓN DE FACTURAS'!R40="","",'RELACIÓN DE FACTURAS'!R40))</f>
        <v/>
      </c>
      <c r="G36" s="244" t="str">
        <f>IF(D36="","",IF(AND(D36="NUEVA FACTURA",'RELACIÓN DE FACTURAS'!Q40=""),"",IF(AND(D36="NUEVA FACTURA",'RELACIÓN DE FACTURAS'!Q40&lt;&gt;""),'RELACIÓN DE FACTURAS'!Q40,IF(D36="SEGUNDO PAGO O POSTERIORES",G35,""))))</f>
        <v/>
      </c>
      <c r="H36" s="245"/>
      <c r="I36" s="246" t="str">
        <f>IF(D36="","",IF(J36="","REVISAR",IF(OR(J36&lt;EXPEDIENTE!$I$25,J36&gt;EXPEDIENTE!$I$27),"SI","NO")))</f>
        <v/>
      </c>
      <c r="J36" s="247" t="str">
        <f t="shared" si="4"/>
        <v/>
      </c>
      <c r="K36" s="244" t="str">
        <f>IF(D36="","",IF('RELACIÓN DE FACTURAS'!AF40="","",'RELACIÓN DE FACTURAS'!AF40))</f>
        <v/>
      </c>
      <c r="L36" s="245"/>
      <c r="M36" s="246" t="str">
        <f>IF(D36="","",IF(N36="","REVISAR",IF(OR(N36&lt;EXPEDIENTE!$I$25,N36&gt;EXPEDIENTE!$I$29),"SI","NO")))</f>
        <v/>
      </c>
      <c r="N36" s="248" t="str">
        <f t="shared" si="5"/>
        <v/>
      </c>
      <c r="O36" s="249">
        <f>IF(N36&lt;EXPEDIENTE!$I$25,-1,IF(N36&gt;EXPEDIENTE!$I$29,1,0))</f>
        <v>0</v>
      </c>
      <c r="P36" s="250" t="str">
        <f t="shared" si="6"/>
        <v/>
      </c>
      <c r="Q36" s="245"/>
      <c r="R36" s="251"/>
      <c r="S36" s="252" t="str">
        <f>IF(OR(Q36="",R36=""),"",IF(Q36&gt;EXPEDIENTE!$I$27,"",MIN(DATE(YEAR(Q36),MONTH(Q36),DAY(Q36)+R36),EXPEDIENTE!$I$29)))</f>
        <v/>
      </c>
      <c r="T36" s="253" t="str">
        <f>IF(D36="","",IF(AND(P36="NO",Q36="",S36=""),"NO",IF(Q36&gt;EXPEDIENTE!$I$27,"ENTREGA FUERA PLAZO",IF(OR(Q36="",R36=""),"PDTE",IF(S36&lt;N36,"SI","NO")))))</f>
        <v/>
      </c>
      <c r="U36" s="254" t="str">
        <f>IF('RELACIÓN DE FACTURAS'!X40="","",'RELACIÓN DE FACTURAS'!X40)</f>
        <v/>
      </c>
      <c r="V36" s="255" t="str">
        <f>IF('RELACIÓN DE FACTURAS'!Y40="","",'RELACIÓN DE FACTURAS'!Y40)</f>
        <v/>
      </c>
      <c r="W36" s="256"/>
      <c r="X36" s="277" t="str">
        <f t="shared" si="7"/>
        <v/>
      </c>
      <c r="Y36" s="257"/>
    </row>
    <row r="37" spans="2:25" ht="39.950000000000003" customHeight="1" x14ac:dyDescent="0.2">
      <c r="B37" s="120">
        <f>IF(Y37&lt;&gt;"",MAX($B$5:B36)+1,0)</f>
        <v>0</v>
      </c>
      <c r="C37" s="122">
        <v>33</v>
      </c>
      <c r="D37" s="241" t="str">
        <f>IF('RELACIÓN DE FACTURAS'!O41="","",'RELACIÓN DE FACTURAS'!O41)</f>
        <v/>
      </c>
      <c r="E37" s="242" t="str">
        <f>IF(D37="SEGUNDO PAGO O POSTERIORES",E36,IF('RELACIÓN DE FACTURAS'!P41="","",'RELACIÓN DE FACTURAS'!P41))</f>
        <v/>
      </c>
      <c r="F37" s="243" t="str">
        <f>IF(D37="SEGUNDO PAGO O POSTERIORES",F36,IF('RELACIÓN DE FACTURAS'!R41="","",'RELACIÓN DE FACTURAS'!R41))</f>
        <v/>
      </c>
      <c r="G37" s="244" t="str">
        <f>IF(D37="","",IF(AND(D37="NUEVA FACTURA",'RELACIÓN DE FACTURAS'!Q41=""),"",IF(AND(D37="NUEVA FACTURA",'RELACIÓN DE FACTURAS'!Q41&lt;&gt;""),'RELACIÓN DE FACTURAS'!Q41,IF(D37="SEGUNDO PAGO O POSTERIORES",G36,""))))</f>
        <v/>
      </c>
      <c r="H37" s="245"/>
      <c r="I37" s="246" t="str">
        <f>IF(D37="","",IF(J37="","REVISAR",IF(OR(J37&lt;EXPEDIENTE!$I$25,J37&gt;EXPEDIENTE!$I$27),"SI","NO")))</f>
        <v/>
      </c>
      <c r="J37" s="247" t="str">
        <f t="shared" si="4"/>
        <v/>
      </c>
      <c r="K37" s="244" t="str">
        <f>IF(D37="","",IF('RELACIÓN DE FACTURAS'!AF41="","",'RELACIÓN DE FACTURAS'!AF41))</f>
        <v/>
      </c>
      <c r="L37" s="245"/>
      <c r="M37" s="246" t="str">
        <f>IF(D37="","",IF(N37="","REVISAR",IF(OR(N37&lt;EXPEDIENTE!$I$25,N37&gt;EXPEDIENTE!$I$29),"SI","NO")))</f>
        <v/>
      </c>
      <c r="N37" s="248" t="str">
        <f t="shared" si="5"/>
        <v/>
      </c>
      <c r="O37" s="249">
        <f>IF(N37&lt;EXPEDIENTE!$I$25,-1,IF(N37&gt;EXPEDIENTE!$I$29,1,0))</f>
        <v>0</v>
      </c>
      <c r="P37" s="250" t="str">
        <f t="shared" si="6"/>
        <v/>
      </c>
      <c r="Q37" s="245"/>
      <c r="R37" s="251"/>
      <c r="S37" s="252" t="str">
        <f>IF(OR(Q37="",R37=""),"",IF(Q37&gt;EXPEDIENTE!$I$27,"",MIN(DATE(YEAR(Q37),MONTH(Q37),DAY(Q37)+R37),EXPEDIENTE!$I$29)))</f>
        <v/>
      </c>
      <c r="T37" s="253" t="str">
        <f>IF(D37="","",IF(AND(P37="NO",Q37="",S37=""),"NO",IF(Q37&gt;EXPEDIENTE!$I$27,"ENTREGA FUERA PLAZO",IF(OR(Q37="",R37=""),"PDTE",IF(S37&lt;N37,"SI","NO")))))</f>
        <v/>
      </c>
      <c r="U37" s="254" t="str">
        <f>IF('RELACIÓN DE FACTURAS'!X41="","",'RELACIÓN DE FACTURAS'!X41)</f>
        <v/>
      </c>
      <c r="V37" s="255" t="str">
        <f>IF('RELACIÓN DE FACTURAS'!Y41="","",'RELACIÓN DE FACTURAS'!Y41)</f>
        <v/>
      </c>
      <c r="W37" s="256"/>
      <c r="X37" s="277" t="str">
        <f t="shared" si="7"/>
        <v/>
      </c>
      <c r="Y37" s="257"/>
    </row>
    <row r="38" spans="2:25" ht="39.950000000000003" customHeight="1" x14ac:dyDescent="0.2">
      <c r="B38" s="120">
        <f>IF(Y38&lt;&gt;"",MAX($B$5:B37)+1,0)</f>
        <v>0</v>
      </c>
      <c r="C38" s="122">
        <v>34</v>
      </c>
      <c r="D38" s="241" t="str">
        <f>IF('RELACIÓN DE FACTURAS'!O42="","",'RELACIÓN DE FACTURAS'!O42)</f>
        <v/>
      </c>
      <c r="E38" s="242" t="str">
        <f>IF(D38="SEGUNDO PAGO O POSTERIORES",E37,IF('RELACIÓN DE FACTURAS'!P42="","",'RELACIÓN DE FACTURAS'!P42))</f>
        <v/>
      </c>
      <c r="F38" s="243" t="str">
        <f>IF(D38="SEGUNDO PAGO O POSTERIORES",F37,IF('RELACIÓN DE FACTURAS'!R42="","",'RELACIÓN DE FACTURAS'!R42))</f>
        <v/>
      </c>
      <c r="G38" s="244" t="str">
        <f>IF(D38="","",IF(AND(D38="NUEVA FACTURA",'RELACIÓN DE FACTURAS'!Q42=""),"",IF(AND(D38="NUEVA FACTURA",'RELACIÓN DE FACTURAS'!Q42&lt;&gt;""),'RELACIÓN DE FACTURAS'!Q42,IF(D38="SEGUNDO PAGO O POSTERIORES",G37,""))))</f>
        <v/>
      </c>
      <c r="H38" s="245"/>
      <c r="I38" s="246" t="str">
        <f>IF(D38="","",IF(J38="","REVISAR",IF(OR(J38&lt;EXPEDIENTE!$I$25,J38&gt;EXPEDIENTE!$I$27),"SI","NO")))</f>
        <v/>
      </c>
      <c r="J38" s="247" t="str">
        <f t="shared" si="4"/>
        <v/>
      </c>
      <c r="K38" s="244" t="str">
        <f>IF(D38="","",IF('RELACIÓN DE FACTURAS'!AF42="","",'RELACIÓN DE FACTURAS'!AF42))</f>
        <v/>
      </c>
      <c r="L38" s="245"/>
      <c r="M38" s="246" t="str">
        <f>IF(D38="","",IF(N38="","REVISAR",IF(OR(N38&lt;EXPEDIENTE!$I$25,N38&gt;EXPEDIENTE!$I$29),"SI","NO")))</f>
        <v/>
      </c>
      <c r="N38" s="248" t="str">
        <f t="shared" si="5"/>
        <v/>
      </c>
      <c r="O38" s="249">
        <f>IF(N38&lt;EXPEDIENTE!$I$25,-1,IF(N38&gt;EXPEDIENTE!$I$29,1,0))</f>
        <v>0</v>
      </c>
      <c r="P38" s="250" t="str">
        <f t="shared" si="6"/>
        <v/>
      </c>
      <c r="Q38" s="245"/>
      <c r="R38" s="251"/>
      <c r="S38" s="252" t="str">
        <f>IF(OR(Q38="",R38=""),"",IF(Q38&gt;EXPEDIENTE!$I$27,"",MIN(DATE(YEAR(Q38),MONTH(Q38),DAY(Q38)+R38),EXPEDIENTE!$I$29)))</f>
        <v/>
      </c>
      <c r="T38" s="253" t="str">
        <f>IF(D38="","",IF(AND(P38="NO",Q38="",S38=""),"NO",IF(Q38&gt;EXPEDIENTE!$I$27,"ENTREGA FUERA PLAZO",IF(OR(Q38="",R38=""),"PDTE",IF(S38&lt;N38,"SI","NO")))))</f>
        <v/>
      </c>
      <c r="U38" s="254" t="str">
        <f>IF('RELACIÓN DE FACTURAS'!X42="","",'RELACIÓN DE FACTURAS'!X42)</f>
        <v/>
      </c>
      <c r="V38" s="255" t="str">
        <f>IF('RELACIÓN DE FACTURAS'!Y42="","",'RELACIÓN DE FACTURAS'!Y42)</f>
        <v/>
      </c>
      <c r="W38" s="256"/>
      <c r="X38" s="277" t="str">
        <f t="shared" si="7"/>
        <v/>
      </c>
      <c r="Y38" s="257"/>
    </row>
    <row r="39" spans="2:25" ht="39.950000000000003" customHeight="1" x14ac:dyDescent="0.2">
      <c r="B39" s="120">
        <f>IF(Y39&lt;&gt;"",MAX($B$5:B38)+1,0)</f>
        <v>0</v>
      </c>
      <c r="C39" s="122">
        <v>35</v>
      </c>
      <c r="D39" s="241" t="str">
        <f>IF('RELACIÓN DE FACTURAS'!O43="","",'RELACIÓN DE FACTURAS'!O43)</f>
        <v/>
      </c>
      <c r="E39" s="242" t="str">
        <f>IF(D39="SEGUNDO PAGO O POSTERIORES",E38,IF('RELACIÓN DE FACTURAS'!P43="","",'RELACIÓN DE FACTURAS'!P43))</f>
        <v/>
      </c>
      <c r="F39" s="243" t="str">
        <f>IF(D39="SEGUNDO PAGO O POSTERIORES",F38,IF('RELACIÓN DE FACTURAS'!R43="","",'RELACIÓN DE FACTURAS'!R43))</f>
        <v/>
      </c>
      <c r="G39" s="244" t="str">
        <f>IF(D39="","",IF(AND(D39="NUEVA FACTURA",'RELACIÓN DE FACTURAS'!Q43=""),"",IF(AND(D39="NUEVA FACTURA",'RELACIÓN DE FACTURAS'!Q43&lt;&gt;""),'RELACIÓN DE FACTURAS'!Q43,IF(D39="SEGUNDO PAGO O POSTERIORES",G38,""))))</f>
        <v/>
      </c>
      <c r="H39" s="245"/>
      <c r="I39" s="246" t="str">
        <f>IF(D39="","",IF(J39="","REVISAR",IF(OR(J39&lt;EXPEDIENTE!$I$25,J39&gt;EXPEDIENTE!$I$27),"SI","NO")))</f>
        <v/>
      </c>
      <c r="J39" s="247" t="str">
        <f t="shared" si="4"/>
        <v/>
      </c>
      <c r="K39" s="244" t="str">
        <f>IF(D39="","",IF('RELACIÓN DE FACTURAS'!AF43="","",'RELACIÓN DE FACTURAS'!AF43))</f>
        <v/>
      </c>
      <c r="L39" s="245"/>
      <c r="M39" s="246" t="str">
        <f>IF(D39="","",IF(N39="","REVISAR",IF(OR(N39&lt;EXPEDIENTE!$I$25,N39&gt;EXPEDIENTE!$I$29),"SI","NO")))</f>
        <v/>
      </c>
      <c r="N39" s="248" t="str">
        <f t="shared" si="5"/>
        <v/>
      </c>
      <c r="O39" s="249">
        <f>IF(N39&lt;EXPEDIENTE!$I$25,-1,IF(N39&gt;EXPEDIENTE!$I$29,1,0))</f>
        <v>0</v>
      </c>
      <c r="P39" s="250" t="str">
        <f t="shared" si="6"/>
        <v/>
      </c>
      <c r="Q39" s="245"/>
      <c r="R39" s="251"/>
      <c r="S39" s="252" t="str">
        <f>IF(OR(Q39="",R39=""),"",IF(Q39&gt;EXPEDIENTE!$I$27,"",MIN(DATE(YEAR(Q39),MONTH(Q39),DAY(Q39)+R39),EXPEDIENTE!$I$29)))</f>
        <v/>
      </c>
      <c r="T39" s="253" t="str">
        <f>IF(D39="","",IF(AND(P39="NO",Q39="",S39=""),"NO",IF(Q39&gt;EXPEDIENTE!$I$27,"ENTREGA FUERA PLAZO",IF(OR(Q39="",R39=""),"PDTE",IF(S39&lt;N39,"SI","NO")))))</f>
        <v/>
      </c>
      <c r="U39" s="254" t="str">
        <f>IF('RELACIÓN DE FACTURAS'!X43="","",'RELACIÓN DE FACTURAS'!X43)</f>
        <v/>
      </c>
      <c r="V39" s="255" t="str">
        <f>IF('RELACIÓN DE FACTURAS'!Y43="","",'RELACIÓN DE FACTURAS'!Y43)</f>
        <v/>
      </c>
      <c r="W39" s="256"/>
      <c r="X39" s="277" t="str">
        <f t="shared" si="7"/>
        <v/>
      </c>
      <c r="Y39" s="257"/>
    </row>
    <row r="40" spans="2:25" ht="39.950000000000003" customHeight="1" x14ac:dyDescent="0.2">
      <c r="B40" s="120">
        <f>IF(Y40&lt;&gt;"",MAX($B$5:B39)+1,0)</f>
        <v>0</v>
      </c>
      <c r="C40" s="122">
        <v>36</v>
      </c>
      <c r="D40" s="241" t="str">
        <f>IF('RELACIÓN DE FACTURAS'!O44="","",'RELACIÓN DE FACTURAS'!O44)</f>
        <v/>
      </c>
      <c r="E40" s="242" t="str">
        <f>IF(D40="SEGUNDO PAGO O POSTERIORES",E39,IF('RELACIÓN DE FACTURAS'!P44="","",'RELACIÓN DE FACTURAS'!P44))</f>
        <v/>
      </c>
      <c r="F40" s="243" t="str">
        <f>IF(D40="SEGUNDO PAGO O POSTERIORES",F39,IF('RELACIÓN DE FACTURAS'!R44="","",'RELACIÓN DE FACTURAS'!R44))</f>
        <v/>
      </c>
      <c r="G40" s="244" t="str">
        <f>IF(D40="","",IF(AND(D40="NUEVA FACTURA",'RELACIÓN DE FACTURAS'!Q44=""),"",IF(AND(D40="NUEVA FACTURA",'RELACIÓN DE FACTURAS'!Q44&lt;&gt;""),'RELACIÓN DE FACTURAS'!Q44,IF(D40="SEGUNDO PAGO O POSTERIORES",G39,""))))</f>
        <v/>
      </c>
      <c r="H40" s="245"/>
      <c r="I40" s="246" t="str">
        <f>IF(D40="","",IF(J40="","REVISAR",IF(OR(J40&lt;EXPEDIENTE!$I$25,J40&gt;EXPEDIENTE!$I$27),"SI","NO")))</f>
        <v/>
      </c>
      <c r="J40" s="247" t="str">
        <f t="shared" si="4"/>
        <v/>
      </c>
      <c r="K40" s="244" t="str">
        <f>IF(D40="","",IF('RELACIÓN DE FACTURAS'!AF44="","",'RELACIÓN DE FACTURAS'!AF44))</f>
        <v/>
      </c>
      <c r="L40" s="245"/>
      <c r="M40" s="246" t="str">
        <f>IF(D40="","",IF(N40="","REVISAR",IF(OR(N40&lt;EXPEDIENTE!$I$25,N40&gt;EXPEDIENTE!$I$29),"SI","NO")))</f>
        <v/>
      </c>
      <c r="N40" s="248" t="str">
        <f t="shared" si="5"/>
        <v/>
      </c>
      <c r="O40" s="249">
        <f>IF(N40&lt;EXPEDIENTE!$I$25,-1,IF(N40&gt;EXPEDIENTE!$I$29,1,0))</f>
        <v>0</v>
      </c>
      <c r="P40" s="250" t="str">
        <f t="shared" si="6"/>
        <v/>
      </c>
      <c r="Q40" s="245"/>
      <c r="R40" s="251"/>
      <c r="S40" s="252" t="str">
        <f>IF(OR(Q40="",R40=""),"",IF(Q40&gt;EXPEDIENTE!$I$27,"",MIN(DATE(YEAR(Q40),MONTH(Q40),DAY(Q40)+R40),EXPEDIENTE!$I$29)))</f>
        <v/>
      </c>
      <c r="T40" s="253" t="str">
        <f>IF(D40="","",IF(AND(P40="NO",Q40="",S40=""),"NO",IF(Q40&gt;EXPEDIENTE!$I$27,"ENTREGA FUERA PLAZO",IF(OR(Q40="",R40=""),"PDTE",IF(S40&lt;N40,"SI","NO")))))</f>
        <v/>
      </c>
      <c r="U40" s="254" t="str">
        <f>IF('RELACIÓN DE FACTURAS'!X44="","",'RELACIÓN DE FACTURAS'!X44)</f>
        <v/>
      </c>
      <c r="V40" s="255" t="str">
        <f>IF('RELACIÓN DE FACTURAS'!Y44="","",'RELACIÓN DE FACTURAS'!Y44)</f>
        <v/>
      </c>
      <c r="W40" s="256"/>
      <c r="X40" s="277" t="str">
        <f t="shared" si="7"/>
        <v/>
      </c>
      <c r="Y40" s="257"/>
    </row>
    <row r="41" spans="2:25" ht="39.950000000000003" customHeight="1" x14ac:dyDescent="0.2">
      <c r="B41" s="120">
        <f>IF(Y41&lt;&gt;"",MAX($B$5:B40)+1,0)</f>
        <v>0</v>
      </c>
      <c r="C41" s="122">
        <v>37</v>
      </c>
      <c r="D41" s="241" t="str">
        <f>IF('RELACIÓN DE FACTURAS'!O45="","",'RELACIÓN DE FACTURAS'!O45)</f>
        <v/>
      </c>
      <c r="E41" s="242" t="str">
        <f>IF(D41="SEGUNDO PAGO O POSTERIORES",E40,IF('RELACIÓN DE FACTURAS'!P45="","",'RELACIÓN DE FACTURAS'!P45))</f>
        <v/>
      </c>
      <c r="F41" s="243" t="str">
        <f>IF(D41="SEGUNDO PAGO O POSTERIORES",F40,IF('RELACIÓN DE FACTURAS'!R45="","",'RELACIÓN DE FACTURAS'!R45))</f>
        <v/>
      </c>
      <c r="G41" s="244" t="str">
        <f>IF(D41="","",IF(AND(D41="NUEVA FACTURA",'RELACIÓN DE FACTURAS'!Q45=""),"",IF(AND(D41="NUEVA FACTURA",'RELACIÓN DE FACTURAS'!Q45&lt;&gt;""),'RELACIÓN DE FACTURAS'!Q45,IF(D41="SEGUNDO PAGO O POSTERIORES",G40,""))))</f>
        <v/>
      </c>
      <c r="H41" s="245"/>
      <c r="I41" s="246" t="str">
        <f>IF(D41="","",IF(J41="","REVISAR",IF(OR(J41&lt;EXPEDIENTE!$I$25,J41&gt;EXPEDIENTE!$I$27),"SI","NO")))</f>
        <v/>
      </c>
      <c r="J41" s="247" t="str">
        <f t="shared" si="4"/>
        <v/>
      </c>
      <c r="K41" s="244" t="str">
        <f>IF(D41="","",IF('RELACIÓN DE FACTURAS'!AF45="","",'RELACIÓN DE FACTURAS'!AF45))</f>
        <v/>
      </c>
      <c r="L41" s="245"/>
      <c r="M41" s="246" t="str">
        <f>IF(D41="","",IF(N41="","REVISAR",IF(OR(N41&lt;EXPEDIENTE!$I$25,N41&gt;EXPEDIENTE!$I$29),"SI","NO")))</f>
        <v/>
      </c>
      <c r="N41" s="248" t="str">
        <f t="shared" si="5"/>
        <v/>
      </c>
      <c r="O41" s="249">
        <f>IF(N41&lt;EXPEDIENTE!$I$25,-1,IF(N41&gt;EXPEDIENTE!$I$29,1,0))</f>
        <v>0</v>
      </c>
      <c r="P41" s="250" t="str">
        <f t="shared" si="6"/>
        <v/>
      </c>
      <c r="Q41" s="245"/>
      <c r="R41" s="251"/>
      <c r="S41" s="252" t="str">
        <f>IF(OR(Q41="",R41=""),"",IF(Q41&gt;EXPEDIENTE!$I$27,"",MIN(DATE(YEAR(Q41),MONTH(Q41),DAY(Q41)+R41),EXPEDIENTE!$I$29)))</f>
        <v/>
      </c>
      <c r="T41" s="253" t="str">
        <f>IF(D41="","",IF(AND(P41="NO",Q41="",S41=""),"NO",IF(Q41&gt;EXPEDIENTE!$I$27,"ENTREGA FUERA PLAZO",IF(OR(Q41="",R41=""),"PDTE",IF(S41&lt;N41,"SI","NO")))))</f>
        <v/>
      </c>
      <c r="U41" s="254" t="str">
        <f>IF('RELACIÓN DE FACTURAS'!X45="","",'RELACIÓN DE FACTURAS'!X45)</f>
        <v/>
      </c>
      <c r="V41" s="255" t="str">
        <f>IF('RELACIÓN DE FACTURAS'!Y45="","",'RELACIÓN DE FACTURAS'!Y45)</f>
        <v/>
      </c>
      <c r="W41" s="256"/>
      <c r="X41" s="277" t="str">
        <f t="shared" si="7"/>
        <v/>
      </c>
      <c r="Y41" s="257"/>
    </row>
    <row r="42" spans="2:25" ht="39.950000000000003" customHeight="1" x14ac:dyDescent="0.2">
      <c r="B42" s="120">
        <f>IF(Y42&lt;&gt;"",MAX($B$5:B41)+1,0)</f>
        <v>0</v>
      </c>
      <c r="C42" s="122">
        <v>38</v>
      </c>
      <c r="D42" s="241" t="str">
        <f>IF('RELACIÓN DE FACTURAS'!O46="","",'RELACIÓN DE FACTURAS'!O46)</f>
        <v/>
      </c>
      <c r="E42" s="242" t="str">
        <f>IF(D42="SEGUNDO PAGO O POSTERIORES",E41,IF('RELACIÓN DE FACTURAS'!P46="","",'RELACIÓN DE FACTURAS'!P46))</f>
        <v/>
      </c>
      <c r="F42" s="243" t="str">
        <f>IF(D42="SEGUNDO PAGO O POSTERIORES",F41,IF('RELACIÓN DE FACTURAS'!R46="","",'RELACIÓN DE FACTURAS'!R46))</f>
        <v/>
      </c>
      <c r="G42" s="244" t="str">
        <f>IF(D42="","",IF(AND(D42="NUEVA FACTURA",'RELACIÓN DE FACTURAS'!Q46=""),"",IF(AND(D42="NUEVA FACTURA",'RELACIÓN DE FACTURAS'!Q46&lt;&gt;""),'RELACIÓN DE FACTURAS'!Q46,IF(D42="SEGUNDO PAGO O POSTERIORES",G41,""))))</f>
        <v/>
      </c>
      <c r="H42" s="245"/>
      <c r="I42" s="246" t="str">
        <f>IF(D42="","",IF(J42="","REVISAR",IF(OR(J42&lt;EXPEDIENTE!$I$25,J42&gt;EXPEDIENTE!$I$27),"SI","NO")))</f>
        <v/>
      </c>
      <c r="J42" s="247" t="str">
        <f t="shared" si="4"/>
        <v/>
      </c>
      <c r="K42" s="244" t="str">
        <f>IF(D42="","",IF('RELACIÓN DE FACTURAS'!AF46="","",'RELACIÓN DE FACTURAS'!AF46))</f>
        <v/>
      </c>
      <c r="L42" s="245"/>
      <c r="M42" s="246" t="str">
        <f>IF(D42="","",IF(N42="","REVISAR",IF(OR(N42&lt;EXPEDIENTE!$I$25,N42&gt;EXPEDIENTE!$I$29),"SI","NO")))</f>
        <v/>
      </c>
      <c r="N42" s="248" t="str">
        <f t="shared" si="5"/>
        <v/>
      </c>
      <c r="O42" s="249">
        <f>IF(N42&lt;EXPEDIENTE!$I$25,-1,IF(N42&gt;EXPEDIENTE!$I$29,1,0))</f>
        <v>0</v>
      </c>
      <c r="P42" s="250" t="str">
        <f t="shared" si="6"/>
        <v/>
      </c>
      <c r="Q42" s="245"/>
      <c r="R42" s="251"/>
      <c r="S42" s="252" t="str">
        <f>IF(OR(Q42="",R42=""),"",IF(Q42&gt;EXPEDIENTE!$I$27,"",MIN(DATE(YEAR(Q42),MONTH(Q42),DAY(Q42)+R42),EXPEDIENTE!$I$29)))</f>
        <v/>
      </c>
      <c r="T42" s="253" t="str">
        <f>IF(D42="","",IF(AND(P42="NO",Q42="",S42=""),"NO",IF(Q42&gt;EXPEDIENTE!$I$27,"ENTREGA FUERA PLAZO",IF(OR(Q42="",R42=""),"PDTE",IF(S42&lt;N42,"SI","NO")))))</f>
        <v/>
      </c>
      <c r="U42" s="254" t="str">
        <f>IF('RELACIÓN DE FACTURAS'!X46="","",'RELACIÓN DE FACTURAS'!X46)</f>
        <v/>
      </c>
      <c r="V42" s="255" t="str">
        <f>IF('RELACIÓN DE FACTURAS'!Y46="","",'RELACIÓN DE FACTURAS'!Y46)</f>
        <v/>
      </c>
      <c r="W42" s="256"/>
      <c r="X42" s="277" t="str">
        <f t="shared" si="7"/>
        <v/>
      </c>
      <c r="Y42" s="257"/>
    </row>
    <row r="43" spans="2:25" ht="39.950000000000003" customHeight="1" x14ac:dyDescent="0.2">
      <c r="B43" s="120">
        <f>IF(Y43&lt;&gt;"",MAX($B$5:B42)+1,0)</f>
        <v>0</v>
      </c>
      <c r="C43" s="122">
        <v>39</v>
      </c>
      <c r="D43" s="241" t="str">
        <f>IF('RELACIÓN DE FACTURAS'!O47="","",'RELACIÓN DE FACTURAS'!O47)</f>
        <v/>
      </c>
      <c r="E43" s="242" t="str">
        <f>IF(D43="SEGUNDO PAGO O POSTERIORES",E42,IF('RELACIÓN DE FACTURAS'!P47="","",'RELACIÓN DE FACTURAS'!P47))</f>
        <v/>
      </c>
      <c r="F43" s="243" t="str">
        <f>IF(D43="SEGUNDO PAGO O POSTERIORES",F42,IF('RELACIÓN DE FACTURAS'!R47="","",'RELACIÓN DE FACTURAS'!R47))</f>
        <v/>
      </c>
      <c r="G43" s="244" t="str">
        <f>IF(D43="","",IF(AND(D43="NUEVA FACTURA",'RELACIÓN DE FACTURAS'!Q47=""),"",IF(AND(D43="NUEVA FACTURA",'RELACIÓN DE FACTURAS'!Q47&lt;&gt;""),'RELACIÓN DE FACTURAS'!Q47,IF(D43="SEGUNDO PAGO O POSTERIORES",G42,""))))</f>
        <v/>
      </c>
      <c r="H43" s="245"/>
      <c r="I43" s="246" t="str">
        <f>IF(D43="","",IF(J43="","REVISAR",IF(OR(J43&lt;EXPEDIENTE!$I$25,J43&gt;EXPEDIENTE!$I$27),"SI","NO")))</f>
        <v/>
      </c>
      <c r="J43" s="247" t="str">
        <f t="shared" si="4"/>
        <v/>
      </c>
      <c r="K43" s="244" t="str">
        <f>IF(D43="","",IF('RELACIÓN DE FACTURAS'!AF47="","",'RELACIÓN DE FACTURAS'!AF47))</f>
        <v/>
      </c>
      <c r="L43" s="245"/>
      <c r="M43" s="246" t="str">
        <f>IF(D43="","",IF(N43="","REVISAR",IF(OR(N43&lt;EXPEDIENTE!$I$25,N43&gt;EXPEDIENTE!$I$29),"SI","NO")))</f>
        <v/>
      </c>
      <c r="N43" s="248" t="str">
        <f t="shared" si="5"/>
        <v/>
      </c>
      <c r="O43" s="249">
        <f>IF(N43&lt;EXPEDIENTE!$I$25,-1,IF(N43&gt;EXPEDIENTE!$I$29,1,0))</f>
        <v>0</v>
      </c>
      <c r="P43" s="250" t="str">
        <f t="shared" si="6"/>
        <v/>
      </c>
      <c r="Q43" s="245"/>
      <c r="R43" s="251"/>
      <c r="S43" s="252" t="str">
        <f>IF(OR(Q43="",R43=""),"",IF(Q43&gt;EXPEDIENTE!$I$27,"",MIN(DATE(YEAR(Q43),MONTH(Q43),DAY(Q43)+R43),EXPEDIENTE!$I$29)))</f>
        <v/>
      </c>
      <c r="T43" s="253" t="str">
        <f>IF(D43="","",IF(AND(P43="NO",Q43="",S43=""),"NO",IF(Q43&gt;EXPEDIENTE!$I$27,"ENTREGA FUERA PLAZO",IF(OR(Q43="",R43=""),"PDTE",IF(S43&lt;N43,"SI","NO")))))</f>
        <v/>
      </c>
      <c r="U43" s="254" t="str">
        <f>IF('RELACIÓN DE FACTURAS'!X47="","",'RELACIÓN DE FACTURAS'!X47)</f>
        <v/>
      </c>
      <c r="V43" s="255" t="str">
        <f>IF('RELACIÓN DE FACTURAS'!Y47="","",'RELACIÓN DE FACTURAS'!Y47)</f>
        <v/>
      </c>
      <c r="W43" s="256"/>
      <c r="X43" s="277" t="str">
        <f t="shared" si="7"/>
        <v/>
      </c>
      <c r="Y43" s="257"/>
    </row>
    <row r="44" spans="2:25" ht="39.950000000000003" customHeight="1" x14ac:dyDescent="0.2">
      <c r="B44" s="120">
        <f>IF(Y44&lt;&gt;"",MAX($B$5:B43)+1,0)</f>
        <v>0</v>
      </c>
      <c r="C44" s="122">
        <v>40</v>
      </c>
      <c r="D44" s="241" t="str">
        <f>IF('RELACIÓN DE FACTURAS'!O48="","",'RELACIÓN DE FACTURAS'!O48)</f>
        <v/>
      </c>
      <c r="E44" s="242" t="str">
        <f>IF(D44="SEGUNDO PAGO O POSTERIORES",E43,IF('RELACIÓN DE FACTURAS'!P48="","",'RELACIÓN DE FACTURAS'!P48))</f>
        <v/>
      </c>
      <c r="F44" s="243" t="str">
        <f>IF(D44="SEGUNDO PAGO O POSTERIORES",F43,IF('RELACIÓN DE FACTURAS'!R48="","",'RELACIÓN DE FACTURAS'!R48))</f>
        <v/>
      </c>
      <c r="G44" s="244" t="str">
        <f>IF(D44="","",IF(AND(D44="NUEVA FACTURA",'RELACIÓN DE FACTURAS'!Q48=""),"",IF(AND(D44="NUEVA FACTURA",'RELACIÓN DE FACTURAS'!Q48&lt;&gt;""),'RELACIÓN DE FACTURAS'!Q48,IF(D44="SEGUNDO PAGO O POSTERIORES",G43,""))))</f>
        <v/>
      </c>
      <c r="H44" s="245"/>
      <c r="I44" s="246" t="str">
        <f>IF(D44="","",IF(J44="","REVISAR",IF(OR(J44&lt;EXPEDIENTE!$I$25,J44&gt;EXPEDIENTE!$I$27),"SI","NO")))</f>
        <v/>
      </c>
      <c r="J44" s="247" t="str">
        <f t="shared" ref="J44:J78" si="8">IF(D44="","",IF(H44&lt;&gt;"",H44,G44))</f>
        <v/>
      </c>
      <c r="K44" s="244" t="str">
        <f>IF(D44="","",IF('RELACIÓN DE FACTURAS'!AF48="","",'RELACIÓN DE FACTURAS'!AF48))</f>
        <v/>
      </c>
      <c r="L44" s="245"/>
      <c r="M44" s="246" t="str">
        <f>IF(D44="","",IF(N44="","REVISAR",IF(OR(N44&lt;EXPEDIENTE!$I$25,N44&gt;EXPEDIENTE!$I$29),"SI","NO")))</f>
        <v/>
      </c>
      <c r="N44" s="248" t="str">
        <f t="shared" ref="N44:N78" si="9">IF(D44="","",IF(L44&lt;&gt;"",L44,K44))</f>
        <v/>
      </c>
      <c r="O44" s="249">
        <f>IF(N44&lt;EXPEDIENTE!$I$25,-1,IF(N44&gt;EXPEDIENTE!$I$29,1,0))</f>
        <v>0</v>
      </c>
      <c r="P44" s="250" t="str">
        <f t="shared" ref="P44:P78" si="10">IF(D44="","",IF(OR(J44="",N44=""),"PDTE",IF(N44-J44&gt;30,"SI","NO")))</f>
        <v/>
      </c>
      <c r="Q44" s="245"/>
      <c r="R44" s="251"/>
      <c r="S44" s="252" t="str">
        <f>IF(OR(Q44="",R44=""),"",IF(Q44&gt;EXPEDIENTE!$I$27,"",MIN(DATE(YEAR(Q44),MONTH(Q44),DAY(Q44)+R44),EXPEDIENTE!$I$29)))</f>
        <v/>
      </c>
      <c r="T44" s="253" t="str">
        <f>IF(D44="","",IF(AND(P44="NO",Q44="",S44=""),"NO",IF(Q44&gt;EXPEDIENTE!$I$27,"ENTREGA FUERA PLAZO",IF(OR(Q44="",R44=""),"PDTE",IF(S44&lt;N44,"SI","NO")))))</f>
        <v/>
      </c>
      <c r="U44" s="254" t="str">
        <f>IF('RELACIÓN DE FACTURAS'!X48="","",'RELACIÓN DE FACTURAS'!X48)</f>
        <v/>
      </c>
      <c r="V44" s="255" t="str">
        <f>IF('RELACIÓN DE FACTURAS'!Y48="","",'RELACIÓN DE FACTURAS'!Y48)</f>
        <v/>
      </c>
      <c r="W44" s="256"/>
      <c r="X44" s="277" t="str">
        <f t="shared" ref="X44:X78" si="11">IF(D44="","",IF(AND(I44="NO",M44="NO",T44="NO",W44="NO"),"OK","NO OK"))</f>
        <v/>
      </c>
      <c r="Y44" s="257"/>
    </row>
    <row r="45" spans="2:25" ht="39.950000000000003" customHeight="1" x14ac:dyDescent="0.2">
      <c r="B45" s="120">
        <f>IF(Y45&lt;&gt;"",MAX($B$5:B44)+1,0)</f>
        <v>0</v>
      </c>
      <c r="C45" s="122">
        <v>41</v>
      </c>
      <c r="D45" s="241" t="str">
        <f>IF('RELACIÓN DE FACTURAS'!O49="","",'RELACIÓN DE FACTURAS'!O49)</f>
        <v/>
      </c>
      <c r="E45" s="242" t="str">
        <f>IF(D45="SEGUNDO PAGO O POSTERIORES",E44,IF('RELACIÓN DE FACTURAS'!P49="","",'RELACIÓN DE FACTURAS'!P49))</f>
        <v/>
      </c>
      <c r="F45" s="243" t="str">
        <f>IF(D45="SEGUNDO PAGO O POSTERIORES",F44,IF('RELACIÓN DE FACTURAS'!R49="","",'RELACIÓN DE FACTURAS'!R49))</f>
        <v/>
      </c>
      <c r="G45" s="244" t="str">
        <f>IF(D45="","",IF(AND(D45="NUEVA FACTURA",'RELACIÓN DE FACTURAS'!Q49=""),"",IF(AND(D45="NUEVA FACTURA",'RELACIÓN DE FACTURAS'!Q49&lt;&gt;""),'RELACIÓN DE FACTURAS'!Q49,IF(D45="SEGUNDO PAGO O POSTERIORES",G44,""))))</f>
        <v/>
      </c>
      <c r="H45" s="245"/>
      <c r="I45" s="246" t="str">
        <f>IF(D45="","",IF(J45="","REVISAR",IF(OR(J45&lt;EXPEDIENTE!$I$25,J45&gt;EXPEDIENTE!$I$27),"SI","NO")))</f>
        <v/>
      </c>
      <c r="J45" s="247" t="str">
        <f t="shared" si="8"/>
        <v/>
      </c>
      <c r="K45" s="244" t="str">
        <f>IF(D45="","",IF('RELACIÓN DE FACTURAS'!AF49="","",'RELACIÓN DE FACTURAS'!AF49))</f>
        <v/>
      </c>
      <c r="L45" s="245"/>
      <c r="M45" s="246" t="str">
        <f>IF(D45="","",IF(N45="","REVISAR",IF(OR(N45&lt;EXPEDIENTE!$I$25,N45&gt;EXPEDIENTE!$I$29),"SI","NO")))</f>
        <v/>
      </c>
      <c r="N45" s="248" t="str">
        <f t="shared" si="9"/>
        <v/>
      </c>
      <c r="O45" s="249">
        <f>IF(N45&lt;EXPEDIENTE!$I$25,-1,IF(N45&gt;EXPEDIENTE!$I$29,1,0))</f>
        <v>0</v>
      </c>
      <c r="P45" s="250" t="str">
        <f t="shared" si="10"/>
        <v/>
      </c>
      <c r="Q45" s="245"/>
      <c r="R45" s="251"/>
      <c r="S45" s="252" t="str">
        <f>IF(OR(Q45="",R45=""),"",IF(Q45&gt;EXPEDIENTE!$I$27,"",MIN(DATE(YEAR(Q45),MONTH(Q45),DAY(Q45)+R45),EXPEDIENTE!$I$29)))</f>
        <v/>
      </c>
      <c r="T45" s="253" t="str">
        <f>IF(D45="","",IF(AND(P45="NO",Q45="",S45=""),"NO",IF(Q45&gt;EXPEDIENTE!$I$27,"ENTREGA FUERA PLAZO",IF(OR(Q45="",R45=""),"PDTE",IF(S45&lt;N45,"SI","NO")))))</f>
        <v/>
      </c>
      <c r="U45" s="254" t="str">
        <f>IF('RELACIÓN DE FACTURAS'!X49="","",'RELACIÓN DE FACTURAS'!X49)</f>
        <v/>
      </c>
      <c r="V45" s="255" t="str">
        <f>IF('RELACIÓN DE FACTURAS'!Y49="","",'RELACIÓN DE FACTURAS'!Y49)</f>
        <v/>
      </c>
      <c r="W45" s="256"/>
      <c r="X45" s="277" t="str">
        <f t="shared" si="11"/>
        <v/>
      </c>
      <c r="Y45" s="257"/>
    </row>
    <row r="46" spans="2:25" ht="39.950000000000003" customHeight="1" x14ac:dyDescent="0.2">
      <c r="B46" s="120">
        <f>IF(Y46&lt;&gt;"",MAX($B$5:B45)+1,0)</f>
        <v>0</v>
      </c>
      <c r="C46" s="122">
        <v>42</v>
      </c>
      <c r="D46" s="241" t="str">
        <f>IF('RELACIÓN DE FACTURAS'!O50="","",'RELACIÓN DE FACTURAS'!O50)</f>
        <v/>
      </c>
      <c r="E46" s="242" t="str">
        <f>IF(D46="SEGUNDO PAGO O POSTERIORES",E45,IF('RELACIÓN DE FACTURAS'!P50="","",'RELACIÓN DE FACTURAS'!P50))</f>
        <v/>
      </c>
      <c r="F46" s="243" t="str">
        <f>IF(D46="SEGUNDO PAGO O POSTERIORES",F45,IF('RELACIÓN DE FACTURAS'!R50="","",'RELACIÓN DE FACTURAS'!R50))</f>
        <v/>
      </c>
      <c r="G46" s="244" t="str">
        <f>IF(D46="","",IF(AND(D46="NUEVA FACTURA",'RELACIÓN DE FACTURAS'!Q50=""),"",IF(AND(D46="NUEVA FACTURA",'RELACIÓN DE FACTURAS'!Q50&lt;&gt;""),'RELACIÓN DE FACTURAS'!Q50,IF(D46="SEGUNDO PAGO O POSTERIORES",G45,""))))</f>
        <v/>
      </c>
      <c r="H46" s="245"/>
      <c r="I46" s="246" t="str">
        <f>IF(D46="","",IF(J46="","REVISAR",IF(OR(J46&lt;EXPEDIENTE!$I$25,J46&gt;EXPEDIENTE!$I$27),"SI","NO")))</f>
        <v/>
      </c>
      <c r="J46" s="247" t="str">
        <f t="shared" si="8"/>
        <v/>
      </c>
      <c r="K46" s="244" t="str">
        <f>IF(D46="","",IF('RELACIÓN DE FACTURAS'!AF50="","",'RELACIÓN DE FACTURAS'!AF50))</f>
        <v/>
      </c>
      <c r="L46" s="245"/>
      <c r="M46" s="246" t="str">
        <f>IF(D46="","",IF(N46="","REVISAR",IF(OR(N46&lt;EXPEDIENTE!$I$25,N46&gt;EXPEDIENTE!$I$29),"SI","NO")))</f>
        <v/>
      </c>
      <c r="N46" s="248" t="str">
        <f t="shared" si="9"/>
        <v/>
      </c>
      <c r="O46" s="249">
        <f>IF(N46&lt;EXPEDIENTE!$I$25,-1,IF(N46&gt;EXPEDIENTE!$I$29,1,0))</f>
        <v>0</v>
      </c>
      <c r="P46" s="250" t="str">
        <f t="shared" si="10"/>
        <v/>
      </c>
      <c r="Q46" s="245"/>
      <c r="R46" s="251"/>
      <c r="S46" s="252" t="str">
        <f>IF(OR(Q46="",R46=""),"",IF(Q46&gt;EXPEDIENTE!$I$27,"",MIN(DATE(YEAR(Q46),MONTH(Q46),DAY(Q46)+R46),EXPEDIENTE!$I$29)))</f>
        <v/>
      </c>
      <c r="T46" s="253" t="str">
        <f>IF(D46="","",IF(AND(P46="NO",Q46="",S46=""),"NO",IF(Q46&gt;EXPEDIENTE!$I$27,"ENTREGA FUERA PLAZO",IF(OR(Q46="",R46=""),"PDTE",IF(S46&lt;N46,"SI","NO")))))</f>
        <v/>
      </c>
      <c r="U46" s="254" t="str">
        <f>IF('RELACIÓN DE FACTURAS'!X50="","",'RELACIÓN DE FACTURAS'!X50)</f>
        <v/>
      </c>
      <c r="V46" s="255" t="str">
        <f>IF('RELACIÓN DE FACTURAS'!Y50="","",'RELACIÓN DE FACTURAS'!Y50)</f>
        <v/>
      </c>
      <c r="W46" s="256"/>
      <c r="X46" s="277" t="str">
        <f t="shared" si="11"/>
        <v/>
      </c>
      <c r="Y46" s="257"/>
    </row>
    <row r="47" spans="2:25" ht="39.950000000000003" customHeight="1" x14ac:dyDescent="0.2">
      <c r="B47" s="120">
        <f>IF(Y47&lt;&gt;"",MAX($B$5:B46)+1,0)</f>
        <v>0</v>
      </c>
      <c r="C47" s="122">
        <v>43</v>
      </c>
      <c r="D47" s="241" t="str">
        <f>IF('RELACIÓN DE FACTURAS'!O51="","",'RELACIÓN DE FACTURAS'!O51)</f>
        <v/>
      </c>
      <c r="E47" s="242" t="str">
        <f>IF(D47="SEGUNDO PAGO O POSTERIORES",E46,IF('RELACIÓN DE FACTURAS'!P51="","",'RELACIÓN DE FACTURAS'!P51))</f>
        <v/>
      </c>
      <c r="F47" s="243" t="str">
        <f>IF(D47="SEGUNDO PAGO O POSTERIORES",F46,IF('RELACIÓN DE FACTURAS'!R51="","",'RELACIÓN DE FACTURAS'!R51))</f>
        <v/>
      </c>
      <c r="G47" s="244" t="str">
        <f>IF(D47="","",IF(AND(D47="NUEVA FACTURA",'RELACIÓN DE FACTURAS'!Q51=""),"",IF(AND(D47="NUEVA FACTURA",'RELACIÓN DE FACTURAS'!Q51&lt;&gt;""),'RELACIÓN DE FACTURAS'!Q51,IF(D47="SEGUNDO PAGO O POSTERIORES",G46,""))))</f>
        <v/>
      </c>
      <c r="H47" s="245"/>
      <c r="I47" s="246" t="str">
        <f>IF(D47="","",IF(J47="","REVISAR",IF(OR(J47&lt;EXPEDIENTE!$I$25,J47&gt;EXPEDIENTE!$I$27),"SI","NO")))</f>
        <v/>
      </c>
      <c r="J47" s="247" t="str">
        <f t="shared" si="8"/>
        <v/>
      </c>
      <c r="K47" s="244" t="str">
        <f>IF(D47="","",IF('RELACIÓN DE FACTURAS'!AF51="","",'RELACIÓN DE FACTURAS'!AF51))</f>
        <v/>
      </c>
      <c r="L47" s="245"/>
      <c r="M47" s="246" t="str">
        <f>IF(D47="","",IF(N47="","REVISAR",IF(OR(N47&lt;EXPEDIENTE!$I$25,N47&gt;EXPEDIENTE!$I$29),"SI","NO")))</f>
        <v/>
      </c>
      <c r="N47" s="248" t="str">
        <f t="shared" si="9"/>
        <v/>
      </c>
      <c r="O47" s="249">
        <f>IF(N47&lt;EXPEDIENTE!$I$25,-1,IF(N47&gt;EXPEDIENTE!$I$29,1,0))</f>
        <v>0</v>
      </c>
      <c r="P47" s="250" t="str">
        <f t="shared" si="10"/>
        <v/>
      </c>
      <c r="Q47" s="245"/>
      <c r="R47" s="251"/>
      <c r="S47" s="252" t="str">
        <f>IF(OR(Q47="",R47=""),"",IF(Q47&gt;EXPEDIENTE!$I$27,"",MIN(DATE(YEAR(Q47),MONTH(Q47),DAY(Q47)+R47),EXPEDIENTE!$I$29)))</f>
        <v/>
      </c>
      <c r="T47" s="253" t="str">
        <f>IF(D47="","",IF(AND(P47="NO",Q47="",S47=""),"NO",IF(Q47&gt;EXPEDIENTE!$I$27,"ENTREGA FUERA PLAZO",IF(OR(Q47="",R47=""),"PDTE",IF(S47&lt;N47,"SI","NO")))))</f>
        <v/>
      </c>
      <c r="U47" s="254" t="str">
        <f>IF('RELACIÓN DE FACTURAS'!X51="","",'RELACIÓN DE FACTURAS'!X51)</f>
        <v/>
      </c>
      <c r="V47" s="255" t="str">
        <f>IF('RELACIÓN DE FACTURAS'!Y51="","",'RELACIÓN DE FACTURAS'!Y51)</f>
        <v/>
      </c>
      <c r="W47" s="256"/>
      <c r="X47" s="277" t="str">
        <f t="shared" si="11"/>
        <v/>
      </c>
      <c r="Y47" s="257"/>
    </row>
    <row r="48" spans="2:25" ht="39.950000000000003" customHeight="1" x14ac:dyDescent="0.2">
      <c r="B48" s="120">
        <f>IF(Y48&lt;&gt;"",MAX($B$5:B47)+1,0)</f>
        <v>0</v>
      </c>
      <c r="C48" s="122">
        <v>44</v>
      </c>
      <c r="D48" s="241" t="str">
        <f>IF('RELACIÓN DE FACTURAS'!O52="","",'RELACIÓN DE FACTURAS'!O52)</f>
        <v/>
      </c>
      <c r="E48" s="242" t="str">
        <f>IF(D48="SEGUNDO PAGO O POSTERIORES",E47,IF('RELACIÓN DE FACTURAS'!P52="","",'RELACIÓN DE FACTURAS'!P52))</f>
        <v/>
      </c>
      <c r="F48" s="243" t="str">
        <f>IF(D48="SEGUNDO PAGO O POSTERIORES",F47,IF('RELACIÓN DE FACTURAS'!R52="","",'RELACIÓN DE FACTURAS'!R52))</f>
        <v/>
      </c>
      <c r="G48" s="244" t="str">
        <f>IF(D48="","",IF(AND(D48="NUEVA FACTURA",'RELACIÓN DE FACTURAS'!Q52=""),"",IF(AND(D48="NUEVA FACTURA",'RELACIÓN DE FACTURAS'!Q52&lt;&gt;""),'RELACIÓN DE FACTURAS'!Q52,IF(D48="SEGUNDO PAGO O POSTERIORES",G47,""))))</f>
        <v/>
      </c>
      <c r="H48" s="245"/>
      <c r="I48" s="246" t="str">
        <f>IF(D48="","",IF(J48="","REVISAR",IF(OR(J48&lt;EXPEDIENTE!$I$25,J48&gt;EXPEDIENTE!$I$27),"SI","NO")))</f>
        <v/>
      </c>
      <c r="J48" s="247" t="str">
        <f t="shared" si="8"/>
        <v/>
      </c>
      <c r="K48" s="244" t="str">
        <f>IF(D48="","",IF('RELACIÓN DE FACTURAS'!AF52="","",'RELACIÓN DE FACTURAS'!AF52))</f>
        <v/>
      </c>
      <c r="L48" s="245"/>
      <c r="M48" s="246" t="str">
        <f>IF(D48="","",IF(N48="","REVISAR",IF(OR(N48&lt;EXPEDIENTE!$I$25,N48&gt;EXPEDIENTE!$I$29),"SI","NO")))</f>
        <v/>
      </c>
      <c r="N48" s="248" t="str">
        <f t="shared" si="9"/>
        <v/>
      </c>
      <c r="O48" s="249">
        <f>IF(N48&lt;EXPEDIENTE!$I$25,-1,IF(N48&gt;EXPEDIENTE!$I$29,1,0))</f>
        <v>0</v>
      </c>
      <c r="P48" s="250" t="str">
        <f t="shared" si="10"/>
        <v/>
      </c>
      <c r="Q48" s="245"/>
      <c r="R48" s="251"/>
      <c r="S48" s="252" t="str">
        <f>IF(OR(Q48="",R48=""),"",IF(Q48&gt;EXPEDIENTE!$I$27,"",MIN(DATE(YEAR(Q48),MONTH(Q48),DAY(Q48)+R48),EXPEDIENTE!$I$29)))</f>
        <v/>
      </c>
      <c r="T48" s="253" t="str">
        <f>IF(D48="","",IF(AND(P48="NO",Q48="",S48=""),"NO",IF(Q48&gt;EXPEDIENTE!$I$27,"ENTREGA FUERA PLAZO",IF(OR(Q48="",R48=""),"PDTE",IF(S48&lt;N48,"SI","NO")))))</f>
        <v/>
      </c>
      <c r="U48" s="254" t="str">
        <f>IF('RELACIÓN DE FACTURAS'!X52="","",'RELACIÓN DE FACTURAS'!X52)</f>
        <v/>
      </c>
      <c r="V48" s="255" t="str">
        <f>IF('RELACIÓN DE FACTURAS'!Y52="","",'RELACIÓN DE FACTURAS'!Y52)</f>
        <v/>
      </c>
      <c r="W48" s="256"/>
      <c r="X48" s="277" t="str">
        <f t="shared" si="11"/>
        <v/>
      </c>
      <c r="Y48" s="257"/>
    </row>
    <row r="49" spans="2:25" ht="39.950000000000003" customHeight="1" x14ac:dyDescent="0.2">
      <c r="B49" s="120">
        <f>IF(Y49&lt;&gt;"",MAX($B$5:B48)+1,0)</f>
        <v>0</v>
      </c>
      <c r="C49" s="122">
        <v>45</v>
      </c>
      <c r="D49" s="241" t="str">
        <f>IF('RELACIÓN DE FACTURAS'!O53="","",'RELACIÓN DE FACTURAS'!O53)</f>
        <v/>
      </c>
      <c r="E49" s="242" t="str">
        <f>IF(D49="SEGUNDO PAGO O POSTERIORES",E48,IF('RELACIÓN DE FACTURAS'!P53="","",'RELACIÓN DE FACTURAS'!P53))</f>
        <v/>
      </c>
      <c r="F49" s="243" t="str">
        <f>IF(D49="SEGUNDO PAGO O POSTERIORES",F48,IF('RELACIÓN DE FACTURAS'!R53="","",'RELACIÓN DE FACTURAS'!R53))</f>
        <v/>
      </c>
      <c r="G49" s="244" t="str">
        <f>IF(D49="","",IF(AND(D49="NUEVA FACTURA",'RELACIÓN DE FACTURAS'!Q53=""),"",IF(AND(D49="NUEVA FACTURA",'RELACIÓN DE FACTURAS'!Q53&lt;&gt;""),'RELACIÓN DE FACTURAS'!Q53,IF(D49="SEGUNDO PAGO O POSTERIORES",G48,""))))</f>
        <v/>
      </c>
      <c r="H49" s="245"/>
      <c r="I49" s="246" t="str">
        <f>IF(D49="","",IF(J49="","REVISAR",IF(OR(J49&lt;EXPEDIENTE!$I$25,J49&gt;EXPEDIENTE!$I$27),"SI","NO")))</f>
        <v/>
      </c>
      <c r="J49" s="247" t="str">
        <f t="shared" si="8"/>
        <v/>
      </c>
      <c r="K49" s="244" t="str">
        <f>IF(D49="","",IF('RELACIÓN DE FACTURAS'!AF53="","",'RELACIÓN DE FACTURAS'!AF53))</f>
        <v/>
      </c>
      <c r="L49" s="245"/>
      <c r="M49" s="246" t="str">
        <f>IF(D49="","",IF(N49="","REVISAR",IF(OR(N49&lt;EXPEDIENTE!$I$25,N49&gt;EXPEDIENTE!$I$29),"SI","NO")))</f>
        <v/>
      </c>
      <c r="N49" s="248" t="str">
        <f t="shared" si="9"/>
        <v/>
      </c>
      <c r="O49" s="249">
        <f>IF(N49&lt;EXPEDIENTE!$I$25,-1,IF(N49&gt;EXPEDIENTE!$I$29,1,0))</f>
        <v>0</v>
      </c>
      <c r="P49" s="250" t="str">
        <f t="shared" si="10"/>
        <v/>
      </c>
      <c r="Q49" s="245"/>
      <c r="R49" s="251"/>
      <c r="S49" s="252" t="str">
        <f>IF(OR(Q49="",R49=""),"",IF(Q49&gt;EXPEDIENTE!$I$27,"",MIN(DATE(YEAR(Q49),MONTH(Q49),DAY(Q49)+R49),EXPEDIENTE!$I$29)))</f>
        <v/>
      </c>
      <c r="T49" s="253" t="str">
        <f>IF(D49="","",IF(AND(P49="NO",Q49="",S49=""),"NO",IF(Q49&gt;EXPEDIENTE!$I$27,"ENTREGA FUERA PLAZO",IF(OR(Q49="",R49=""),"PDTE",IF(S49&lt;N49,"SI","NO")))))</f>
        <v/>
      </c>
      <c r="U49" s="254" t="str">
        <f>IF('RELACIÓN DE FACTURAS'!X53="","",'RELACIÓN DE FACTURAS'!X53)</f>
        <v/>
      </c>
      <c r="V49" s="255" t="str">
        <f>IF('RELACIÓN DE FACTURAS'!Y53="","",'RELACIÓN DE FACTURAS'!Y53)</f>
        <v/>
      </c>
      <c r="W49" s="256"/>
      <c r="X49" s="277" t="str">
        <f t="shared" si="11"/>
        <v/>
      </c>
      <c r="Y49" s="257"/>
    </row>
    <row r="50" spans="2:25" ht="39.950000000000003" customHeight="1" x14ac:dyDescent="0.2">
      <c r="B50" s="120">
        <f>IF(Y50&lt;&gt;"",MAX($B$5:B49)+1,0)</f>
        <v>0</v>
      </c>
      <c r="C50" s="122">
        <v>46</v>
      </c>
      <c r="D50" s="241" t="str">
        <f>IF('RELACIÓN DE FACTURAS'!O54="","",'RELACIÓN DE FACTURAS'!O54)</f>
        <v/>
      </c>
      <c r="E50" s="242" t="str">
        <f>IF(D50="SEGUNDO PAGO O POSTERIORES",E49,IF('RELACIÓN DE FACTURAS'!P54="","",'RELACIÓN DE FACTURAS'!P54))</f>
        <v/>
      </c>
      <c r="F50" s="243" t="str">
        <f>IF(D50="SEGUNDO PAGO O POSTERIORES",F49,IF('RELACIÓN DE FACTURAS'!R54="","",'RELACIÓN DE FACTURAS'!R54))</f>
        <v/>
      </c>
      <c r="G50" s="244" t="str">
        <f>IF(D50="","",IF(AND(D50="NUEVA FACTURA",'RELACIÓN DE FACTURAS'!Q54=""),"",IF(AND(D50="NUEVA FACTURA",'RELACIÓN DE FACTURAS'!Q54&lt;&gt;""),'RELACIÓN DE FACTURAS'!Q54,IF(D50="SEGUNDO PAGO O POSTERIORES",G49,""))))</f>
        <v/>
      </c>
      <c r="H50" s="245"/>
      <c r="I50" s="246" t="str">
        <f>IF(D50="","",IF(J50="","REVISAR",IF(OR(J50&lt;EXPEDIENTE!$I$25,J50&gt;EXPEDIENTE!$I$27),"SI","NO")))</f>
        <v/>
      </c>
      <c r="J50" s="247" t="str">
        <f t="shared" si="8"/>
        <v/>
      </c>
      <c r="K50" s="244" t="str">
        <f>IF(D50="","",IF('RELACIÓN DE FACTURAS'!AF54="","",'RELACIÓN DE FACTURAS'!AF54))</f>
        <v/>
      </c>
      <c r="L50" s="245"/>
      <c r="M50" s="246" t="str">
        <f>IF(D50="","",IF(N50="","REVISAR",IF(OR(N50&lt;EXPEDIENTE!$I$25,N50&gt;EXPEDIENTE!$I$29),"SI","NO")))</f>
        <v/>
      </c>
      <c r="N50" s="248" t="str">
        <f t="shared" si="9"/>
        <v/>
      </c>
      <c r="O50" s="249">
        <f>IF(N50&lt;EXPEDIENTE!$I$25,-1,IF(N50&gt;EXPEDIENTE!$I$29,1,0))</f>
        <v>0</v>
      </c>
      <c r="P50" s="250" t="str">
        <f t="shared" si="10"/>
        <v/>
      </c>
      <c r="Q50" s="245"/>
      <c r="R50" s="251"/>
      <c r="S50" s="252" t="str">
        <f>IF(OR(Q50="",R50=""),"",IF(Q50&gt;EXPEDIENTE!$I$27,"",MIN(DATE(YEAR(Q50),MONTH(Q50),DAY(Q50)+R50),EXPEDIENTE!$I$29)))</f>
        <v/>
      </c>
      <c r="T50" s="253" t="str">
        <f>IF(D50="","",IF(AND(P50="NO",Q50="",S50=""),"NO",IF(Q50&gt;EXPEDIENTE!$I$27,"ENTREGA FUERA PLAZO",IF(OR(Q50="",R50=""),"PDTE",IF(S50&lt;N50,"SI","NO")))))</f>
        <v/>
      </c>
      <c r="U50" s="254" t="str">
        <f>IF('RELACIÓN DE FACTURAS'!X54="","",'RELACIÓN DE FACTURAS'!X54)</f>
        <v/>
      </c>
      <c r="V50" s="255" t="str">
        <f>IF('RELACIÓN DE FACTURAS'!Y54="","",'RELACIÓN DE FACTURAS'!Y54)</f>
        <v/>
      </c>
      <c r="W50" s="256"/>
      <c r="X50" s="277" t="str">
        <f t="shared" si="11"/>
        <v/>
      </c>
      <c r="Y50" s="257"/>
    </row>
    <row r="51" spans="2:25" ht="39.950000000000003" customHeight="1" x14ac:dyDescent="0.2">
      <c r="B51" s="120">
        <f>IF(Y51&lt;&gt;"",MAX($B$5:B50)+1,0)</f>
        <v>0</v>
      </c>
      <c r="C51" s="122">
        <v>47</v>
      </c>
      <c r="D51" s="241" t="str">
        <f>IF('RELACIÓN DE FACTURAS'!O55="","",'RELACIÓN DE FACTURAS'!O55)</f>
        <v/>
      </c>
      <c r="E51" s="242" t="str">
        <f>IF(D51="SEGUNDO PAGO O POSTERIORES",E50,IF('RELACIÓN DE FACTURAS'!P55="","",'RELACIÓN DE FACTURAS'!P55))</f>
        <v/>
      </c>
      <c r="F51" s="243" t="str">
        <f>IF(D51="SEGUNDO PAGO O POSTERIORES",F50,IF('RELACIÓN DE FACTURAS'!R55="","",'RELACIÓN DE FACTURAS'!R55))</f>
        <v/>
      </c>
      <c r="G51" s="244" t="str">
        <f>IF(D51="","",IF(AND(D51="NUEVA FACTURA",'RELACIÓN DE FACTURAS'!Q55=""),"",IF(AND(D51="NUEVA FACTURA",'RELACIÓN DE FACTURAS'!Q55&lt;&gt;""),'RELACIÓN DE FACTURAS'!Q55,IF(D51="SEGUNDO PAGO O POSTERIORES",G50,""))))</f>
        <v/>
      </c>
      <c r="H51" s="245"/>
      <c r="I51" s="246" t="str">
        <f>IF(D51="","",IF(J51="","REVISAR",IF(OR(J51&lt;EXPEDIENTE!$I$25,J51&gt;EXPEDIENTE!$I$27),"SI","NO")))</f>
        <v/>
      </c>
      <c r="J51" s="247" t="str">
        <f t="shared" si="8"/>
        <v/>
      </c>
      <c r="K51" s="244" t="str">
        <f>IF(D51="","",IF('RELACIÓN DE FACTURAS'!AF55="","",'RELACIÓN DE FACTURAS'!AF55))</f>
        <v/>
      </c>
      <c r="L51" s="245"/>
      <c r="M51" s="246" t="str">
        <f>IF(D51="","",IF(N51="","REVISAR",IF(OR(N51&lt;EXPEDIENTE!$I$25,N51&gt;EXPEDIENTE!$I$29),"SI","NO")))</f>
        <v/>
      </c>
      <c r="N51" s="248" t="str">
        <f t="shared" si="9"/>
        <v/>
      </c>
      <c r="O51" s="249">
        <f>IF(N51&lt;EXPEDIENTE!$I$25,-1,IF(N51&gt;EXPEDIENTE!$I$29,1,0))</f>
        <v>0</v>
      </c>
      <c r="P51" s="250" t="str">
        <f t="shared" si="10"/>
        <v/>
      </c>
      <c r="Q51" s="245"/>
      <c r="R51" s="251"/>
      <c r="S51" s="252" t="str">
        <f>IF(OR(Q51="",R51=""),"",IF(Q51&gt;EXPEDIENTE!$I$27,"",MIN(DATE(YEAR(Q51),MONTH(Q51),DAY(Q51)+R51),EXPEDIENTE!$I$29)))</f>
        <v/>
      </c>
      <c r="T51" s="253" t="str">
        <f>IF(D51="","",IF(AND(P51="NO",Q51="",S51=""),"NO",IF(Q51&gt;EXPEDIENTE!$I$27,"ENTREGA FUERA PLAZO",IF(OR(Q51="",R51=""),"PDTE",IF(S51&lt;N51,"SI","NO")))))</f>
        <v/>
      </c>
      <c r="U51" s="254" t="str">
        <f>IF('RELACIÓN DE FACTURAS'!X55="","",'RELACIÓN DE FACTURAS'!X55)</f>
        <v/>
      </c>
      <c r="V51" s="255" t="str">
        <f>IF('RELACIÓN DE FACTURAS'!Y55="","",'RELACIÓN DE FACTURAS'!Y55)</f>
        <v/>
      </c>
      <c r="W51" s="256"/>
      <c r="X51" s="277" t="str">
        <f t="shared" si="11"/>
        <v/>
      </c>
      <c r="Y51" s="257"/>
    </row>
    <row r="52" spans="2:25" ht="39.950000000000003" customHeight="1" x14ac:dyDescent="0.2">
      <c r="B52" s="120">
        <f>IF(Y52&lt;&gt;"",MAX($B$5:B51)+1,0)</f>
        <v>0</v>
      </c>
      <c r="C52" s="122">
        <v>48</v>
      </c>
      <c r="D52" s="241" t="str">
        <f>IF('RELACIÓN DE FACTURAS'!O56="","",'RELACIÓN DE FACTURAS'!O56)</f>
        <v/>
      </c>
      <c r="E52" s="242" t="str">
        <f>IF(D52="SEGUNDO PAGO O POSTERIORES",E51,IF('RELACIÓN DE FACTURAS'!P56="","",'RELACIÓN DE FACTURAS'!P56))</f>
        <v/>
      </c>
      <c r="F52" s="243" t="str">
        <f>IF(D52="SEGUNDO PAGO O POSTERIORES",F51,IF('RELACIÓN DE FACTURAS'!R56="","",'RELACIÓN DE FACTURAS'!R56))</f>
        <v/>
      </c>
      <c r="G52" s="244" t="str">
        <f>IF(D52="","",IF(AND(D52="NUEVA FACTURA",'RELACIÓN DE FACTURAS'!Q56=""),"",IF(AND(D52="NUEVA FACTURA",'RELACIÓN DE FACTURAS'!Q56&lt;&gt;""),'RELACIÓN DE FACTURAS'!Q56,IF(D52="SEGUNDO PAGO O POSTERIORES",G51,""))))</f>
        <v/>
      </c>
      <c r="H52" s="245"/>
      <c r="I52" s="246" t="str">
        <f>IF(D52="","",IF(J52="","REVISAR",IF(OR(J52&lt;EXPEDIENTE!$I$25,J52&gt;EXPEDIENTE!$I$27),"SI","NO")))</f>
        <v/>
      </c>
      <c r="J52" s="247" t="str">
        <f t="shared" si="8"/>
        <v/>
      </c>
      <c r="K52" s="244" t="str">
        <f>IF(D52="","",IF('RELACIÓN DE FACTURAS'!AF56="","",'RELACIÓN DE FACTURAS'!AF56))</f>
        <v/>
      </c>
      <c r="L52" s="245"/>
      <c r="M52" s="246" t="str">
        <f>IF(D52="","",IF(N52="","REVISAR",IF(OR(N52&lt;EXPEDIENTE!$I$25,N52&gt;EXPEDIENTE!$I$29),"SI","NO")))</f>
        <v/>
      </c>
      <c r="N52" s="248" t="str">
        <f t="shared" si="9"/>
        <v/>
      </c>
      <c r="O52" s="249">
        <f>IF(N52&lt;EXPEDIENTE!$I$25,-1,IF(N52&gt;EXPEDIENTE!$I$29,1,0))</f>
        <v>0</v>
      </c>
      <c r="P52" s="250" t="str">
        <f t="shared" si="10"/>
        <v/>
      </c>
      <c r="Q52" s="245"/>
      <c r="R52" s="251"/>
      <c r="S52" s="252" t="str">
        <f>IF(OR(Q52="",R52=""),"",IF(Q52&gt;EXPEDIENTE!$I$27,"",MIN(DATE(YEAR(Q52),MONTH(Q52),DAY(Q52)+R52),EXPEDIENTE!$I$29)))</f>
        <v/>
      </c>
      <c r="T52" s="253" t="str">
        <f>IF(D52="","",IF(AND(P52="NO",Q52="",S52=""),"NO",IF(Q52&gt;EXPEDIENTE!$I$27,"ENTREGA FUERA PLAZO",IF(OR(Q52="",R52=""),"PDTE",IF(S52&lt;N52,"SI","NO")))))</f>
        <v/>
      </c>
      <c r="U52" s="254" t="str">
        <f>IF('RELACIÓN DE FACTURAS'!X56="","",'RELACIÓN DE FACTURAS'!X56)</f>
        <v/>
      </c>
      <c r="V52" s="255" t="str">
        <f>IF('RELACIÓN DE FACTURAS'!Y56="","",'RELACIÓN DE FACTURAS'!Y56)</f>
        <v/>
      </c>
      <c r="W52" s="256"/>
      <c r="X52" s="277" t="str">
        <f t="shared" si="11"/>
        <v/>
      </c>
      <c r="Y52" s="257"/>
    </row>
    <row r="53" spans="2:25" ht="39.950000000000003" customHeight="1" x14ac:dyDescent="0.2">
      <c r="B53" s="120">
        <f>IF(Y53&lt;&gt;"",MAX($B$5:B52)+1,0)</f>
        <v>0</v>
      </c>
      <c r="C53" s="122">
        <v>49</v>
      </c>
      <c r="D53" s="241" t="str">
        <f>IF('RELACIÓN DE FACTURAS'!O57="","",'RELACIÓN DE FACTURAS'!O57)</f>
        <v/>
      </c>
      <c r="E53" s="242" t="str">
        <f>IF(D53="SEGUNDO PAGO O POSTERIORES",E52,IF('RELACIÓN DE FACTURAS'!P57="","",'RELACIÓN DE FACTURAS'!P57))</f>
        <v/>
      </c>
      <c r="F53" s="243" t="str">
        <f>IF(D53="SEGUNDO PAGO O POSTERIORES",F52,IF('RELACIÓN DE FACTURAS'!R57="","",'RELACIÓN DE FACTURAS'!R57))</f>
        <v/>
      </c>
      <c r="G53" s="244" t="str">
        <f>IF(D53="","",IF(AND(D53="NUEVA FACTURA",'RELACIÓN DE FACTURAS'!Q57=""),"",IF(AND(D53="NUEVA FACTURA",'RELACIÓN DE FACTURAS'!Q57&lt;&gt;""),'RELACIÓN DE FACTURAS'!Q57,IF(D53="SEGUNDO PAGO O POSTERIORES",G52,""))))</f>
        <v/>
      </c>
      <c r="H53" s="245"/>
      <c r="I53" s="246" t="str">
        <f>IF(D53="","",IF(J53="","REVISAR",IF(OR(J53&lt;EXPEDIENTE!$I$25,J53&gt;EXPEDIENTE!$I$27),"SI","NO")))</f>
        <v/>
      </c>
      <c r="J53" s="247" t="str">
        <f t="shared" si="8"/>
        <v/>
      </c>
      <c r="K53" s="244" t="str">
        <f>IF(D53="","",IF('RELACIÓN DE FACTURAS'!AF57="","",'RELACIÓN DE FACTURAS'!AF57))</f>
        <v/>
      </c>
      <c r="L53" s="245"/>
      <c r="M53" s="246" t="str">
        <f>IF(D53="","",IF(N53="","REVISAR",IF(OR(N53&lt;EXPEDIENTE!$I$25,N53&gt;EXPEDIENTE!$I$29),"SI","NO")))</f>
        <v/>
      </c>
      <c r="N53" s="248" t="str">
        <f t="shared" si="9"/>
        <v/>
      </c>
      <c r="O53" s="249">
        <f>IF(N53&lt;EXPEDIENTE!$I$25,-1,IF(N53&gt;EXPEDIENTE!$I$29,1,0))</f>
        <v>0</v>
      </c>
      <c r="P53" s="250" t="str">
        <f t="shared" si="10"/>
        <v/>
      </c>
      <c r="Q53" s="245"/>
      <c r="R53" s="251"/>
      <c r="S53" s="252" t="str">
        <f>IF(OR(Q53="",R53=""),"",IF(Q53&gt;EXPEDIENTE!$I$27,"",MIN(DATE(YEAR(Q53),MONTH(Q53),DAY(Q53)+R53),EXPEDIENTE!$I$29)))</f>
        <v/>
      </c>
      <c r="T53" s="253" t="str">
        <f>IF(D53="","",IF(AND(P53="NO",Q53="",S53=""),"NO",IF(Q53&gt;EXPEDIENTE!$I$27,"ENTREGA FUERA PLAZO",IF(OR(Q53="",R53=""),"PDTE",IF(S53&lt;N53,"SI","NO")))))</f>
        <v/>
      </c>
      <c r="U53" s="254" t="str">
        <f>IF('RELACIÓN DE FACTURAS'!X57="","",'RELACIÓN DE FACTURAS'!X57)</f>
        <v/>
      </c>
      <c r="V53" s="255" t="str">
        <f>IF('RELACIÓN DE FACTURAS'!Y57="","",'RELACIÓN DE FACTURAS'!Y57)</f>
        <v/>
      </c>
      <c r="W53" s="256"/>
      <c r="X53" s="277" t="str">
        <f t="shared" si="11"/>
        <v/>
      </c>
      <c r="Y53" s="257"/>
    </row>
    <row r="54" spans="2:25" ht="39.950000000000003" customHeight="1" x14ac:dyDescent="0.2">
      <c r="B54" s="120">
        <f>IF(Y54&lt;&gt;"",MAX($B$5:B53)+1,0)</f>
        <v>0</v>
      </c>
      <c r="C54" s="122">
        <v>50</v>
      </c>
      <c r="D54" s="241" t="str">
        <f>IF('RELACIÓN DE FACTURAS'!O58="","",'RELACIÓN DE FACTURAS'!O58)</f>
        <v/>
      </c>
      <c r="E54" s="242" t="str">
        <f>IF(D54="SEGUNDO PAGO O POSTERIORES",E53,IF('RELACIÓN DE FACTURAS'!P58="","",'RELACIÓN DE FACTURAS'!P58))</f>
        <v/>
      </c>
      <c r="F54" s="243" t="str">
        <f>IF(D54="SEGUNDO PAGO O POSTERIORES",F53,IF('RELACIÓN DE FACTURAS'!R58="","",'RELACIÓN DE FACTURAS'!R58))</f>
        <v/>
      </c>
      <c r="G54" s="244" t="str">
        <f>IF(D54="","",IF(AND(D54="NUEVA FACTURA",'RELACIÓN DE FACTURAS'!Q58=""),"",IF(AND(D54="NUEVA FACTURA",'RELACIÓN DE FACTURAS'!Q58&lt;&gt;""),'RELACIÓN DE FACTURAS'!Q58,IF(D54="SEGUNDO PAGO O POSTERIORES",G53,""))))</f>
        <v/>
      </c>
      <c r="H54" s="245"/>
      <c r="I54" s="246" t="str">
        <f>IF(D54="","",IF(J54="","REVISAR",IF(OR(J54&lt;EXPEDIENTE!$I$25,J54&gt;EXPEDIENTE!$I$27),"SI","NO")))</f>
        <v/>
      </c>
      <c r="J54" s="247" t="str">
        <f t="shared" si="8"/>
        <v/>
      </c>
      <c r="K54" s="244" t="str">
        <f>IF(D54="","",IF('RELACIÓN DE FACTURAS'!AF58="","",'RELACIÓN DE FACTURAS'!AF58))</f>
        <v/>
      </c>
      <c r="L54" s="245"/>
      <c r="M54" s="246" t="str">
        <f>IF(D54="","",IF(N54="","REVISAR",IF(OR(N54&lt;EXPEDIENTE!$I$25,N54&gt;EXPEDIENTE!$I$29),"SI","NO")))</f>
        <v/>
      </c>
      <c r="N54" s="248" t="str">
        <f t="shared" si="9"/>
        <v/>
      </c>
      <c r="O54" s="249">
        <f>IF(N54&lt;EXPEDIENTE!$I$25,-1,IF(N54&gt;EXPEDIENTE!$I$29,1,0))</f>
        <v>0</v>
      </c>
      <c r="P54" s="250" t="str">
        <f t="shared" si="10"/>
        <v/>
      </c>
      <c r="Q54" s="245"/>
      <c r="R54" s="251"/>
      <c r="S54" s="252" t="str">
        <f>IF(OR(Q54="",R54=""),"",IF(Q54&gt;EXPEDIENTE!$I$27,"",MIN(DATE(YEAR(Q54),MONTH(Q54),DAY(Q54)+R54),EXPEDIENTE!$I$29)))</f>
        <v/>
      </c>
      <c r="T54" s="253" t="str">
        <f>IF(D54="","",IF(AND(P54="NO",Q54="",S54=""),"NO",IF(Q54&gt;EXPEDIENTE!$I$27,"ENTREGA FUERA PLAZO",IF(OR(Q54="",R54=""),"PDTE",IF(S54&lt;N54,"SI","NO")))))</f>
        <v/>
      </c>
      <c r="U54" s="254" t="str">
        <f>IF('RELACIÓN DE FACTURAS'!X58="","",'RELACIÓN DE FACTURAS'!X58)</f>
        <v/>
      </c>
      <c r="V54" s="255" t="str">
        <f>IF('RELACIÓN DE FACTURAS'!Y58="","",'RELACIÓN DE FACTURAS'!Y58)</f>
        <v/>
      </c>
      <c r="W54" s="256"/>
      <c r="X54" s="277" t="str">
        <f t="shared" si="11"/>
        <v/>
      </c>
      <c r="Y54" s="257"/>
    </row>
    <row r="55" spans="2:25" ht="39.950000000000003" customHeight="1" x14ac:dyDescent="0.2">
      <c r="B55" s="120">
        <f>IF(Y55&lt;&gt;"",MAX($B$5:B54)+1,0)</f>
        <v>0</v>
      </c>
      <c r="C55" s="122">
        <v>51</v>
      </c>
      <c r="D55" s="241" t="str">
        <f>IF('RELACIÓN DE FACTURAS'!O59="","",'RELACIÓN DE FACTURAS'!O59)</f>
        <v/>
      </c>
      <c r="E55" s="242" t="str">
        <f>IF(D55="SEGUNDO PAGO O POSTERIORES",E54,IF('RELACIÓN DE FACTURAS'!P59="","",'RELACIÓN DE FACTURAS'!P59))</f>
        <v/>
      </c>
      <c r="F55" s="243" t="str">
        <f>IF(D55="SEGUNDO PAGO O POSTERIORES",F54,IF('RELACIÓN DE FACTURAS'!R59="","",'RELACIÓN DE FACTURAS'!R59))</f>
        <v/>
      </c>
      <c r="G55" s="244" t="str">
        <f>IF(D55="","",IF(AND(D55="NUEVA FACTURA",'RELACIÓN DE FACTURAS'!Q59=""),"",IF(AND(D55="NUEVA FACTURA",'RELACIÓN DE FACTURAS'!Q59&lt;&gt;""),'RELACIÓN DE FACTURAS'!Q59,IF(D55="SEGUNDO PAGO O POSTERIORES",G54,""))))</f>
        <v/>
      </c>
      <c r="H55" s="245"/>
      <c r="I55" s="246" t="str">
        <f>IF(D55="","",IF(J55="","REVISAR",IF(OR(J55&lt;EXPEDIENTE!$I$25,J55&gt;EXPEDIENTE!$I$27),"SI","NO")))</f>
        <v/>
      </c>
      <c r="J55" s="247" t="str">
        <f t="shared" si="8"/>
        <v/>
      </c>
      <c r="K55" s="244" t="str">
        <f>IF(D55="","",IF('RELACIÓN DE FACTURAS'!AF59="","",'RELACIÓN DE FACTURAS'!AF59))</f>
        <v/>
      </c>
      <c r="L55" s="245"/>
      <c r="M55" s="246" t="str">
        <f>IF(D55="","",IF(N55="","REVISAR",IF(OR(N55&lt;EXPEDIENTE!$I$25,N55&gt;EXPEDIENTE!$I$29),"SI","NO")))</f>
        <v/>
      </c>
      <c r="N55" s="248" t="str">
        <f t="shared" si="9"/>
        <v/>
      </c>
      <c r="O55" s="249">
        <f>IF(N55&lt;EXPEDIENTE!$I$25,-1,IF(N55&gt;EXPEDIENTE!$I$29,1,0))</f>
        <v>0</v>
      </c>
      <c r="P55" s="250" t="str">
        <f t="shared" si="10"/>
        <v/>
      </c>
      <c r="Q55" s="245"/>
      <c r="R55" s="251"/>
      <c r="S55" s="252" t="str">
        <f>IF(OR(Q55="",R55=""),"",IF(Q55&gt;EXPEDIENTE!$I$27,"",MIN(DATE(YEAR(Q55),MONTH(Q55),DAY(Q55)+R55),EXPEDIENTE!$I$29)))</f>
        <v/>
      </c>
      <c r="T55" s="253" t="str">
        <f>IF(D55="","",IF(AND(P55="NO",Q55="",S55=""),"NO",IF(Q55&gt;EXPEDIENTE!$I$27,"ENTREGA FUERA PLAZO",IF(OR(Q55="",R55=""),"PDTE",IF(S55&lt;N55,"SI","NO")))))</f>
        <v/>
      </c>
      <c r="U55" s="254" t="str">
        <f>IF('RELACIÓN DE FACTURAS'!X59="","",'RELACIÓN DE FACTURAS'!X59)</f>
        <v/>
      </c>
      <c r="V55" s="255" t="str">
        <f>IF('RELACIÓN DE FACTURAS'!Y59="","",'RELACIÓN DE FACTURAS'!Y59)</f>
        <v/>
      </c>
      <c r="W55" s="256"/>
      <c r="X55" s="277" t="str">
        <f t="shared" si="11"/>
        <v/>
      </c>
      <c r="Y55" s="257"/>
    </row>
    <row r="56" spans="2:25" ht="39.950000000000003" customHeight="1" x14ac:dyDescent="0.2">
      <c r="B56" s="120">
        <f>IF(Y56&lt;&gt;"",MAX($B$5:B55)+1,0)</f>
        <v>0</v>
      </c>
      <c r="C56" s="122">
        <v>52</v>
      </c>
      <c r="D56" s="241" t="str">
        <f>IF('RELACIÓN DE FACTURAS'!O60="","",'RELACIÓN DE FACTURAS'!O60)</f>
        <v/>
      </c>
      <c r="E56" s="242" t="str">
        <f>IF(D56="SEGUNDO PAGO O POSTERIORES",E55,IF('RELACIÓN DE FACTURAS'!P60="","",'RELACIÓN DE FACTURAS'!P60))</f>
        <v/>
      </c>
      <c r="F56" s="243" t="str">
        <f>IF(D56="SEGUNDO PAGO O POSTERIORES",F55,IF('RELACIÓN DE FACTURAS'!R60="","",'RELACIÓN DE FACTURAS'!R60))</f>
        <v/>
      </c>
      <c r="G56" s="244" t="str">
        <f>IF(D56="","",IF(AND(D56="NUEVA FACTURA",'RELACIÓN DE FACTURAS'!Q60=""),"",IF(AND(D56="NUEVA FACTURA",'RELACIÓN DE FACTURAS'!Q60&lt;&gt;""),'RELACIÓN DE FACTURAS'!Q60,IF(D56="SEGUNDO PAGO O POSTERIORES",G55,""))))</f>
        <v/>
      </c>
      <c r="H56" s="245"/>
      <c r="I56" s="246" t="str">
        <f>IF(D56="","",IF(J56="","REVISAR",IF(OR(J56&lt;EXPEDIENTE!$I$25,J56&gt;EXPEDIENTE!$I$27),"SI","NO")))</f>
        <v/>
      </c>
      <c r="J56" s="247" t="str">
        <f t="shared" si="8"/>
        <v/>
      </c>
      <c r="K56" s="244" t="str">
        <f>IF(D56="","",IF('RELACIÓN DE FACTURAS'!AF60="","",'RELACIÓN DE FACTURAS'!AF60))</f>
        <v/>
      </c>
      <c r="L56" s="245"/>
      <c r="M56" s="246" t="str">
        <f>IF(D56="","",IF(N56="","REVISAR",IF(OR(N56&lt;EXPEDIENTE!$I$25,N56&gt;EXPEDIENTE!$I$29),"SI","NO")))</f>
        <v/>
      </c>
      <c r="N56" s="248" t="str">
        <f t="shared" si="9"/>
        <v/>
      </c>
      <c r="O56" s="249">
        <f>IF(N56&lt;EXPEDIENTE!$I$25,-1,IF(N56&gt;EXPEDIENTE!$I$29,1,0))</f>
        <v>0</v>
      </c>
      <c r="P56" s="250" t="str">
        <f t="shared" si="10"/>
        <v/>
      </c>
      <c r="Q56" s="245"/>
      <c r="R56" s="251"/>
      <c r="S56" s="252" t="str">
        <f>IF(OR(Q56="",R56=""),"",IF(Q56&gt;EXPEDIENTE!$I$27,"",MIN(DATE(YEAR(Q56),MONTH(Q56),DAY(Q56)+R56),EXPEDIENTE!$I$29)))</f>
        <v/>
      </c>
      <c r="T56" s="253" t="str">
        <f>IF(D56="","",IF(AND(P56="NO",Q56="",S56=""),"NO",IF(Q56&gt;EXPEDIENTE!$I$27,"ENTREGA FUERA PLAZO",IF(OR(Q56="",R56=""),"PDTE",IF(S56&lt;N56,"SI","NO")))))</f>
        <v/>
      </c>
      <c r="U56" s="254" t="str">
        <f>IF('RELACIÓN DE FACTURAS'!X60="","",'RELACIÓN DE FACTURAS'!X60)</f>
        <v/>
      </c>
      <c r="V56" s="255" t="str">
        <f>IF('RELACIÓN DE FACTURAS'!Y60="","",'RELACIÓN DE FACTURAS'!Y60)</f>
        <v/>
      </c>
      <c r="W56" s="256"/>
      <c r="X56" s="277" t="str">
        <f t="shared" si="11"/>
        <v/>
      </c>
      <c r="Y56" s="257"/>
    </row>
    <row r="57" spans="2:25" ht="39.950000000000003" customHeight="1" x14ac:dyDescent="0.2">
      <c r="B57" s="120">
        <f>IF(Y57&lt;&gt;"",MAX($B$5:B56)+1,0)</f>
        <v>0</v>
      </c>
      <c r="C57" s="122">
        <v>53</v>
      </c>
      <c r="D57" s="241" t="str">
        <f>IF('RELACIÓN DE FACTURAS'!O61="","",'RELACIÓN DE FACTURAS'!O61)</f>
        <v/>
      </c>
      <c r="E57" s="242" t="str">
        <f>IF(D57="SEGUNDO PAGO O POSTERIORES",E56,IF('RELACIÓN DE FACTURAS'!P61="","",'RELACIÓN DE FACTURAS'!P61))</f>
        <v/>
      </c>
      <c r="F57" s="243" t="str">
        <f>IF(D57="SEGUNDO PAGO O POSTERIORES",F56,IF('RELACIÓN DE FACTURAS'!R61="","",'RELACIÓN DE FACTURAS'!R61))</f>
        <v/>
      </c>
      <c r="G57" s="244" t="str">
        <f>IF(D57="","",IF(AND(D57="NUEVA FACTURA",'RELACIÓN DE FACTURAS'!Q61=""),"",IF(AND(D57="NUEVA FACTURA",'RELACIÓN DE FACTURAS'!Q61&lt;&gt;""),'RELACIÓN DE FACTURAS'!Q61,IF(D57="SEGUNDO PAGO O POSTERIORES",G56,""))))</f>
        <v/>
      </c>
      <c r="H57" s="245"/>
      <c r="I57" s="246" t="str">
        <f>IF(D57="","",IF(J57="","REVISAR",IF(OR(J57&lt;EXPEDIENTE!$I$25,J57&gt;EXPEDIENTE!$I$27),"SI","NO")))</f>
        <v/>
      </c>
      <c r="J57" s="247" t="str">
        <f t="shared" si="8"/>
        <v/>
      </c>
      <c r="K57" s="244" t="str">
        <f>IF(D57="","",IF('RELACIÓN DE FACTURAS'!AF61="","",'RELACIÓN DE FACTURAS'!AF61))</f>
        <v/>
      </c>
      <c r="L57" s="245"/>
      <c r="M57" s="246" t="str">
        <f>IF(D57="","",IF(N57="","REVISAR",IF(OR(N57&lt;EXPEDIENTE!$I$25,N57&gt;EXPEDIENTE!$I$29),"SI","NO")))</f>
        <v/>
      </c>
      <c r="N57" s="248" t="str">
        <f t="shared" si="9"/>
        <v/>
      </c>
      <c r="O57" s="249">
        <f>IF(N57&lt;EXPEDIENTE!$I$25,-1,IF(N57&gt;EXPEDIENTE!$I$29,1,0))</f>
        <v>0</v>
      </c>
      <c r="P57" s="250" t="str">
        <f t="shared" si="10"/>
        <v/>
      </c>
      <c r="Q57" s="245"/>
      <c r="R57" s="251"/>
      <c r="S57" s="252" t="str">
        <f>IF(OR(Q57="",R57=""),"",IF(Q57&gt;EXPEDIENTE!$I$27,"",MIN(DATE(YEAR(Q57),MONTH(Q57),DAY(Q57)+R57),EXPEDIENTE!$I$29)))</f>
        <v/>
      </c>
      <c r="T57" s="253" t="str">
        <f>IF(D57="","",IF(AND(P57="NO",Q57="",S57=""),"NO",IF(Q57&gt;EXPEDIENTE!$I$27,"ENTREGA FUERA PLAZO",IF(OR(Q57="",R57=""),"PDTE",IF(S57&lt;N57,"SI","NO")))))</f>
        <v/>
      </c>
      <c r="U57" s="254" t="str">
        <f>IF('RELACIÓN DE FACTURAS'!X61="","",'RELACIÓN DE FACTURAS'!X61)</f>
        <v/>
      </c>
      <c r="V57" s="255" t="str">
        <f>IF('RELACIÓN DE FACTURAS'!Y61="","",'RELACIÓN DE FACTURAS'!Y61)</f>
        <v/>
      </c>
      <c r="W57" s="256"/>
      <c r="X57" s="277" t="str">
        <f t="shared" si="11"/>
        <v/>
      </c>
      <c r="Y57" s="257"/>
    </row>
    <row r="58" spans="2:25" ht="39.950000000000003" customHeight="1" x14ac:dyDescent="0.2">
      <c r="B58" s="120">
        <f>IF(Y58&lt;&gt;"",MAX($B$5:B57)+1,0)</f>
        <v>0</v>
      </c>
      <c r="C58" s="122">
        <v>54</v>
      </c>
      <c r="D58" s="241" t="str">
        <f>IF('RELACIÓN DE FACTURAS'!O62="","",'RELACIÓN DE FACTURAS'!O62)</f>
        <v/>
      </c>
      <c r="E58" s="242" t="str">
        <f>IF(D58="SEGUNDO PAGO O POSTERIORES",E57,IF('RELACIÓN DE FACTURAS'!P62="","",'RELACIÓN DE FACTURAS'!P62))</f>
        <v/>
      </c>
      <c r="F58" s="243" t="str">
        <f>IF(D58="SEGUNDO PAGO O POSTERIORES",F57,IF('RELACIÓN DE FACTURAS'!R62="","",'RELACIÓN DE FACTURAS'!R62))</f>
        <v/>
      </c>
      <c r="G58" s="244" t="str">
        <f>IF(D58="","",IF(AND(D58="NUEVA FACTURA",'RELACIÓN DE FACTURAS'!Q62=""),"",IF(AND(D58="NUEVA FACTURA",'RELACIÓN DE FACTURAS'!Q62&lt;&gt;""),'RELACIÓN DE FACTURAS'!Q62,IF(D58="SEGUNDO PAGO O POSTERIORES",G57,""))))</f>
        <v/>
      </c>
      <c r="H58" s="245"/>
      <c r="I58" s="246" t="str">
        <f>IF(D58="","",IF(J58="","REVISAR",IF(OR(J58&lt;EXPEDIENTE!$I$25,J58&gt;EXPEDIENTE!$I$27),"SI","NO")))</f>
        <v/>
      </c>
      <c r="J58" s="247" t="str">
        <f t="shared" si="8"/>
        <v/>
      </c>
      <c r="K58" s="244" t="str">
        <f>IF(D58="","",IF('RELACIÓN DE FACTURAS'!AF62="","",'RELACIÓN DE FACTURAS'!AF62))</f>
        <v/>
      </c>
      <c r="L58" s="245"/>
      <c r="M58" s="246" t="str">
        <f>IF(D58="","",IF(N58="","REVISAR",IF(OR(N58&lt;EXPEDIENTE!$I$25,N58&gt;EXPEDIENTE!$I$29),"SI","NO")))</f>
        <v/>
      </c>
      <c r="N58" s="248" t="str">
        <f t="shared" si="9"/>
        <v/>
      </c>
      <c r="O58" s="249">
        <f>IF(N58&lt;EXPEDIENTE!$I$25,-1,IF(N58&gt;EXPEDIENTE!$I$29,1,0))</f>
        <v>0</v>
      </c>
      <c r="P58" s="250" t="str">
        <f t="shared" si="10"/>
        <v/>
      </c>
      <c r="Q58" s="245"/>
      <c r="R58" s="251"/>
      <c r="S58" s="252" t="str">
        <f>IF(OR(Q58="",R58=""),"",IF(Q58&gt;EXPEDIENTE!$I$27,"",MIN(DATE(YEAR(Q58),MONTH(Q58),DAY(Q58)+R58),EXPEDIENTE!$I$29)))</f>
        <v/>
      </c>
      <c r="T58" s="253" t="str">
        <f>IF(D58="","",IF(AND(P58="NO",Q58="",S58=""),"NO",IF(Q58&gt;EXPEDIENTE!$I$27,"ENTREGA FUERA PLAZO",IF(OR(Q58="",R58=""),"PDTE",IF(S58&lt;N58,"SI","NO")))))</f>
        <v/>
      </c>
      <c r="U58" s="254" t="str">
        <f>IF('RELACIÓN DE FACTURAS'!X62="","",'RELACIÓN DE FACTURAS'!X62)</f>
        <v/>
      </c>
      <c r="V58" s="255" t="str">
        <f>IF('RELACIÓN DE FACTURAS'!Y62="","",'RELACIÓN DE FACTURAS'!Y62)</f>
        <v/>
      </c>
      <c r="W58" s="256"/>
      <c r="X58" s="277" t="str">
        <f t="shared" si="11"/>
        <v/>
      </c>
      <c r="Y58" s="257"/>
    </row>
    <row r="59" spans="2:25" ht="39.950000000000003" customHeight="1" x14ac:dyDescent="0.2">
      <c r="B59" s="120">
        <f>IF(Y59&lt;&gt;"",MAX($B$5:B58)+1,0)</f>
        <v>0</v>
      </c>
      <c r="C59" s="122">
        <v>55</v>
      </c>
      <c r="D59" s="241" t="str">
        <f>IF('RELACIÓN DE FACTURAS'!O63="","",'RELACIÓN DE FACTURAS'!O63)</f>
        <v/>
      </c>
      <c r="E59" s="242" t="str">
        <f>IF(D59="SEGUNDO PAGO O POSTERIORES",E58,IF('RELACIÓN DE FACTURAS'!P63="","",'RELACIÓN DE FACTURAS'!P63))</f>
        <v/>
      </c>
      <c r="F59" s="243" t="str">
        <f>IF(D59="SEGUNDO PAGO O POSTERIORES",F58,IF('RELACIÓN DE FACTURAS'!R63="","",'RELACIÓN DE FACTURAS'!R63))</f>
        <v/>
      </c>
      <c r="G59" s="244" t="str">
        <f>IF(D59="","",IF(AND(D59="NUEVA FACTURA",'RELACIÓN DE FACTURAS'!Q63=""),"",IF(AND(D59="NUEVA FACTURA",'RELACIÓN DE FACTURAS'!Q63&lt;&gt;""),'RELACIÓN DE FACTURAS'!Q63,IF(D59="SEGUNDO PAGO O POSTERIORES",G58,""))))</f>
        <v/>
      </c>
      <c r="H59" s="245"/>
      <c r="I59" s="246" t="str">
        <f>IF(D59="","",IF(J59="","REVISAR",IF(OR(J59&lt;EXPEDIENTE!$I$25,J59&gt;EXPEDIENTE!$I$27),"SI","NO")))</f>
        <v/>
      </c>
      <c r="J59" s="247" t="str">
        <f t="shared" si="8"/>
        <v/>
      </c>
      <c r="K59" s="244" t="str">
        <f>IF(D59="","",IF('RELACIÓN DE FACTURAS'!AF63="","",'RELACIÓN DE FACTURAS'!AF63))</f>
        <v/>
      </c>
      <c r="L59" s="245"/>
      <c r="M59" s="246" t="str">
        <f>IF(D59="","",IF(N59="","REVISAR",IF(OR(N59&lt;EXPEDIENTE!$I$25,N59&gt;EXPEDIENTE!$I$29),"SI","NO")))</f>
        <v/>
      </c>
      <c r="N59" s="248" t="str">
        <f t="shared" si="9"/>
        <v/>
      </c>
      <c r="O59" s="249">
        <f>IF(N59&lt;EXPEDIENTE!$I$25,-1,IF(N59&gt;EXPEDIENTE!$I$29,1,0))</f>
        <v>0</v>
      </c>
      <c r="P59" s="250" t="str">
        <f t="shared" si="10"/>
        <v/>
      </c>
      <c r="Q59" s="245"/>
      <c r="R59" s="251"/>
      <c r="S59" s="252" t="str">
        <f>IF(OR(Q59="",R59=""),"",IF(Q59&gt;EXPEDIENTE!$I$27,"",MIN(DATE(YEAR(Q59),MONTH(Q59),DAY(Q59)+R59),EXPEDIENTE!$I$29)))</f>
        <v/>
      </c>
      <c r="T59" s="253" t="str">
        <f>IF(D59="","",IF(AND(P59="NO",Q59="",S59=""),"NO",IF(Q59&gt;EXPEDIENTE!$I$27,"ENTREGA FUERA PLAZO",IF(OR(Q59="",R59=""),"PDTE",IF(S59&lt;N59,"SI","NO")))))</f>
        <v/>
      </c>
      <c r="U59" s="254" t="str">
        <f>IF('RELACIÓN DE FACTURAS'!X63="","",'RELACIÓN DE FACTURAS'!X63)</f>
        <v/>
      </c>
      <c r="V59" s="255" t="str">
        <f>IF('RELACIÓN DE FACTURAS'!Y63="","",'RELACIÓN DE FACTURAS'!Y63)</f>
        <v/>
      </c>
      <c r="W59" s="256"/>
      <c r="X59" s="277" t="str">
        <f t="shared" si="11"/>
        <v/>
      </c>
      <c r="Y59" s="257"/>
    </row>
    <row r="60" spans="2:25" ht="39.950000000000003" customHeight="1" x14ac:dyDescent="0.2">
      <c r="B60" s="120">
        <f>IF(Y60&lt;&gt;"",MAX($B$5:B59)+1,0)</f>
        <v>0</v>
      </c>
      <c r="C60" s="122">
        <v>56</v>
      </c>
      <c r="D60" s="241" t="str">
        <f>IF('RELACIÓN DE FACTURAS'!O64="","",'RELACIÓN DE FACTURAS'!O64)</f>
        <v/>
      </c>
      <c r="E60" s="242" t="str">
        <f>IF(D60="SEGUNDO PAGO O POSTERIORES",E59,IF('RELACIÓN DE FACTURAS'!P64="","",'RELACIÓN DE FACTURAS'!P64))</f>
        <v/>
      </c>
      <c r="F60" s="243" t="str">
        <f>IF(D60="SEGUNDO PAGO O POSTERIORES",F59,IF('RELACIÓN DE FACTURAS'!R64="","",'RELACIÓN DE FACTURAS'!R64))</f>
        <v/>
      </c>
      <c r="G60" s="244" t="str">
        <f>IF(D60="","",IF(AND(D60="NUEVA FACTURA",'RELACIÓN DE FACTURAS'!Q64=""),"",IF(AND(D60="NUEVA FACTURA",'RELACIÓN DE FACTURAS'!Q64&lt;&gt;""),'RELACIÓN DE FACTURAS'!Q64,IF(D60="SEGUNDO PAGO O POSTERIORES",G59,""))))</f>
        <v/>
      </c>
      <c r="H60" s="245"/>
      <c r="I60" s="246" t="str">
        <f>IF(D60="","",IF(J60="","REVISAR",IF(OR(J60&lt;EXPEDIENTE!$I$25,J60&gt;EXPEDIENTE!$I$27),"SI","NO")))</f>
        <v/>
      </c>
      <c r="J60" s="247" t="str">
        <f t="shared" si="8"/>
        <v/>
      </c>
      <c r="K60" s="244" t="str">
        <f>IF(D60="","",IF('RELACIÓN DE FACTURAS'!AF64="","",'RELACIÓN DE FACTURAS'!AF64))</f>
        <v/>
      </c>
      <c r="L60" s="245"/>
      <c r="M60" s="246" t="str">
        <f>IF(D60="","",IF(N60="","REVISAR",IF(OR(N60&lt;EXPEDIENTE!$I$25,N60&gt;EXPEDIENTE!$I$29),"SI","NO")))</f>
        <v/>
      </c>
      <c r="N60" s="248" t="str">
        <f t="shared" si="9"/>
        <v/>
      </c>
      <c r="O60" s="249">
        <f>IF(N60&lt;EXPEDIENTE!$I$25,-1,IF(N60&gt;EXPEDIENTE!$I$29,1,0))</f>
        <v>0</v>
      </c>
      <c r="P60" s="250" t="str">
        <f t="shared" si="10"/>
        <v/>
      </c>
      <c r="Q60" s="245"/>
      <c r="R60" s="251"/>
      <c r="S60" s="252" t="str">
        <f>IF(OR(Q60="",R60=""),"",IF(Q60&gt;EXPEDIENTE!$I$27,"",MIN(DATE(YEAR(Q60),MONTH(Q60),DAY(Q60)+R60),EXPEDIENTE!$I$29)))</f>
        <v/>
      </c>
      <c r="T60" s="253" t="str">
        <f>IF(D60="","",IF(AND(P60="NO",Q60="",S60=""),"NO",IF(Q60&gt;EXPEDIENTE!$I$27,"ENTREGA FUERA PLAZO",IF(OR(Q60="",R60=""),"PDTE",IF(S60&lt;N60,"SI","NO")))))</f>
        <v/>
      </c>
      <c r="U60" s="254" t="str">
        <f>IF('RELACIÓN DE FACTURAS'!X64="","",'RELACIÓN DE FACTURAS'!X64)</f>
        <v/>
      </c>
      <c r="V60" s="255" t="str">
        <f>IF('RELACIÓN DE FACTURAS'!Y64="","",'RELACIÓN DE FACTURAS'!Y64)</f>
        <v/>
      </c>
      <c r="W60" s="256"/>
      <c r="X60" s="277" t="str">
        <f t="shared" si="11"/>
        <v/>
      </c>
      <c r="Y60" s="257"/>
    </row>
    <row r="61" spans="2:25" ht="39.950000000000003" customHeight="1" x14ac:dyDescent="0.2">
      <c r="B61" s="120">
        <f>IF(Y61&lt;&gt;"",MAX($B$5:B60)+1,0)</f>
        <v>0</v>
      </c>
      <c r="C61" s="122">
        <v>57</v>
      </c>
      <c r="D61" s="241" t="str">
        <f>IF('RELACIÓN DE FACTURAS'!O65="","",'RELACIÓN DE FACTURAS'!O65)</f>
        <v/>
      </c>
      <c r="E61" s="242" t="str">
        <f>IF(D61="SEGUNDO PAGO O POSTERIORES",E60,IF('RELACIÓN DE FACTURAS'!P65="","",'RELACIÓN DE FACTURAS'!P65))</f>
        <v/>
      </c>
      <c r="F61" s="243" t="str">
        <f>IF(D61="SEGUNDO PAGO O POSTERIORES",F60,IF('RELACIÓN DE FACTURAS'!R65="","",'RELACIÓN DE FACTURAS'!R65))</f>
        <v/>
      </c>
      <c r="G61" s="244" t="str">
        <f>IF(D61="","",IF(AND(D61="NUEVA FACTURA",'RELACIÓN DE FACTURAS'!Q65=""),"",IF(AND(D61="NUEVA FACTURA",'RELACIÓN DE FACTURAS'!Q65&lt;&gt;""),'RELACIÓN DE FACTURAS'!Q65,IF(D61="SEGUNDO PAGO O POSTERIORES",G60,""))))</f>
        <v/>
      </c>
      <c r="H61" s="245"/>
      <c r="I61" s="246" t="str">
        <f>IF(D61="","",IF(J61="","REVISAR",IF(OR(J61&lt;EXPEDIENTE!$I$25,J61&gt;EXPEDIENTE!$I$27),"SI","NO")))</f>
        <v/>
      </c>
      <c r="J61" s="247" t="str">
        <f t="shared" si="8"/>
        <v/>
      </c>
      <c r="K61" s="244" t="str">
        <f>IF(D61="","",IF('RELACIÓN DE FACTURAS'!AF65="","",'RELACIÓN DE FACTURAS'!AF65))</f>
        <v/>
      </c>
      <c r="L61" s="245"/>
      <c r="M61" s="246" t="str">
        <f>IF(D61="","",IF(N61="","REVISAR",IF(OR(N61&lt;EXPEDIENTE!$I$25,N61&gt;EXPEDIENTE!$I$29),"SI","NO")))</f>
        <v/>
      </c>
      <c r="N61" s="248" t="str">
        <f t="shared" si="9"/>
        <v/>
      </c>
      <c r="O61" s="249">
        <f>IF(N61&lt;EXPEDIENTE!$I$25,-1,IF(N61&gt;EXPEDIENTE!$I$29,1,0))</f>
        <v>0</v>
      </c>
      <c r="P61" s="250" t="str">
        <f t="shared" si="10"/>
        <v/>
      </c>
      <c r="Q61" s="245"/>
      <c r="R61" s="251"/>
      <c r="S61" s="252" t="str">
        <f>IF(OR(Q61="",R61=""),"",IF(Q61&gt;EXPEDIENTE!$I$27,"",MIN(DATE(YEAR(Q61),MONTH(Q61),DAY(Q61)+R61),EXPEDIENTE!$I$29)))</f>
        <v/>
      </c>
      <c r="T61" s="253" t="str">
        <f>IF(D61="","",IF(AND(P61="NO",Q61="",S61=""),"NO",IF(Q61&gt;EXPEDIENTE!$I$27,"ENTREGA FUERA PLAZO",IF(OR(Q61="",R61=""),"PDTE",IF(S61&lt;N61,"SI","NO")))))</f>
        <v/>
      </c>
      <c r="U61" s="254" t="str">
        <f>IF('RELACIÓN DE FACTURAS'!X65="","",'RELACIÓN DE FACTURAS'!X65)</f>
        <v/>
      </c>
      <c r="V61" s="255" t="str">
        <f>IF('RELACIÓN DE FACTURAS'!Y65="","",'RELACIÓN DE FACTURAS'!Y65)</f>
        <v/>
      </c>
      <c r="W61" s="256"/>
      <c r="X61" s="277" t="str">
        <f t="shared" si="11"/>
        <v/>
      </c>
      <c r="Y61" s="257"/>
    </row>
    <row r="62" spans="2:25" ht="39.950000000000003" customHeight="1" x14ac:dyDescent="0.2">
      <c r="B62" s="120">
        <f>IF(Y62&lt;&gt;"",MAX($B$5:B61)+1,0)</f>
        <v>0</v>
      </c>
      <c r="C62" s="122">
        <v>58</v>
      </c>
      <c r="D62" s="241" t="str">
        <f>IF('RELACIÓN DE FACTURAS'!O66="","",'RELACIÓN DE FACTURAS'!O66)</f>
        <v/>
      </c>
      <c r="E62" s="242" t="str">
        <f>IF(D62="SEGUNDO PAGO O POSTERIORES",E61,IF('RELACIÓN DE FACTURAS'!P66="","",'RELACIÓN DE FACTURAS'!P66))</f>
        <v/>
      </c>
      <c r="F62" s="243" t="str">
        <f>IF(D62="SEGUNDO PAGO O POSTERIORES",F61,IF('RELACIÓN DE FACTURAS'!R66="","",'RELACIÓN DE FACTURAS'!R66))</f>
        <v/>
      </c>
      <c r="G62" s="244" t="str">
        <f>IF(D62="","",IF(AND(D62="NUEVA FACTURA",'RELACIÓN DE FACTURAS'!Q66=""),"",IF(AND(D62="NUEVA FACTURA",'RELACIÓN DE FACTURAS'!Q66&lt;&gt;""),'RELACIÓN DE FACTURAS'!Q66,IF(D62="SEGUNDO PAGO O POSTERIORES",G61,""))))</f>
        <v/>
      </c>
      <c r="H62" s="245"/>
      <c r="I62" s="246" t="str">
        <f>IF(D62="","",IF(J62="","REVISAR",IF(OR(J62&lt;EXPEDIENTE!$I$25,J62&gt;EXPEDIENTE!$I$27),"SI","NO")))</f>
        <v/>
      </c>
      <c r="J62" s="247" t="str">
        <f t="shared" si="8"/>
        <v/>
      </c>
      <c r="K62" s="244" t="str">
        <f>IF(D62="","",IF('RELACIÓN DE FACTURAS'!AF66="","",'RELACIÓN DE FACTURAS'!AF66))</f>
        <v/>
      </c>
      <c r="L62" s="245"/>
      <c r="M62" s="246" t="str">
        <f>IF(D62="","",IF(N62="","REVISAR",IF(OR(N62&lt;EXPEDIENTE!$I$25,N62&gt;EXPEDIENTE!$I$29),"SI","NO")))</f>
        <v/>
      </c>
      <c r="N62" s="248" t="str">
        <f t="shared" si="9"/>
        <v/>
      </c>
      <c r="O62" s="249">
        <f>IF(N62&lt;EXPEDIENTE!$I$25,-1,IF(N62&gt;EXPEDIENTE!$I$29,1,0))</f>
        <v>0</v>
      </c>
      <c r="P62" s="250" t="str">
        <f t="shared" si="10"/>
        <v/>
      </c>
      <c r="Q62" s="245"/>
      <c r="R62" s="251"/>
      <c r="S62" s="252" t="str">
        <f>IF(OR(Q62="",R62=""),"",IF(Q62&gt;EXPEDIENTE!$I$27,"",MIN(DATE(YEAR(Q62),MONTH(Q62),DAY(Q62)+R62),EXPEDIENTE!$I$29)))</f>
        <v/>
      </c>
      <c r="T62" s="253" t="str">
        <f>IF(D62="","",IF(AND(P62="NO",Q62="",S62=""),"NO",IF(Q62&gt;EXPEDIENTE!$I$27,"ENTREGA FUERA PLAZO",IF(OR(Q62="",R62=""),"PDTE",IF(S62&lt;N62,"SI","NO")))))</f>
        <v/>
      </c>
      <c r="U62" s="254" t="str">
        <f>IF('RELACIÓN DE FACTURAS'!X66="","",'RELACIÓN DE FACTURAS'!X66)</f>
        <v/>
      </c>
      <c r="V62" s="255" t="str">
        <f>IF('RELACIÓN DE FACTURAS'!Y66="","",'RELACIÓN DE FACTURAS'!Y66)</f>
        <v/>
      </c>
      <c r="W62" s="256"/>
      <c r="X62" s="277" t="str">
        <f t="shared" si="11"/>
        <v/>
      </c>
      <c r="Y62" s="257"/>
    </row>
    <row r="63" spans="2:25" ht="39.950000000000003" customHeight="1" x14ac:dyDescent="0.2">
      <c r="B63" s="120">
        <f>IF(Y63&lt;&gt;"",MAX($B$5:B62)+1,0)</f>
        <v>0</v>
      </c>
      <c r="C63" s="122">
        <v>59</v>
      </c>
      <c r="D63" s="241" t="str">
        <f>IF('RELACIÓN DE FACTURAS'!O67="","",'RELACIÓN DE FACTURAS'!O67)</f>
        <v/>
      </c>
      <c r="E63" s="242" t="str">
        <f>IF(D63="SEGUNDO PAGO O POSTERIORES",E62,IF('RELACIÓN DE FACTURAS'!P67="","",'RELACIÓN DE FACTURAS'!P67))</f>
        <v/>
      </c>
      <c r="F63" s="243" t="str">
        <f>IF(D63="SEGUNDO PAGO O POSTERIORES",F62,IF('RELACIÓN DE FACTURAS'!R67="","",'RELACIÓN DE FACTURAS'!R67))</f>
        <v/>
      </c>
      <c r="G63" s="244" t="str">
        <f>IF(D63="","",IF(AND(D63="NUEVA FACTURA",'RELACIÓN DE FACTURAS'!Q67=""),"",IF(AND(D63="NUEVA FACTURA",'RELACIÓN DE FACTURAS'!Q67&lt;&gt;""),'RELACIÓN DE FACTURAS'!Q67,IF(D63="SEGUNDO PAGO O POSTERIORES",G62,""))))</f>
        <v/>
      </c>
      <c r="H63" s="245"/>
      <c r="I63" s="246" t="str">
        <f>IF(D63="","",IF(J63="","REVISAR",IF(OR(J63&lt;EXPEDIENTE!$I$25,J63&gt;EXPEDIENTE!$I$27),"SI","NO")))</f>
        <v/>
      </c>
      <c r="J63" s="247" t="str">
        <f t="shared" si="8"/>
        <v/>
      </c>
      <c r="K63" s="244" t="str">
        <f>IF(D63="","",IF('RELACIÓN DE FACTURAS'!AF67="","",'RELACIÓN DE FACTURAS'!AF67))</f>
        <v/>
      </c>
      <c r="L63" s="245"/>
      <c r="M63" s="246" t="str">
        <f>IF(D63="","",IF(N63="","REVISAR",IF(OR(N63&lt;EXPEDIENTE!$I$25,N63&gt;EXPEDIENTE!$I$29),"SI","NO")))</f>
        <v/>
      </c>
      <c r="N63" s="248" t="str">
        <f t="shared" si="9"/>
        <v/>
      </c>
      <c r="O63" s="249">
        <f>IF(N63&lt;EXPEDIENTE!$I$25,-1,IF(N63&gt;EXPEDIENTE!$I$29,1,0))</f>
        <v>0</v>
      </c>
      <c r="P63" s="250" t="str">
        <f t="shared" si="10"/>
        <v/>
      </c>
      <c r="Q63" s="245"/>
      <c r="R63" s="251"/>
      <c r="S63" s="252" t="str">
        <f>IF(OR(Q63="",R63=""),"",IF(Q63&gt;EXPEDIENTE!$I$27,"",MIN(DATE(YEAR(Q63),MONTH(Q63),DAY(Q63)+R63),EXPEDIENTE!$I$29)))</f>
        <v/>
      </c>
      <c r="T63" s="253" t="str">
        <f>IF(D63="","",IF(AND(P63="NO",Q63="",S63=""),"NO",IF(Q63&gt;EXPEDIENTE!$I$27,"ENTREGA FUERA PLAZO",IF(OR(Q63="",R63=""),"PDTE",IF(S63&lt;N63,"SI","NO")))))</f>
        <v/>
      </c>
      <c r="U63" s="254" t="str">
        <f>IF('RELACIÓN DE FACTURAS'!X67="","",'RELACIÓN DE FACTURAS'!X67)</f>
        <v/>
      </c>
      <c r="V63" s="255" t="str">
        <f>IF('RELACIÓN DE FACTURAS'!Y67="","",'RELACIÓN DE FACTURAS'!Y67)</f>
        <v/>
      </c>
      <c r="W63" s="256"/>
      <c r="X63" s="277" t="str">
        <f t="shared" si="11"/>
        <v/>
      </c>
      <c r="Y63" s="257"/>
    </row>
    <row r="64" spans="2:25" ht="39.950000000000003" customHeight="1" x14ac:dyDescent="0.2">
      <c r="B64" s="120">
        <f>IF(Y64&lt;&gt;"",MAX($B$5:B63)+1,0)</f>
        <v>0</v>
      </c>
      <c r="C64" s="122">
        <v>60</v>
      </c>
      <c r="D64" s="241" t="str">
        <f>IF('RELACIÓN DE FACTURAS'!O68="","",'RELACIÓN DE FACTURAS'!O68)</f>
        <v/>
      </c>
      <c r="E64" s="242" t="str">
        <f>IF(D64="SEGUNDO PAGO O POSTERIORES",E63,IF('RELACIÓN DE FACTURAS'!P68="","",'RELACIÓN DE FACTURAS'!P68))</f>
        <v/>
      </c>
      <c r="F64" s="243" t="str">
        <f>IF(D64="SEGUNDO PAGO O POSTERIORES",F63,IF('RELACIÓN DE FACTURAS'!R68="","",'RELACIÓN DE FACTURAS'!R68))</f>
        <v/>
      </c>
      <c r="G64" s="244" t="str">
        <f>IF(D64="","",IF(AND(D64="NUEVA FACTURA",'RELACIÓN DE FACTURAS'!Q68=""),"",IF(AND(D64="NUEVA FACTURA",'RELACIÓN DE FACTURAS'!Q68&lt;&gt;""),'RELACIÓN DE FACTURAS'!Q68,IF(D64="SEGUNDO PAGO O POSTERIORES",G63,""))))</f>
        <v/>
      </c>
      <c r="H64" s="245"/>
      <c r="I64" s="246" t="str">
        <f>IF(D64="","",IF(J64="","REVISAR",IF(OR(J64&lt;EXPEDIENTE!$I$25,J64&gt;EXPEDIENTE!$I$27),"SI","NO")))</f>
        <v/>
      </c>
      <c r="J64" s="247" t="str">
        <f t="shared" si="8"/>
        <v/>
      </c>
      <c r="K64" s="244" t="str">
        <f>IF(D64="","",IF('RELACIÓN DE FACTURAS'!AF68="","",'RELACIÓN DE FACTURAS'!AF68))</f>
        <v/>
      </c>
      <c r="L64" s="245"/>
      <c r="M64" s="246" t="str">
        <f>IF(D64="","",IF(N64="","REVISAR",IF(OR(N64&lt;EXPEDIENTE!$I$25,N64&gt;EXPEDIENTE!$I$29),"SI","NO")))</f>
        <v/>
      </c>
      <c r="N64" s="248" t="str">
        <f t="shared" si="9"/>
        <v/>
      </c>
      <c r="O64" s="249">
        <f>IF(N64&lt;EXPEDIENTE!$I$25,-1,IF(N64&gt;EXPEDIENTE!$I$29,1,0))</f>
        <v>0</v>
      </c>
      <c r="P64" s="250" t="str">
        <f t="shared" si="10"/>
        <v/>
      </c>
      <c r="Q64" s="245"/>
      <c r="R64" s="251"/>
      <c r="S64" s="252" t="str">
        <f>IF(OR(Q64="",R64=""),"",IF(Q64&gt;EXPEDIENTE!$I$27,"",MIN(DATE(YEAR(Q64),MONTH(Q64),DAY(Q64)+R64),EXPEDIENTE!$I$29)))</f>
        <v/>
      </c>
      <c r="T64" s="253" t="str">
        <f>IF(D64="","",IF(AND(P64="NO",Q64="",S64=""),"NO",IF(Q64&gt;EXPEDIENTE!$I$27,"ENTREGA FUERA PLAZO",IF(OR(Q64="",R64=""),"PDTE",IF(S64&lt;N64,"SI","NO")))))</f>
        <v/>
      </c>
      <c r="U64" s="254" t="str">
        <f>IF('RELACIÓN DE FACTURAS'!X68="","",'RELACIÓN DE FACTURAS'!X68)</f>
        <v/>
      </c>
      <c r="V64" s="255" t="str">
        <f>IF('RELACIÓN DE FACTURAS'!Y68="","",'RELACIÓN DE FACTURAS'!Y68)</f>
        <v/>
      </c>
      <c r="W64" s="256"/>
      <c r="X64" s="277" t="str">
        <f t="shared" si="11"/>
        <v/>
      </c>
      <c r="Y64" s="257"/>
    </row>
    <row r="65" spans="2:25" ht="39.950000000000003" customHeight="1" x14ac:dyDescent="0.2">
      <c r="B65" s="120">
        <f>IF(Y65&lt;&gt;"",MAX($B$5:B64)+1,0)</f>
        <v>0</v>
      </c>
      <c r="C65" s="122">
        <v>61</v>
      </c>
      <c r="D65" s="241" t="str">
        <f>IF('RELACIÓN DE FACTURAS'!O69="","",'RELACIÓN DE FACTURAS'!O69)</f>
        <v/>
      </c>
      <c r="E65" s="242" t="str">
        <f>IF(D65="SEGUNDO PAGO O POSTERIORES",E64,IF('RELACIÓN DE FACTURAS'!P69="","",'RELACIÓN DE FACTURAS'!P69))</f>
        <v/>
      </c>
      <c r="F65" s="243" t="str">
        <f>IF(D65="SEGUNDO PAGO O POSTERIORES",F64,IF('RELACIÓN DE FACTURAS'!R69="","",'RELACIÓN DE FACTURAS'!R69))</f>
        <v/>
      </c>
      <c r="G65" s="244" t="str">
        <f>IF(D65="","",IF(AND(D65="NUEVA FACTURA",'RELACIÓN DE FACTURAS'!Q69=""),"",IF(AND(D65="NUEVA FACTURA",'RELACIÓN DE FACTURAS'!Q69&lt;&gt;""),'RELACIÓN DE FACTURAS'!Q69,IF(D65="SEGUNDO PAGO O POSTERIORES",G64,""))))</f>
        <v/>
      </c>
      <c r="H65" s="245"/>
      <c r="I65" s="246" t="str">
        <f>IF(D65="","",IF(J65="","REVISAR",IF(OR(J65&lt;EXPEDIENTE!$I$25,J65&gt;EXPEDIENTE!$I$27),"SI","NO")))</f>
        <v/>
      </c>
      <c r="J65" s="247" t="str">
        <f t="shared" si="8"/>
        <v/>
      </c>
      <c r="K65" s="244" t="str">
        <f>IF(D65="","",IF('RELACIÓN DE FACTURAS'!AF69="","",'RELACIÓN DE FACTURAS'!AF69))</f>
        <v/>
      </c>
      <c r="L65" s="245"/>
      <c r="M65" s="246" t="str">
        <f>IF(D65="","",IF(N65="","REVISAR",IF(OR(N65&lt;EXPEDIENTE!$I$25,N65&gt;EXPEDIENTE!$I$29),"SI","NO")))</f>
        <v/>
      </c>
      <c r="N65" s="248" t="str">
        <f t="shared" si="9"/>
        <v/>
      </c>
      <c r="O65" s="249">
        <f>IF(N65&lt;EXPEDIENTE!$I$25,-1,IF(N65&gt;EXPEDIENTE!$I$29,1,0))</f>
        <v>0</v>
      </c>
      <c r="P65" s="250" t="str">
        <f t="shared" si="10"/>
        <v/>
      </c>
      <c r="Q65" s="245"/>
      <c r="R65" s="251"/>
      <c r="S65" s="252" t="str">
        <f>IF(OR(Q65="",R65=""),"",IF(Q65&gt;EXPEDIENTE!$I$27,"",MIN(DATE(YEAR(Q65),MONTH(Q65),DAY(Q65)+R65),EXPEDIENTE!$I$29)))</f>
        <v/>
      </c>
      <c r="T65" s="253" t="str">
        <f>IF(D65="","",IF(AND(P65="NO",Q65="",S65=""),"NO",IF(Q65&gt;EXPEDIENTE!$I$27,"ENTREGA FUERA PLAZO",IF(OR(Q65="",R65=""),"PDTE",IF(S65&lt;N65,"SI","NO")))))</f>
        <v/>
      </c>
      <c r="U65" s="254" t="str">
        <f>IF('RELACIÓN DE FACTURAS'!X69="","",'RELACIÓN DE FACTURAS'!X69)</f>
        <v/>
      </c>
      <c r="V65" s="255" t="str">
        <f>IF('RELACIÓN DE FACTURAS'!Y69="","",'RELACIÓN DE FACTURAS'!Y69)</f>
        <v/>
      </c>
      <c r="W65" s="256"/>
      <c r="X65" s="277" t="str">
        <f t="shared" si="11"/>
        <v/>
      </c>
      <c r="Y65" s="257"/>
    </row>
    <row r="66" spans="2:25" ht="39.950000000000003" customHeight="1" x14ac:dyDescent="0.2">
      <c r="B66" s="120">
        <f>IF(Y66&lt;&gt;"",MAX($B$5:B65)+1,0)</f>
        <v>0</v>
      </c>
      <c r="C66" s="122">
        <v>62</v>
      </c>
      <c r="D66" s="241" t="str">
        <f>IF('RELACIÓN DE FACTURAS'!O70="","",'RELACIÓN DE FACTURAS'!O70)</f>
        <v/>
      </c>
      <c r="E66" s="242" t="str">
        <f>IF(D66="SEGUNDO PAGO O POSTERIORES",E65,IF('RELACIÓN DE FACTURAS'!P70="","",'RELACIÓN DE FACTURAS'!P70))</f>
        <v/>
      </c>
      <c r="F66" s="243" t="str">
        <f>IF(D66="SEGUNDO PAGO O POSTERIORES",F65,IF('RELACIÓN DE FACTURAS'!R70="","",'RELACIÓN DE FACTURAS'!R70))</f>
        <v/>
      </c>
      <c r="G66" s="244" t="str">
        <f>IF(D66="","",IF(AND(D66="NUEVA FACTURA",'RELACIÓN DE FACTURAS'!Q70=""),"",IF(AND(D66="NUEVA FACTURA",'RELACIÓN DE FACTURAS'!Q70&lt;&gt;""),'RELACIÓN DE FACTURAS'!Q70,IF(D66="SEGUNDO PAGO O POSTERIORES",G65,""))))</f>
        <v/>
      </c>
      <c r="H66" s="245"/>
      <c r="I66" s="246" t="str">
        <f>IF(D66="","",IF(J66="","REVISAR",IF(OR(J66&lt;EXPEDIENTE!$I$25,J66&gt;EXPEDIENTE!$I$27),"SI","NO")))</f>
        <v/>
      </c>
      <c r="J66" s="247" t="str">
        <f t="shared" si="8"/>
        <v/>
      </c>
      <c r="K66" s="244" t="str">
        <f>IF(D66="","",IF('RELACIÓN DE FACTURAS'!AF70="","",'RELACIÓN DE FACTURAS'!AF70))</f>
        <v/>
      </c>
      <c r="L66" s="245"/>
      <c r="M66" s="246" t="str">
        <f>IF(D66="","",IF(N66="","REVISAR",IF(OR(N66&lt;EXPEDIENTE!$I$25,N66&gt;EXPEDIENTE!$I$29),"SI","NO")))</f>
        <v/>
      </c>
      <c r="N66" s="248" t="str">
        <f t="shared" si="9"/>
        <v/>
      </c>
      <c r="O66" s="249">
        <f>IF(N66&lt;EXPEDIENTE!$I$25,-1,IF(N66&gt;EXPEDIENTE!$I$29,1,0))</f>
        <v>0</v>
      </c>
      <c r="P66" s="250" t="str">
        <f t="shared" si="10"/>
        <v/>
      </c>
      <c r="Q66" s="245"/>
      <c r="R66" s="251"/>
      <c r="S66" s="252" t="str">
        <f>IF(OR(Q66="",R66=""),"",IF(Q66&gt;EXPEDIENTE!$I$27,"",MIN(DATE(YEAR(Q66),MONTH(Q66),DAY(Q66)+R66),EXPEDIENTE!$I$29)))</f>
        <v/>
      </c>
      <c r="T66" s="253" t="str">
        <f>IF(D66="","",IF(AND(P66="NO",Q66="",S66=""),"NO",IF(Q66&gt;EXPEDIENTE!$I$27,"ENTREGA FUERA PLAZO",IF(OR(Q66="",R66=""),"PDTE",IF(S66&lt;N66,"SI","NO")))))</f>
        <v/>
      </c>
      <c r="U66" s="254" t="str">
        <f>IF('RELACIÓN DE FACTURAS'!X70="","",'RELACIÓN DE FACTURAS'!X70)</f>
        <v/>
      </c>
      <c r="V66" s="255" t="str">
        <f>IF('RELACIÓN DE FACTURAS'!Y70="","",'RELACIÓN DE FACTURAS'!Y70)</f>
        <v/>
      </c>
      <c r="W66" s="256"/>
      <c r="X66" s="277" t="str">
        <f t="shared" si="11"/>
        <v/>
      </c>
      <c r="Y66" s="257"/>
    </row>
    <row r="67" spans="2:25" ht="39.950000000000003" customHeight="1" x14ac:dyDescent="0.2">
      <c r="B67" s="120">
        <f>IF(Y67&lt;&gt;"",MAX($B$5:B66)+1,0)</f>
        <v>0</v>
      </c>
      <c r="C67" s="122">
        <v>63</v>
      </c>
      <c r="D67" s="241" t="str">
        <f>IF('RELACIÓN DE FACTURAS'!O71="","",'RELACIÓN DE FACTURAS'!O71)</f>
        <v/>
      </c>
      <c r="E67" s="242" t="str">
        <f>IF(D67="SEGUNDO PAGO O POSTERIORES",E66,IF('RELACIÓN DE FACTURAS'!P71="","",'RELACIÓN DE FACTURAS'!P71))</f>
        <v/>
      </c>
      <c r="F67" s="243" t="str">
        <f>IF(D67="SEGUNDO PAGO O POSTERIORES",F66,IF('RELACIÓN DE FACTURAS'!R71="","",'RELACIÓN DE FACTURAS'!R71))</f>
        <v/>
      </c>
      <c r="G67" s="244" t="str">
        <f>IF(D67="","",IF(AND(D67="NUEVA FACTURA",'RELACIÓN DE FACTURAS'!Q71=""),"",IF(AND(D67="NUEVA FACTURA",'RELACIÓN DE FACTURAS'!Q71&lt;&gt;""),'RELACIÓN DE FACTURAS'!Q71,IF(D67="SEGUNDO PAGO O POSTERIORES",G66,""))))</f>
        <v/>
      </c>
      <c r="H67" s="245"/>
      <c r="I67" s="246" t="str">
        <f>IF(D67="","",IF(J67="","REVISAR",IF(OR(J67&lt;EXPEDIENTE!$I$25,J67&gt;EXPEDIENTE!$I$27),"SI","NO")))</f>
        <v/>
      </c>
      <c r="J67" s="247" t="str">
        <f t="shared" si="8"/>
        <v/>
      </c>
      <c r="K67" s="244" t="str">
        <f>IF(D67="","",IF('RELACIÓN DE FACTURAS'!AF71="","",'RELACIÓN DE FACTURAS'!AF71))</f>
        <v/>
      </c>
      <c r="L67" s="245"/>
      <c r="M67" s="246" t="str">
        <f>IF(D67="","",IF(N67="","REVISAR",IF(OR(N67&lt;EXPEDIENTE!$I$25,N67&gt;EXPEDIENTE!$I$29),"SI","NO")))</f>
        <v/>
      </c>
      <c r="N67" s="248" t="str">
        <f t="shared" si="9"/>
        <v/>
      </c>
      <c r="O67" s="249">
        <f>IF(N67&lt;EXPEDIENTE!$I$25,-1,IF(N67&gt;EXPEDIENTE!$I$29,1,0))</f>
        <v>0</v>
      </c>
      <c r="P67" s="250" t="str">
        <f t="shared" si="10"/>
        <v/>
      </c>
      <c r="Q67" s="245"/>
      <c r="R67" s="251"/>
      <c r="S67" s="252" t="str">
        <f>IF(OR(Q67="",R67=""),"",IF(Q67&gt;EXPEDIENTE!$I$27,"",MIN(DATE(YEAR(Q67),MONTH(Q67),DAY(Q67)+R67),EXPEDIENTE!$I$29)))</f>
        <v/>
      </c>
      <c r="T67" s="253" t="str">
        <f>IF(D67="","",IF(AND(P67="NO",Q67="",S67=""),"NO",IF(Q67&gt;EXPEDIENTE!$I$27,"ENTREGA FUERA PLAZO",IF(OR(Q67="",R67=""),"PDTE",IF(S67&lt;N67,"SI","NO")))))</f>
        <v/>
      </c>
      <c r="U67" s="254" t="str">
        <f>IF('RELACIÓN DE FACTURAS'!X71="","",'RELACIÓN DE FACTURAS'!X71)</f>
        <v/>
      </c>
      <c r="V67" s="255" t="str">
        <f>IF('RELACIÓN DE FACTURAS'!Y71="","",'RELACIÓN DE FACTURAS'!Y71)</f>
        <v/>
      </c>
      <c r="W67" s="256"/>
      <c r="X67" s="277" t="str">
        <f t="shared" si="11"/>
        <v/>
      </c>
      <c r="Y67" s="257"/>
    </row>
    <row r="68" spans="2:25" ht="39.950000000000003" customHeight="1" x14ac:dyDescent="0.2">
      <c r="B68" s="120">
        <f>IF(Y68&lt;&gt;"",MAX($B$5:B67)+1,0)</f>
        <v>0</v>
      </c>
      <c r="C68" s="122">
        <v>64</v>
      </c>
      <c r="D68" s="241" t="str">
        <f>IF('RELACIÓN DE FACTURAS'!O72="","",'RELACIÓN DE FACTURAS'!O72)</f>
        <v/>
      </c>
      <c r="E68" s="242" t="str">
        <f>IF(D68="SEGUNDO PAGO O POSTERIORES",E67,IF('RELACIÓN DE FACTURAS'!P72="","",'RELACIÓN DE FACTURAS'!P72))</f>
        <v/>
      </c>
      <c r="F68" s="243" t="str">
        <f>IF(D68="SEGUNDO PAGO O POSTERIORES",F67,IF('RELACIÓN DE FACTURAS'!R72="","",'RELACIÓN DE FACTURAS'!R72))</f>
        <v/>
      </c>
      <c r="G68" s="244" t="str">
        <f>IF(D68="","",IF(AND(D68="NUEVA FACTURA",'RELACIÓN DE FACTURAS'!Q72=""),"",IF(AND(D68="NUEVA FACTURA",'RELACIÓN DE FACTURAS'!Q72&lt;&gt;""),'RELACIÓN DE FACTURAS'!Q72,IF(D68="SEGUNDO PAGO O POSTERIORES",G67,""))))</f>
        <v/>
      </c>
      <c r="H68" s="245"/>
      <c r="I68" s="246" t="str">
        <f>IF(D68="","",IF(J68="","REVISAR",IF(OR(J68&lt;EXPEDIENTE!$I$25,J68&gt;EXPEDIENTE!$I$27),"SI","NO")))</f>
        <v/>
      </c>
      <c r="J68" s="247" t="str">
        <f t="shared" si="8"/>
        <v/>
      </c>
      <c r="K68" s="244" t="str">
        <f>IF(D68="","",IF('RELACIÓN DE FACTURAS'!AF72="","",'RELACIÓN DE FACTURAS'!AF72))</f>
        <v/>
      </c>
      <c r="L68" s="245"/>
      <c r="M68" s="246" t="str">
        <f>IF(D68="","",IF(N68="","REVISAR",IF(OR(N68&lt;EXPEDIENTE!$I$25,N68&gt;EXPEDIENTE!$I$29),"SI","NO")))</f>
        <v/>
      </c>
      <c r="N68" s="248" t="str">
        <f t="shared" si="9"/>
        <v/>
      </c>
      <c r="O68" s="249">
        <f>IF(N68&lt;EXPEDIENTE!$I$25,-1,IF(N68&gt;EXPEDIENTE!$I$29,1,0))</f>
        <v>0</v>
      </c>
      <c r="P68" s="250" t="str">
        <f t="shared" si="10"/>
        <v/>
      </c>
      <c r="Q68" s="245"/>
      <c r="R68" s="251"/>
      <c r="S68" s="252" t="str">
        <f>IF(OR(Q68="",R68=""),"",IF(Q68&gt;EXPEDIENTE!$I$27,"",MIN(DATE(YEAR(Q68),MONTH(Q68),DAY(Q68)+R68),EXPEDIENTE!$I$29)))</f>
        <v/>
      </c>
      <c r="T68" s="253" t="str">
        <f>IF(D68="","",IF(AND(P68="NO",Q68="",S68=""),"NO",IF(Q68&gt;EXPEDIENTE!$I$27,"ENTREGA FUERA PLAZO",IF(OR(Q68="",R68=""),"PDTE",IF(S68&lt;N68,"SI","NO")))))</f>
        <v/>
      </c>
      <c r="U68" s="254" t="str">
        <f>IF('RELACIÓN DE FACTURAS'!X72="","",'RELACIÓN DE FACTURAS'!X72)</f>
        <v/>
      </c>
      <c r="V68" s="255" t="str">
        <f>IF('RELACIÓN DE FACTURAS'!Y72="","",'RELACIÓN DE FACTURAS'!Y72)</f>
        <v/>
      </c>
      <c r="W68" s="256"/>
      <c r="X68" s="277" t="str">
        <f t="shared" si="11"/>
        <v/>
      </c>
      <c r="Y68" s="257"/>
    </row>
    <row r="69" spans="2:25" ht="39.950000000000003" customHeight="1" x14ac:dyDescent="0.2">
      <c r="B69" s="120">
        <f>IF(Y69&lt;&gt;"",MAX($B$5:B68)+1,0)</f>
        <v>0</v>
      </c>
      <c r="C69" s="122">
        <v>65</v>
      </c>
      <c r="D69" s="241" t="str">
        <f>IF('RELACIÓN DE FACTURAS'!O73="","",'RELACIÓN DE FACTURAS'!O73)</f>
        <v/>
      </c>
      <c r="E69" s="242" t="str">
        <f>IF(D69="SEGUNDO PAGO O POSTERIORES",E68,IF('RELACIÓN DE FACTURAS'!P73="","",'RELACIÓN DE FACTURAS'!P73))</f>
        <v/>
      </c>
      <c r="F69" s="243" t="str">
        <f>IF(D69="SEGUNDO PAGO O POSTERIORES",F68,IF('RELACIÓN DE FACTURAS'!R73="","",'RELACIÓN DE FACTURAS'!R73))</f>
        <v/>
      </c>
      <c r="G69" s="244" t="str">
        <f>IF(D69="","",IF(AND(D69="NUEVA FACTURA",'RELACIÓN DE FACTURAS'!Q73=""),"",IF(AND(D69="NUEVA FACTURA",'RELACIÓN DE FACTURAS'!Q73&lt;&gt;""),'RELACIÓN DE FACTURAS'!Q73,IF(D69="SEGUNDO PAGO O POSTERIORES",G68,""))))</f>
        <v/>
      </c>
      <c r="H69" s="245"/>
      <c r="I69" s="246" t="str">
        <f>IF(D69="","",IF(J69="","REVISAR",IF(OR(J69&lt;EXPEDIENTE!$I$25,J69&gt;EXPEDIENTE!$I$27),"SI","NO")))</f>
        <v/>
      </c>
      <c r="J69" s="247" t="str">
        <f t="shared" si="8"/>
        <v/>
      </c>
      <c r="K69" s="244" t="str">
        <f>IF(D69="","",IF('RELACIÓN DE FACTURAS'!AF73="","",'RELACIÓN DE FACTURAS'!AF73))</f>
        <v/>
      </c>
      <c r="L69" s="245"/>
      <c r="M69" s="246" t="str">
        <f>IF(D69="","",IF(N69="","REVISAR",IF(OR(N69&lt;EXPEDIENTE!$I$25,N69&gt;EXPEDIENTE!$I$29),"SI","NO")))</f>
        <v/>
      </c>
      <c r="N69" s="248" t="str">
        <f t="shared" si="9"/>
        <v/>
      </c>
      <c r="O69" s="249">
        <f>IF(N69&lt;EXPEDIENTE!$I$25,-1,IF(N69&gt;EXPEDIENTE!$I$29,1,0))</f>
        <v>0</v>
      </c>
      <c r="P69" s="250" t="str">
        <f t="shared" si="10"/>
        <v/>
      </c>
      <c r="Q69" s="245"/>
      <c r="R69" s="251"/>
      <c r="S69" s="252" t="str">
        <f>IF(OR(Q69="",R69=""),"",IF(Q69&gt;EXPEDIENTE!$I$27,"",MIN(DATE(YEAR(Q69),MONTH(Q69),DAY(Q69)+R69),EXPEDIENTE!$I$29)))</f>
        <v/>
      </c>
      <c r="T69" s="253" t="str">
        <f>IF(D69="","",IF(AND(P69="NO",Q69="",S69=""),"NO",IF(Q69&gt;EXPEDIENTE!$I$27,"ENTREGA FUERA PLAZO",IF(OR(Q69="",R69=""),"PDTE",IF(S69&lt;N69,"SI","NO")))))</f>
        <v/>
      </c>
      <c r="U69" s="254" t="str">
        <f>IF('RELACIÓN DE FACTURAS'!X73="","",'RELACIÓN DE FACTURAS'!X73)</f>
        <v/>
      </c>
      <c r="V69" s="255" t="str">
        <f>IF('RELACIÓN DE FACTURAS'!Y73="","",'RELACIÓN DE FACTURAS'!Y73)</f>
        <v/>
      </c>
      <c r="W69" s="256"/>
      <c r="X69" s="277" t="str">
        <f t="shared" si="11"/>
        <v/>
      </c>
      <c r="Y69" s="257"/>
    </row>
    <row r="70" spans="2:25" ht="39.950000000000003" customHeight="1" x14ac:dyDescent="0.2">
      <c r="B70" s="120">
        <f>IF(Y70&lt;&gt;"",MAX($B$5:B69)+1,0)</f>
        <v>0</v>
      </c>
      <c r="C70" s="122">
        <v>66</v>
      </c>
      <c r="D70" s="241" t="str">
        <f>IF('RELACIÓN DE FACTURAS'!O74="","",'RELACIÓN DE FACTURAS'!O74)</f>
        <v/>
      </c>
      <c r="E70" s="242" t="str">
        <f>IF(D70="SEGUNDO PAGO O POSTERIORES",E69,IF('RELACIÓN DE FACTURAS'!P74="","",'RELACIÓN DE FACTURAS'!P74))</f>
        <v/>
      </c>
      <c r="F70" s="243" t="str">
        <f>IF(D70="SEGUNDO PAGO O POSTERIORES",F69,IF('RELACIÓN DE FACTURAS'!R74="","",'RELACIÓN DE FACTURAS'!R74))</f>
        <v/>
      </c>
      <c r="G70" s="244" t="str">
        <f>IF(D70="","",IF(AND(D70="NUEVA FACTURA",'RELACIÓN DE FACTURAS'!Q74=""),"",IF(AND(D70="NUEVA FACTURA",'RELACIÓN DE FACTURAS'!Q74&lt;&gt;""),'RELACIÓN DE FACTURAS'!Q74,IF(D70="SEGUNDO PAGO O POSTERIORES",G69,""))))</f>
        <v/>
      </c>
      <c r="H70" s="245"/>
      <c r="I70" s="246" t="str">
        <f>IF(D70="","",IF(J70="","REVISAR",IF(OR(J70&lt;EXPEDIENTE!$I$25,J70&gt;EXPEDIENTE!$I$27),"SI","NO")))</f>
        <v/>
      </c>
      <c r="J70" s="247" t="str">
        <f t="shared" si="8"/>
        <v/>
      </c>
      <c r="K70" s="244" t="str">
        <f>IF(D70="","",IF('RELACIÓN DE FACTURAS'!AF74="","",'RELACIÓN DE FACTURAS'!AF74))</f>
        <v/>
      </c>
      <c r="L70" s="245"/>
      <c r="M70" s="246" t="str">
        <f>IF(D70="","",IF(N70="","REVISAR",IF(OR(N70&lt;EXPEDIENTE!$I$25,N70&gt;EXPEDIENTE!$I$29),"SI","NO")))</f>
        <v/>
      </c>
      <c r="N70" s="248" t="str">
        <f t="shared" si="9"/>
        <v/>
      </c>
      <c r="O70" s="249">
        <f>IF(N70&lt;EXPEDIENTE!$I$25,-1,IF(N70&gt;EXPEDIENTE!$I$29,1,0))</f>
        <v>0</v>
      </c>
      <c r="P70" s="250" t="str">
        <f t="shared" si="10"/>
        <v/>
      </c>
      <c r="Q70" s="245"/>
      <c r="R70" s="251"/>
      <c r="S70" s="252" t="str">
        <f>IF(OR(Q70="",R70=""),"",IF(Q70&gt;EXPEDIENTE!$I$27,"",MIN(DATE(YEAR(Q70),MONTH(Q70),DAY(Q70)+R70),EXPEDIENTE!$I$29)))</f>
        <v/>
      </c>
      <c r="T70" s="253" t="str">
        <f>IF(D70="","",IF(AND(P70="NO",Q70="",S70=""),"NO",IF(Q70&gt;EXPEDIENTE!$I$27,"ENTREGA FUERA PLAZO",IF(OR(Q70="",R70=""),"PDTE",IF(S70&lt;N70,"SI","NO")))))</f>
        <v/>
      </c>
      <c r="U70" s="254" t="str">
        <f>IF('RELACIÓN DE FACTURAS'!X74="","",'RELACIÓN DE FACTURAS'!X74)</f>
        <v/>
      </c>
      <c r="V70" s="255" t="str">
        <f>IF('RELACIÓN DE FACTURAS'!Y74="","",'RELACIÓN DE FACTURAS'!Y74)</f>
        <v/>
      </c>
      <c r="W70" s="256"/>
      <c r="X70" s="277" t="str">
        <f t="shared" si="11"/>
        <v/>
      </c>
      <c r="Y70" s="257"/>
    </row>
    <row r="71" spans="2:25" ht="39.950000000000003" customHeight="1" x14ac:dyDescent="0.2">
      <c r="B71" s="120">
        <f>IF(Y71&lt;&gt;"",MAX($B$5:B70)+1,0)</f>
        <v>0</v>
      </c>
      <c r="C71" s="122">
        <v>67</v>
      </c>
      <c r="D71" s="241" t="str">
        <f>IF('RELACIÓN DE FACTURAS'!O75="","",'RELACIÓN DE FACTURAS'!O75)</f>
        <v/>
      </c>
      <c r="E71" s="242" t="str">
        <f>IF(D71="SEGUNDO PAGO O POSTERIORES",E70,IF('RELACIÓN DE FACTURAS'!P75="","",'RELACIÓN DE FACTURAS'!P75))</f>
        <v/>
      </c>
      <c r="F71" s="243" t="str">
        <f>IF(D71="SEGUNDO PAGO O POSTERIORES",F70,IF('RELACIÓN DE FACTURAS'!R75="","",'RELACIÓN DE FACTURAS'!R75))</f>
        <v/>
      </c>
      <c r="G71" s="244" t="str">
        <f>IF(D71="","",IF(AND(D71="NUEVA FACTURA",'RELACIÓN DE FACTURAS'!Q75=""),"",IF(AND(D71="NUEVA FACTURA",'RELACIÓN DE FACTURAS'!Q75&lt;&gt;""),'RELACIÓN DE FACTURAS'!Q75,IF(D71="SEGUNDO PAGO O POSTERIORES",G70,""))))</f>
        <v/>
      </c>
      <c r="H71" s="245"/>
      <c r="I71" s="246" t="str">
        <f>IF(D71="","",IF(J71="","REVISAR",IF(OR(J71&lt;EXPEDIENTE!$I$25,J71&gt;EXPEDIENTE!$I$27),"SI","NO")))</f>
        <v/>
      </c>
      <c r="J71" s="247" t="str">
        <f t="shared" si="8"/>
        <v/>
      </c>
      <c r="K71" s="244" t="str">
        <f>IF(D71="","",IF('RELACIÓN DE FACTURAS'!AF75="","",'RELACIÓN DE FACTURAS'!AF75))</f>
        <v/>
      </c>
      <c r="L71" s="245"/>
      <c r="M71" s="246" t="str">
        <f>IF(D71="","",IF(N71="","REVISAR",IF(OR(N71&lt;EXPEDIENTE!$I$25,N71&gt;EXPEDIENTE!$I$29),"SI","NO")))</f>
        <v/>
      </c>
      <c r="N71" s="248" t="str">
        <f t="shared" si="9"/>
        <v/>
      </c>
      <c r="O71" s="249">
        <f>IF(N71&lt;EXPEDIENTE!$I$25,-1,IF(N71&gt;EXPEDIENTE!$I$29,1,0))</f>
        <v>0</v>
      </c>
      <c r="P71" s="250" t="str">
        <f t="shared" si="10"/>
        <v/>
      </c>
      <c r="Q71" s="245"/>
      <c r="R71" s="251"/>
      <c r="S71" s="252" t="str">
        <f>IF(OR(Q71="",R71=""),"",IF(Q71&gt;EXPEDIENTE!$I$27,"",MIN(DATE(YEAR(Q71),MONTH(Q71),DAY(Q71)+R71),EXPEDIENTE!$I$29)))</f>
        <v/>
      </c>
      <c r="T71" s="253" t="str">
        <f>IF(D71="","",IF(AND(P71="NO",Q71="",S71=""),"NO",IF(Q71&gt;EXPEDIENTE!$I$27,"ENTREGA FUERA PLAZO",IF(OR(Q71="",R71=""),"PDTE",IF(S71&lt;N71,"SI","NO")))))</f>
        <v/>
      </c>
      <c r="U71" s="254" t="str">
        <f>IF('RELACIÓN DE FACTURAS'!X75="","",'RELACIÓN DE FACTURAS'!X75)</f>
        <v/>
      </c>
      <c r="V71" s="255" t="str">
        <f>IF('RELACIÓN DE FACTURAS'!Y75="","",'RELACIÓN DE FACTURAS'!Y75)</f>
        <v/>
      </c>
      <c r="W71" s="256"/>
      <c r="X71" s="277" t="str">
        <f t="shared" si="11"/>
        <v/>
      </c>
      <c r="Y71" s="257"/>
    </row>
    <row r="72" spans="2:25" ht="39.950000000000003" customHeight="1" x14ac:dyDescent="0.2">
      <c r="B72" s="120">
        <f>IF(Y72&lt;&gt;"",MAX($B$5:B71)+1,0)</f>
        <v>0</v>
      </c>
      <c r="C72" s="122">
        <v>68</v>
      </c>
      <c r="D72" s="241" t="str">
        <f>IF('RELACIÓN DE FACTURAS'!O76="","",'RELACIÓN DE FACTURAS'!O76)</f>
        <v/>
      </c>
      <c r="E72" s="242" t="str">
        <f>IF(D72="SEGUNDO PAGO O POSTERIORES",E71,IF('RELACIÓN DE FACTURAS'!P76="","",'RELACIÓN DE FACTURAS'!P76))</f>
        <v/>
      </c>
      <c r="F72" s="243" t="str">
        <f>IF(D72="SEGUNDO PAGO O POSTERIORES",F71,IF('RELACIÓN DE FACTURAS'!R76="","",'RELACIÓN DE FACTURAS'!R76))</f>
        <v/>
      </c>
      <c r="G72" s="244" t="str">
        <f>IF(D72="","",IF(AND(D72="NUEVA FACTURA",'RELACIÓN DE FACTURAS'!Q76=""),"",IF(AND(D72="NUEVA FACTURA",'RELACIÓN DE FACTURAS'!Q76&lt;&gt;""),'RELACIÓN DE FACTURAS'!Q76,IF(D72="SEGUNDO PAGO O POSTERIORES",G71,""))))</f>
        <v/>
      </c>
      <c r="H72" s="245"/>
      <c r="I72" s="246" t="str">
        <f>IF(D72="","",IF(J72="","REVISAR",IF(OR(J72&lt;EXPEDIENTE!$I$25,J72&gt;EXPEDIENTE!$I$27),"SI","NO")))</f>
        <v/>
      </c>
      <c r="J72" s="247" t="str">
        <f t="shared" si="8"/>
        <v/>
      </c>
      <c r="K72" s="244" t="str">
        <f>IF(D72="","",IF('RELACIÓN DE FACTURAS'!AF76="","",'RELACIÓN DE FACTURAS'!AF76))</f>
        <v/>
      </c>
      <c r="L72" s="245"/>
      <c r="M72" s="246" t="str">
        <f>IF(D72="","",IF(N72="","REVISAR",IF(OR(N72&lt;EXPEDIENTE!$I$25,N72&gt;EXPEDIENTE!$I$29),"SI","NO")))</f>
        <v/>
      </c>
      <c r="N72" s="248" t="str">
        <f t="shared" si="9"/>
        <v/>
      </c>
      <c r="O72" s="249">
        <f>IF(N72&lt;EXPEDIENTE!$I$25,-1,IF(N72&gt;EXPEDIENTE!$I$29,1,0))</f>
        <v>0</v>
      </c>
      <c r="P72" s="250" t="str">
        <f t="shared" si="10"/>
        <v/>
      </c>
      <c r="Q72" s="245"/>
      <c r="R72" s="251"/>
      <c r="S72" s="252" t="str">
        <f>IF(OR(Q72="",R72=""),"",IF(Q72&gt;EXPEDIENTE!$I$27,"",MIN(DATE(YEAR(Q72),MONTH(Q72),DAY(Q72)+R72),EXPEDIENTE!$I$29)))</f>
        <v/>
      </c>
      <c r="T72" s="253" t="str">
        <f>IF(D72="","",IF(AND(P72="NO",Q72="",S72=""),"NO",IF(Q72&gt;EXPEDIENTE!$I$27,"ENTREGA FUERA PLAZO",IF(OR(Q72="",R72=""),"PDTE",IF(S72&lt;N72,"SI","NO")))))</f>
        <v/>
      </c>
      <c r="U72" s="254" t="str">
        <f>IF('RELACIÓN DE FACTURAS'!X76="","",'RELACIÓN DE FACTURAS'!X76)</f>
        <v/>
      </c>
      <c r="V72" s="255" t="str">
        <f>IF('RELACIÓN DE FACTURAS'!Y76="","",'RELACIÓN DE FACTURAS'!Y76)</f>
        <v/>
      </c>
      <c r="W72" s="256"/>
      <c r="X72" s="277" t="str">
        <f t="shared" si="11"/>
        <v/>
      </c>
      <c r="Y72" s="257"/>
    </row>
    <row r="73" spans="2:25" ht="39.950000000000003" customHeight="1" x14ac:dyDescent="0.2">
      <c r="B73" s="120">
        <f>IF(Y73&lt;&gt;"",MAX($B$5:B72)+1,0)</f>
        <v>0</v>
      </c>
      <c r="C73" s="122">
        <v>69</v>
      </c>
      <c r="D73" s="241" t="str">
        <f>IF('RELACIÓN DE FACTURAS'!O77="","",'RELACIÓN DE FACTURAS'!O77)</f>
        <v/>
      </c>
      <c r="E73" s="242" t="str">
        <f>IF(D73="SEGUNDO PAGO O POSTERIORES",E72,IF('RELACIÓN DE FACTURAS'!P77="","",'RELACIÓN DE FACTURAS'!P77))</f>
        <v/>
      </c>
      <c r="F73" s="243" t="str">
        <f>IF(D73="SEGUNDO PAGO O POSTERIORES",F72,IF('RELACIÓN DE FACTURAS'!R77="","",'RELACIÓN DE FACTURAS'!R77))</f>
        <v/>
      </c>
      <c r="G73" s="244" t="str">
        <f>IF(D73="","",IF(AND(D73="NUEVA FACTURA",'RELACIÓN DE FACTURAS'!Q77=""),"",IF(AND(D73="NUEVA FACTURA",'RELACIÓN DE FACTURAS'!Q77&lt;&gt;""),'RELACIÓN DE FACTURAS'!Q77,IF(D73="SEGUNDO PAGO O POSTERIORES",G72,""))))</f>
        <v/>
      </c>
      <c r="H73" s="245"/>
      <c r="I73" s="246" t="str">
        <f>IF(D73="","",IF(J73="","REVISAR",IF(OR(J73&lt;EXPEDIENTE!$I$25,J73&gt;EXPEDIENTE!$I$27),"SI","NO")))</f>
        <v/>
      </c>
      <c r="J73" s="247" t="str">
        <f t="shared" si="8"/>
        <v/>
      </c>
      <c r="K73" s="244" t="str">
        <f>IF(D73="","",IF('RELACIÓN DE FACTURAS'!AF77="","",'RELACIÓN DE FACTURAS'!AF77))</f>
        <v/>
      </c>
      <c r="L73" s="245"/>
      <c r="M73" s="246" t="str">
        <f>IF(D73="","",IF(N73="","REVISAR",IF(OR(N73&lt;EXPEDIENTE!$I$25,N73&gt;EXPEDIENTE!$I$29),"SI","NO")))</f>
        <v/>
      </c>
      <c r="N73" s="248" t="str">
        <f t="shared" si="9"/>
        <v/>
      </c>
      <c r="O73" s="249">
        <f>IF(N73&lt;EXPEDIENTE!$I$25,-1,IF(N73&gt;EXPEDIENTE!$I$29,1,0))</f>
        <v>0</v>
      </c>
      <c r="P73" s="250" t="str">
        <f t="shared" si="10"/>
        <v/>
      </c>
      <c r="Q73" s="245"/>
      <c r="R73" s="251"/>
      <c r="S73" s="252" t="str">
        <f>IF(OR(Q73="",R73=""),"",IF(Q73&gt;EXPEDIENTE!$I$27,"",MIN(DATE(YEAR(Q73),MONTH(Q73),DAY(Q73)+R73),EXPEDIENTE!$I$29)))</f>
        <v/>
      </c>
      <c r="T73" s="253" t="str">
        <f>IF(D73="","",IF(AND(P73="NO",Q73="",S73=""),"NO",IF(Q73&gt;EXPEDIENTE!$I$27,"ENTREGA FUERA PLAZO",IF(OR(Q73="",R73=""),"PDTE",IF(S73&lt;N73,"SI","NO")))))</f>
        <v/>
      </c>
      <c r="U73" s="254" t="str">
        <f>IF('RELACIÓN DE FACTURAS'!X77="","",'RELACIÓN DE FACTURAS'!X77)</f>
        <v/>
      </c>
      <c r="V73" s="255" t="str">
        <f>IF('RELACIÓN DE FACTURAS'!Y77="","",'RELACIÓN DE FACTURAS'!Y77)</f>
        <v/>
      </c>
      <c r="W73" s="256"/>
      <c r="X73" s="277" t="str">
        <f t="shared" si="11"/>
        <v/>
      </c>
      <c r="Y73" s="257"/>
    </row>
    <row r="74" spans="2:25" ht="39.950000000000003" customHeight="1" x14ac:dyDescent="0.2">
      <c r="B74" s="120">
        <f>IF(Y74&lt;&gt;"",MAX($B$5:B73)+1,0)</f>
        <v>0</v>
      </c>
      <c r="C74" s="122">
        <v>70</v>
      </c>
      <c r="D74" s="241" t="str">
        <f>IF('RELACIÓN DE FACTURAS'!O78="","",'RELACIÓN DE FACTURAS'!O78)</f>
        <v/>
      </c>
      <c r="E74" s="242" t="str">
        <f>IF(D74="SEGUNDO PAGO O POSTERIORES",E73,IF('RELACIÓN DE FACTURAS'!P78="","",'RELACIÓN DE FACTURAS'!P78))</f>
        <v/>
      </c>
      <c r="F74" s="243" t="str">
        <f>IF(D74="SEGUNDO PAGO O POSTERIORES",F73,IF('RELACIÓN DE FACTURAS'!R78="","",'RELACIÓN DE FACTURAS'!R78))</f>
        <v/>
      </c>
      <c r="G74" s="244" t="str">
        <f>IF(D74="","",IF(AND(D74="NUEVA FACTURA",'RELACIÓN DE FACTURAS'!Q78=""),"",IF(AND(D74="NUEVA FACTURA",'RELACIÓN DE FACTURAS'!Q78&lt;&gt;""),'RELACIÓN DE FACTURAS'!Q78,IF(D74="SEGUNDO PAGO O POSTERIORES",G73,""))))</f>
        <v/>
      </c>
      <c r="H74" s="245"/>
      <c r="I74" s="246" t="str">
        <f>IF(D74="","",IF(J74="","REVISAR",IF(OR(J74&lt;EXPEDIENTE!$I$25,J74&gt;EXPEDIENTE!$I$27),"SI","NO")))</f>
        <v/>
      </c>
      <c r="J74" s="247" t="str">
        <f t="shared" si="8"/>
        <v/>
      </c>
      <c r="K74" s="244" t="str">
        <f>IF(D74="","",IF('RELACIÓN DE FACTURAS'!AF78="","",'RELACIÓN DE FACTURAS'!AF78))</f>
        <v/>
      </c>
      <c r="L74" s="245"/>
      <c r="M74" s="246" t="str">
        <f>IF(D74="","",IF(N74="","REVISAR",IF(OR(N74&lt;EXPEDIENTE!$I$25,N74&gt;EXPEDIENTE!$I$29),"SI","NO")))</f>
        <v/>
      </c>
      <c r="N74" s="248" t="str">
        <f t="shared" si="9"/>
        <v/>
      </c>
      <c r="O74" s="249">
        <f>IF(N74&lt;EXPEDIENTE!$I$25,-1,IF(N74&gt;EXPEDIENTE!$I$29,1,0))</f>
        <v>0</v>
      </c>
      <c r="P74" s="250" t="str">
        <f t="shared" si="10"/>
        <v/>
      </c>
      <c r="Q74" s="245"/>
      <c r="R74" s="251"/>
      <c r="S74" s="252" t="str">
        <f>IF(OR(Q74="",R74=""),"",IF(Q74&gt;EXPEDIENTE!$I$27,"",MIN(DATE(YEAR(Q74),MONTH(Q74),DAY(Q74)+R74),EXPEDIENTE!$I$29)))</f>
        <v/>
      </c>
      <c r="T74" s="253" t="str">
        <f>IF(D74="","",IF(AND(P74="NO",Q74="",S74=""),"NO",IF(Q74&gt;EXPEDIENTE!$I$27,"ENTREGA FUERA PLAZO",IF(OR(Q74="",R74=""),"PDTE",IF(S74&lt;N74,"SI","NO")))))</f>
        <v/>
      </c>
      <c r="U74" s="254" t="str">
        <f>IF('RELACIÓN DE FACTURAS'!X78="","",'RELACIÓN DE FACTURAS'!X78)</f>
        <v/>
      </c>
      <c r="V74" s="255" t="str">
        <f>IF('RELACIÓN DE FACTURAS'!Y78="","",'RELACIÓN DE FACTURAS'!Y78)</f>
        <v/>
      </c>
      <c r="W74" s="256"/>
      <c r="X74" s="277" t="str">
        <f t="shared" si="11"/>
        <v/>
      </c>
      <c r="Y74" s="257"/>
    </row>
    <row r="75" spans="2:25" ht="39.950000000000003" customHeight="1" x14ac:dyDescent="0.2">
      <c r="B75" s="120">
        <f>IF(Y75&lt;&gt;"",MAX($B$5:B74)+1,0)</f>
        <v>0</v>
      </c>
      <c r="C75" s="122">
        <v>71</v>
      </c>
      <c r="D75" s="241" t="str">
        <f>IF('RELACIÓN DE FACTURAS'!O79="","",'RELACIÓN DE FACTURAS'!O79)</f>
        <v/>
      </c>
      <c r="E75" s="242" t="str">
        <f>IF(D75="SEGUNDO PAGO O POSTERIORES",E74,IF('RELACIÓN DE FACTURAS'!P79="","",'RELACIÓN DE FACTURAS'!P79))</f>
        <v/>
      </c>
      <c r="F75" s="243" t="str">
        <f>IF(D75="SEGUNDO PAGO O POSTERIORES",F74,IF('RELACIÓN DE FACTURAS'!R79="","",'RELACIÓN DE FACTURAS'!R79))</f>
        <v/>
      </c>
      <c r="G75" s="244" t="str">
        <f>IF(D75="","",IF(AND(D75="NUEVA FACTURA",'RELACIÓN DE FACTURAS'!Q79=""),"",IF(AND(D75="NUEVA FACTURA",'RELACIÓN DE FACTURAS'!Q79&lt;&gt;""),'RELACIÓN DE FACTURAS'!Q79,IF(D75="SEGUNDO PAGO O POSTERIORES",G74,""))))</f>
        <v/>
      </c>
      <c r="H75" s="245"/>
      <c r="I75" s="246" t="str">
        <f>IF(D75="","",IF(J75="","REVISAR",IF(OR(J75&lt;EXPEDIENTE!$I$25,J75&gt;EXPEDIENTE!$I$27),"SI","NO")))</f>
        <v/>
      </c>
      <c r="J75" s="247" t="str">
        <f t="shared" si="8"/>
        <v/>
      </c>
      <c r="K75" s="244" t="str">
        <f>IF(D75="","",IF('RELACIÓN DE FACTURAS'!AF79="","",'RELACIÓN DE FACTURAS'!AF79))</f>
        <v/>
      </c>
      <c r="L75" s="245"/>
      <c r="M75" s="246" t="str">
        <f>IF(D75="","",IF(N75="","REVISAR",IF(OR(N75&lt;EXPEDIENTE!$I$25,N75&gt;EXPEDIENTE!$I$29),"SI","NO")))</f>
        <v/>
      </c>
      <c r="N75" s="248" t="str">
        <f t="shared" si="9"/>
        <v/>
      </c>
      <c r="O75" s="249">
        <f>IF(N75&lt;EXPEDIENTE!$I$25,-1,IF(N75&gt;EXPEDIENTE!$I$29,1,0))</f>
        <v>0</v>
      </c>
      <c r="P75" s="250" t="str">
        <f t="shared" si="10"/>
        <v/>
      </c>
      <c r="Q75" s="245"/>
      <c r="R75" s="251"/>
      <c r="S75" s="252" t="str">
        <f>IF(OR(Q75="",R75=""),"",IF(Q75&gt;EXPEDIENTE!$I$27,"",MIN(DATE(YEAR(Q75),MONTH(Q75),DAY(Q75)+R75),EXPEDIENTE!$I$29)))</f>
        <v/>
      </c>
      <c r="T75" s="253" t="str">
        <f>IF(D75="","",IF(AND(P75="NO",Q75="",S75=""),"NO",IF(Q75&gt;EXPEDIENTE!$I$27,"ENTREGA FUERA PLAZO",IF(OR(Q75="",R75=""),"PDTE",IF(S75&lt;N75,"SI","NO")))))</f>
        <v/>
      </c>
      <c r="U75" s="254" t="str">
        <f>IF('RELACIÓN DE FACTURAS'!X79="","",'RELACIÓN DE FACTURAS'!X79)</f>
        <v/>
      </c>
      <c r="V75" s="255" t="str">
        <f>IF('RELACIÓN DE FACTURAS'!Y79="","",'RELACIÓN DE FACTURAS'!Y79)</f>
        <v/>
      </c>
      <c r="W75" s="256"/>
      <c r="X75" s="277" t="str">
        <f t="shared" si="11"/>
        <v/>
      </c>
      <c r="Y75" s="257"/>
    </row>
    <row r="76" spans="2:25" ht="39.950000000000003" customHeight="1" x14ac:dyDescent="0.2">
      <c r="B76" s="120">
        <f>IF(Y76&lt;&gt;"",MAX($B$5:B75)+1,0)</f>
        <v>0</v>
      </c>
      <c r="C76" s="122">
        <v>72</v>
      </c>
      <c r="D76" s="241" t="str">
        <f>IF('RELACIÓN DE FACTURAS'!O80="","",'RELACIÓN DE FACTURAS'!O80)</f>
        <v/>
      </c>
      <c r="E76" s="242" t="str">
        <f>IF(D76="SEGUNDO PAGO O POSTERIORES",E75,IF('RELACIÓN DE FACTURAS'!P80="","",'RELACIÓN DE FACTURAS'!P80))</f>
        <v/>
      </c>
      <c r="F76" s="243" t="str">
        <f>IF(D76="SEGUNDO PAGO O POSTERIORES",F75,IF('RELACIÓN DE FACTURAS'!R80="","",'RELACIÓN DE FACTURAS'!R80))</f>
        <v/>
      </c>
      <c r="G76" s="244" t="str">
        <f>IF(D76="","",IF(AND(D76="NUEVA FACTURA",'RELACIÓN DE FACTURAS'!Q80=""),"",IF(AND(D76="NUEVA FACTURA",'RELACIÓN DE FACTURAS'!Q80&lt;&gt;""),'RELACIÓN DE FACTURAS'!Q80,IF(D76="SEGUNDO PAGO O POSTERIORES",G75,""))))</f>
        <v/>
      </c>
      <c r="H76" s="245"/>
      <c r="I76" s="246" t="str">
        <f>IF(D76="","",IF(J76="","REVISAR",IF(OR(J76&lt;EXPEDIENTE!$I$25,J76&gt;EXPEDIENTE!$I$27),"SI","NO")))</f>
        <v/>
      </c>
      <c r="J76" s="247" t="str">
        <f t="shared" si="8"/>
        <v/>
      </c>
      <c r="K76" s="244" t="str">
        <f>IF(D76="","",IF('RELACIÓN DE FACTURAS'!AF80="","",'RELACIÓN DE FACTURAS'!AF80))</f>
        <v/>
      </c>
      <c r="L76" s="245"/>
      <c r="M76" s="246" t="str">
        <f>IF(D76="","",IF(N76="","REVISAR",IF(OR(N76&lt;EXPEDIENTE!$I$25,N76&gt;EXPEDIENTE!$I$29),"SI","NO")))</f>
        <v/>
      </c>
      <c r="N76" s="248" t="str">
        <f t="shared" si="9"/>
        <v/>
      </c>
      <c r="O76" s="249">
        <f>IF(N76&lt;EXPEDIENTE!$I$25,-1,IF(N76&gt;EXPEDIENTE!$I$29,1,0))</f>
        <v>0</v>
      </c>
      <c r="P76" s="250" t="str">
        <f t="shared" si="10"/>
        <v/>
      </c>
      <c r="Q76" s="245"/>
      <c r="R76" s="251"/>
      <c r="S76" s="252" t="str">
        <f>IF(OR(Q76="",R76=""),"",IF(Q76&gt;EXPEDIENTE!$I$27,"",MIN(DATE(YEAR(Q76),MONTH(Q76),DAY(Q76)+R76),EXPEDIENTE!$I$29)))</f>
        <v/>
      </c>
      <c r="T76" s="253" t="str">
        <f>IF(D76="","",IF(AND(P76="NO",Q76="",S76=""),"NO",IF(Q76&gt;EXPEDIENTE!$I$27,"ENTREGA FUERA PLAZO",IF(OR(Q76="",R76=""),"PDTE",IF(S76&lt;N76,"SI","NO")))))</f>
        <v/>
      </c>
      <c r="U76" s="254" t="str">
        <f>IF('RELACIÓN DE FACTURAS'!X80="","",'RELACIÓN DE FACTURAS'!X80)</f>
        <v/>
      </c>
      <c r="V76" s="255" t="str">
        <f>IF('RELACIÓN DE FACTURAS'!Y80="","",'RELACIÓN DE FACTURAS'!Y80)</f>
        <v/>
      </c>
      <c r="W76" s="256"/>
      <c r="X76" s="277" t="str">
        <f t="shared" si="11"/>
        <v/>
      </c>
      <c r="Y76" s="257"/>
    </row>
    <row r="77" spans="2:25" ht="39.950000000000003" customHeight="1" x14ac:dyDescent="0.2">
      <c r="B77" s="120">
        <f>IF(Y77&lt;&gt;"",MAX($B$5:B76)+1,0)</f>
        <v>0</v>
      </c>
      <c r="C77" s="122">
        <v>73</v>
      </c>
      <c r="D77" s="241" t="str">
        <f>IF('RELACIÓN DE FACTURAS'!O81="","",'RELACIÓN DE FACTURAS'!O81)</f>
        <v/>
      </c>
      <c r="E77" s="242" t="str">
        <f>IF(D77="SEGUNDO PAGO O POSTERIORES",E76,IF('RELACIÓN DE FACTURAS'!P81="","",'RELACIÓN DE FACTURAS'!P81))</f>
        <v/>
      </c>
      <c r="F77" s="243" t="str">
        <f>IF(D77="SEGUNDO PAGO O POSTERIORES",F76,IF('RELACIÓN DE FACTURAS'!R81="","",'RELACIÓN DE FACTURAS'!R81))</f>
        <v/>
      </c>
      <c r="G77" s="244" t="str">
        <f>IF(D77="","",IF(AND(D77="NUEVA FACTURA",'RELACIÓN DE FACTURAS'!Q81=""),"",IF(AND(D77="NUEVA FACTURA",'RELACIÓN DE FACTURAS'!Q81&lt;&gt;""),'RELACIÓN DE FACTURAS'!Q81,IF(D77="SEGUNDO PAGO O POSTERIORES",G76,""))))</f>
        <v/>
      </c>
      <c r="H77" s="245"/>
      <c r="I77" s="246" t="str">
        <f>IF(D77="","",IF(J77="","REVISAR",IF(OR(J77&lt;EXPEDIENTE!$I$25,J77&gt;EXPEDIENTE!$I$27),"SI","NO")))</f>
        <v/>
      </c>
      <c r="J77" s="247" t="str">
        <f t="shared" si="8"/>
        <v/>
      </c>
      <c r="K77" s="244" t="str">
        <f>IF(D77="","",IF('RELACIÓN DE FACTURAS'!AF81="","",'RELACIÓN DE FACTURAS'!AF81))</f>
        <v/>
      </c>
      <c r="L77" s="245"/>
      <c r="M77" s="246" t="str">
        <f>IF(D77="","",IF(N77="","REVISAR",IF(OR(N77&lt;EXPEDIENTE!$I$25,N77&gt;EXPEDIENTE!$I$29),"SI","NO")))</f>
        <v/>
      </c>
      <c r="N77" s="248" t="str">
        <f t="shared" si="9"/>
        <v/>
      </c>
      <c r="O77" s="249">
        <f>IF(N77&lt;EXPEDIENTE!$I$25,-1,IF(N77&gt;EXPEDIENTE!$I$29,1,0))</f>
        <v>0</v>
      </c>
      <c r="P77" s="250" t="str">
        <f t="shared" si="10"/>
        <v/>
      </c>
      <c r="Q77" s="245"/>
      <c r="R77" s="251"/>
      <c r="S77" s="252" t="str">
        <f>IF(OR(Q77="",R77=""),"",IF(Q77&gt;EXPEDIENTE!$I$27,"",MIN(DATE(YEAR(Q77),MONTH(Q77),DAY(Q77)+R77),EXPEDIENTE!$I$29)))</f>
        <v/>
      </c>
      <c r="T77" s="253" t="str">
        <f>IF(D77="","",IF(AND(P77="NO",Q77="",S77=""),"NO",IF(Q77&gt;EXPEDIENTE!$I$27,"ENTREGA FUERA PLAZO",IF(OR(Q77="",R77=""),"PDTE",IF(S77&lt;N77,"SI","NO")))))</f>
        <v/>
      </c>
      <c r="U77" s="254" t="str">
        <f>IF('RELACIÓN DE FACTURAS'!X81="","",'RELACIÓN DE FACTURAS'!X81)</f>
        <v/>
      </c>
      <c r="V77" s="255" t="str">
        <f>IF('RELACIÓN DE FACTURAS'!Y81="","",'RELACIÓN DE FACTURAS'!Y81)</f>
        <v/>
      </c>
      <c r="W77" s="256"/>
      <c r="X77" s="277" t="str">
        <f t="shared" si="11"/>
        <v/>
      </c>
      <c r="Y77" s="257"/>
    </row>
    <row r="78" spans="2:25" ht="39.950000000000003" customHeight="1" x14ac:dyDescent="0.2">
      <c r="B78" s="120">
        <f>IF(Y78&lt;&gt;"",MAX($B$5:B77)+1,0)</f>
        <v>0</v>
      </c>
      <c r="C78" s="122">
        <v>74</v>
      </c>
      <c r="D78" s="241" t="str">
        <f>IF('RELACIÓN DE FACTURAS'!O82="","",'RELACIÓN DE FACTURAS'!O82)</f>
        <v/>
      </c>
      <c r="E78" s="242" t="str">
        <f>IF(D78="SEGUNDO PAGO O POSTERIORES",E77,IF('RELACIÓN DE FACTURAS'!P82="","",'RELACIÓN DE FACTURAS'!P82))</f>
        <v/>
      </c>
      <c r="F78" s="243" t="str">
        <f>IF(D78="SEGUNDO PAGO O POSTERIORES",F77,IF('RELACIÓN DE FACTURAS'!R82="","",'RELACIÓN DE FACTURAS'!R82))</f>
        <v/>
      </c>
      <c r="G78" s="244" t="str">
        <f>IF(D78="","",IF(AND(D78="NUEVA FACTURA",'RELACIÓN DE FACTURAS'!Q82=""),"",IF(AND(D78="NUEVA FACTURA",'RELACIÓN DE FACTURAS'!Q82&lt;&gt;""),'RELACIÓN DE FACTURAS'!Q82,IF(D78="SEGUNDO PAGO O POSTERIORES",G77,""))))</f>
        <v/>
      </c>
      <c r="H78" s="245"/>
      <c r="I78" s="246" t="str">
        <f>IF(D78="","",IF(J78="","REVISAR",IF(OR(J78&lt;EXPEDIENTE!$I$25,J78&gt;EXPEDIENTE!$I$27),"SI","NO")))</f>
        <v/>
      </c>
      <c r="J78" s="247" t="str">
        <f t="shared" si="8"/>
        <v/>
      </c>
      <c r="K78" s="244" t="str">
        <f>IF(D78="","",IF('RELACIÓN DE FACTURAS'!AF82="","",'RELACIÓN DE FACTURAS'!AF82))</f>
        <v/>
      </c>
      <c r="L78" s="245"/>
      <c r="M78" s="246" t="str">
        <f>IF(D78="","",IF(N78="","REVISAR",IF(OR(N78&lt;EXPEDIENTE!$I$25,N78&gt;EXPEDIENTE!$I$29),"SI","NO")))</f>
        <v/>
      </c>
      <c r="N78" s="248" t="str">
        <f t="shared" si="9"/>
        <v/>
      </c>
      <c r="O78" s="249">
        <f>IF(N78&lt;EXPEDIENTE!$I$25,-1,IF(N78&gt;EXPEDIENTE!$I$29,1,0))</f>
        <v>0</v>
      </c>
      <c r="P78" s="250" t="str">
        <f t="shared" si="10"/>
        <v/>
      </c>
      <c r="Q78" s="245"/>
      <c r="R78" s="251"/>
      <c r="S78" s="252" t="str">
        <f>IF(OR(Q78="",R78=""),"",IF(Q78&gt;EXPEDIENTE!$I$27,"",MIN(DATE(YEAR(Q78),MONTH(Q78),DAY(Q78)+R78),EXPEDIENTE!$I$29)))</f>
        <v/>
      </c>
      <c r="T78" s="253" t="str">
        <f>IF(D78="","",IF(AND(P78="NO",Q78="",S78=""),"NO",IF(Q78&gt;EXPEDIENTE!$I$27,"ENTREGA FUERA PLAZO",IF(OR(Q78="",R78=""),"PDTE",IF(S78&lt;N78,"SI","NO")))))</f>
        <v/>
      </c>
      <c r="U78" s="254" t="str">
        <f>IF('RELACIÓN DE FACTURAS'!X82="","",'RELACIÓN DE FACTURAS'!X82)</f>
        <v/>
      </c>
      <c r="V78" s="255" t="str">
        <f>IF('RELACIÓN DE FACTURAS'!Y82="","",'RELACIÓN DE FACTURAS'!Y82)</f>
        <v/>
      </c>
      <c r="W78" s="256"/>
      <c r="X78" s="277" t="str">
        <f t="shared" si="11"/>
        <v/>
      </c>
      <c r="Y78" s="257"/>
    </row>
    <row r="79" spans="2:25" ht="39.950000000000003" customHeight="1" thickBot="1" x14ac:dyDescent="0.25">
      <c r="B79" s="120">
        <f>IF(Y79&lt;&gt;"",MAX($B$5:B78)+1,0)</f>
        <v>0</v>
      </c>
      <c r="C79" s="122">
        <v>75</v>
      </c>
      <c r="D79" s="258" t="str">
        <f>IF('RELACIÓN DE FACTURAS'!O83="","",'RELACIÓN DE FACTURAS'!O83)</f>
        <v/>
      </c>
      <c r="E79" s="259" t="str">
        <f>IF(D79="SEGUNDO PAGO O POSTERIORES",E43,IF('RELACIÓN DE FACTURAS'!P83="","",'RELACIÓN DE FACTURAS'!P83))</f>
        <v/>
      </c>
      <c r="F79" s="260" t="str">
        <f>IF(D79="SEGUNDO PAGO O POSTERIORES",F43,IF('RELACIÓN DE FACTURAS'!R83="","",'RELACIÓN DE FACTURAS'!R83))</f>
        <v/>
      </c>
      <c r="G79" s="261" t="str">
        <f>IF(D79="","",IF(AND(D79="NUEVA FACTURA",'RELACIÓN DE FACTURAS'!Q83=""),"",IF(AND(D79="NUEVA FACTURA",'RELACIÓN DE FACTURAS'!Q83&lt;&gt;""),'RELACIÓN DE FACTURAS'!Q83,IF(D79="SEGUNDO PAGO O POSTERIORES",G43,""))))</f>
        <v/>
      </c>
      <c r="H79" s="262"/>
      <c r="I79" s="263" t="str">
        <f>IF(D79="","",IF(J79="","REVISAR",IF(OR(J79&lt;EXPEDIENTE!$I$25,J79&gt;EXPEDIENTE!$I$27),"SI","NO")))</f>
        <v/>
      </c>
      <c r="J79" s="264" t="str">
        <f t="shared" si="4"/>
        <v/>
      </c>
      <c r="K79" s="261" t="str">
        <f>IF(D79="","",IF('RELACIÓN DE FACTURAS'!AF83="","",'RELACIÓN DE FACTURAS'!AF83))</f>
        <v/>
      </c>
      <c r="L79" s="262"/>
      <c r="M79" s="263" t="str">
        <f>IF(D79="","",IF(N79="","REVISAR",IF(OR(N79&lt;EXPEDIENTE!$I$25,N79&gt;EXPEDIENTE!$I$29),"SI","NO")))</f>
        <v/>
      </c>
      <c r="N79" s="265" t="str">
        <f t="shared" si="5"/>
        <v/>
      </c>
      <c r="O79" s="266">
        <f>IF(N79&lt;EXPEDIENTE!$I$25,-1,IF(N79&gt;EXPEDIENTE!$I$29,1,0))</f>
        <v>0</v>
      </c>
      <c r="P79" s="267" t="str">
        <f t="shared" si="6"/>
        <v/>
      </c>
      <c r="Q79" s="262"/>
      <c r="R79" s="268"/>
      <c r="S79" s="269" t="str">
        <f>IF(OR(Q79="",R79=""),"",IF(Q79&gt;EXPEDIENTE!$I$27,"",MIN(DATE(YEAR(Q79),MONTH(Q79),DAY(Q79)+R79),EXPEDIENTE!$I$29)))</f>
        <v/>
      </c>
      <c r="T79" s="270" t="str">
        <f>IF(D79="","",IF(AND(P79="NO",Q79="",S79=""),"NO",IF(Q79&gt;EXPEDIENTE!$I$27,"ENTREGA FUERA PLAZO",IF(OR(Q79="",R79=""),"PDTE",IF(S79&lt;N79,"SI","NO")))))</f>
        <v/>
      </c>
      <c r="U79" s="271" t="str">
        <f>IF('RELACIÓN DE FACTURAS'!X83="","",'RELACIÓN DE FACTURAS'!X83)</f>
        <v/>
      </c>
      <c r="V79" s="272" t="str">
        <f>IF('RELACIÓN DE FACTURAS'!Y83="","",'RELACIÓN DE FACTURAS'!Y83)</f>
        <v/>
      </c>
      <c r="W79" s="273"/>
      <c r="X79" s="278" t="str">
        <f t="shared" si="7"/>
        <v/>
      </c>
      <c r="Y79" s="274"/>
    </row>
    <row r="80" spans="2:25" x14ac:dyDescent="0.2">
      <c r="G80" s="124"/>
      <c r="H80" s="124"/>
      <c r="J80" s="124"/>
      <c r="K80" s="124"/>
      <c r="L80" s="124"/>
      <c r="N80" s="124"/>
      <c r="O80" s="124"/>
    </row>
    <row r="81" spans="21:22" x14ac:dyDescent="0.2">
      <c r="U81" s="275">
        <f>SUM(U5:U79)</f>
        <v>0</v>
      </c>
      <c r="V81" s="275">
        <f>SUM(V5:V79)</f>
        <v>0</v>
      </c>
    </row>
  </sheetData>
  <sheetProtection algorithmName="SHA-512" hashValue="ixQIvFcIkRew4FzHRulxmuvsAA6gtRBdgUjS7CzDZVhmEDRXSZU0wC8jroKAy28OgglHr7kgHFOGS+od3t0IRg==" saltValue="4vbqQwR+8BdDo5YBejvVaQ=="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disablePrompts="1"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41" t="s">
        <v>158</v>
      </c>
      <c r="D2" s="442"/>
    </row>
    <row r="3" spans="2:5" ht="26.25" customHeight="1" x14ac:dyDescent="0.2">
      <c r="C3" s="279" t="s">
        <v>159</v>
      </c>
      <c r="D3" s="280">
        <f>'RELACIÓN DE FACTURAS'!X84</f>
        <v>0</v>
      </c>
    </row>
    <row r="4" spans="2:5" ht="26.25" customHeight="1" x14ac:dyDescent="0.2">
      <c r="C4" s="281" t="s">
        <v>160</v>
      </c>
      <c r="D4" s="282">
        <f>PAGOS!V81</f>
        <v>0</v>
      </c>
    </row>
    <row r="5" spans="2:5" ht="15.75" thickBot="1" x14ac:dyDescent="0.25"/>
    <row r="6" spans="2:5" ht="15" customHeight="1" thickBot="1" x14ac:dyDescent="0.25">
      <c r="C6" s="441" t="s">
        <v>85</v>
      </c>
      <c r="D6" s="442"/>
    </row>
    <row r="7" spans="2:5" ht="26.25" customHeight="1" x14ac:dyDescent="0.2">
      <c r="C7" s="283" t="s">
        <v>86</v>
      </c>
      <c r="D7" s="284" t="str">
        <f>IF(MIN(PAGOS!$N$5:$N$79)=0,"",MIN(PAGOS!$N$5:$N$79))</f>
        <v/>
      </c>
    </row>
    <row r="8" spans="2:5" ht="26.25" customHeight="1" x14ac:dyDescent="0.2">
      <c r="C8" s="285" t="s">
        <v>87</v>
      </c>
      <c r="D8" s="245" t="str">
        <f>IF(MAX(PAGOS!$N$5:$N$79)=0,"",MAX(PAGOS!$N$5:$N$79))</f>
        <v/>
      </c>
    </row>
    <row r="9" spans="2:5" ht="30" customHeight="1" x14ac:dyDescent="0.2">
      <c r="C9" s="286" t="s">
        <v>88</v>
      </c>
      <c r="D9" s="245" t="str">
        <f>IF(_xlfn.MINIFS(PAGOS!N5:N79,PAGOS!O5:O79,0)=0,"",_xlfn.MINIFS(PAGOS!N5:N79,PAGOS!O5:O79,0))</f>
        <v/>
      </c>
    </row>
    <row r="10" spans="2:5" ht="30" customHeight="1" x14ac:dyDescent="0.2">
      <c r="C10" s="286" t="s">
        <v>89</v>
      </c>
      <c r="D10" s="245" t="str">
        <f>IF(_xlfn.MAXIFS(PAGOS!N5:N79,PAGOS!O5:O79,0)=0,"",_xlfn.MAXIFS(PAGOS!N5:N79,PAGOS!O5:O79,0))</f>
        <v/>
      </c>
    </row>
    <row r="11" spans="2:5" ht="15.75" thickBot="1" x14ac:dyDescent="0.25"/>
    <row r="12" spans="2:5" s="143" customFormat="1" ht="20.100000000000001" customHeight="1" thickBot="1" x14ac:dyDescent="0.25">
      <c r="C12" s="287" t="s">
        <v>47</v>
      </c>
      <c r="D12" s="288" t="s">
        <v>1</v>
      </c>
      <c r="E12" s="289" t="s">
        <v>7</v>
      </c>
    </row>
    <row r="13" spans="2:5" ht="24.95" customHeight="1" x14ac:dyDescent="0.2">
      <c r="B13" s="120">
        <v>1</v>
      </c>
      <c r="C13" s="290" t="str">
        <f>IFERROR(VLOOKUP($B13,PAGOS!$B$5:$Y$79,4,0),"")</f>
        <v/>
      </c>
      <c r="D13" s="291" t="str">
        <f>IFERROR(VLOOKUP($B13,PAGOS!$B$5:$Y$79,5,0),"")</f>
        <v/>
      </c>
      <c r="E13" s="291" t="str">
        <f>IFERROR(VLOOKUP($B13,PAGOS!$B$5:$Y$79,24,0),"")</f>
        <v/>
      </c>
    </row>
    <row r="14" spans="2:5" ht="24.95" customHeight="1" x14ac:dyDescent="0.2">
      <c r="B14" s="120">
        <v>2</v>
      </c>
      <c r="C14" s="292" t="str">
        <f>IFERROR(VLOOKUP($B14,PAGOS!$B$5:$Y$79,4,0),"")</f>
        <v/>
      </c>
      <c r="D14" s="293" t="str">
        <f>IFERROR(VLOOKUP($B14,PAGOS!$B$5:$Y$79,5,0),"")</f>
        <v/>
      </c>
      <c r="E14" s="293" t="str">
        <f>IFERROR(VLOOKUP($B14,PAGOS!$B$5:$Y$79,24,0),"")</f>
        <v/>
      </c>
    </row>
    <row r="15" spans="2:5" ht="24.95" customHeight="1" x14ac:dyDescent="0.2">
      <c r="B15" s="120">
        <v>3</v>
      </c>
      <c r="C15" s="292" t="str">
        <f>IFERROR(VLOOKUP($B15,PAGOS!$B$5:$Y$79,4,0),"")</f>
        <v/>
      </c>
      <c r="D15" s="293" t="str">
        <f>IFERROR(VLOOKUP($B15,PAGOS!$B$5:$Y$79,5,0),"")</f>
        <v/>
      </c>
      <c r="E15" s="293" t="str">
        <f>IFERROR(VLOOKUP($B15,PAGOS!$B$5:$Y$79,24,0),"")</f>
        <v/>
      </c>
    </row>
    <row r="16" spans="2:5" ht="24.95" customHeight="1" x14ac:dyDescent="0.2">
      <c r="B16" s="120">
        <v>4</v>
      </c>
      <c r="C16" s="292" t="str">
        <f>IFERROR(VLOOKUP($B16,PAGOS!$B$5:$Y$79,4,0),"")</f>
        <v/>
      </c>
      <c r="D16" s="293" t="str">
        <f>IFERROR(VLOOKUP($B16,PAGOS!$B$5:$Y$79,5,0),"")</f>
        <v/>
      </c>
      <c r="E16" s="293" t="str">
        <f>IFERROR(VLOOKUP($B16,PAGOS!$B$5:$Y$79,24,0),"")</f>
        <v/>
      </c>
    </row>
    <row r="17" spans="2:5" ht="24.95" customHeight="1" x14ac:dyDescent="0.2">
      <c r="B17" s="120">
        <v>5</v>
      </c>
      <c r="C17" s="292" t="str">
        <f>IFERROR(VLOOKUP($B17,PAGOS!$B$5:$Y$79,4,0),"")</f>
        <v/>
      </c>
      <c r="D17" s="293" t="str">
        <f>IFERROR(VLOOKUP($B17,PAGOS!$B$5:$Y$79,5,0),"")</f>
        <v/>
      </c>
      <c r="E17" s="293" t="str">
        <f>IFERROR(VLOOKUP($B17,PAGOS!$B$5:$Y$79,24,0),"")</f>
        <v/>
      </c>
    </row>
    <row r="18" spans="2:5" ht="24.95" customHeight="1" x14ac:dyDescent="0.2">
      <c r="B18" s="120">
        <v>6</v>
      </c>
      <c r="C18" s="292" t="str">
        <f>IFERROR(VLOOKUP($B18,PAGOS!$B$5:$Y$79,4,0),"")</f>
        <v/>
      </c>
      <c r="D18" s="293" t="str">
        <f>IFERROR(VLOOKUP($B18,PAGOS!$B$5:$Y$79,5,0),"")</f>
        <v/>
      </c>
      <c r="E18" s="293" t="str">
        <f>IFERROR(VLOOKUP($B18,PAGOS!$B$5:$Y$79,24,0),"")</f>
        <v/>
      </c>
    </row>
    <row r="19" spans="2:5" ht="24.95" customHeight="1" x14ac:dyDescent="0.2">
      <c r="B19" s="120">
        <v>7</v>
      </c>
      <c r="C19" s="292" t="str">
        <f>IFERROR(VLOOKUP($B19,PAGOS!$B$5:$Y$79,4,0),"")</f>
        <v/>
      </c>
      <c r="D19" s="293" t="str">
        <f>IFERROR(VLOOKUP($B19,PAGOS!$B$5:$Y$79,5,0),"")</f>
        <v/>
      </c>
      <c r="E19" s="293" t="str">
        <f>IFERROR(VLOOKUP($B19,PAGOS!$B$5:$Y$79,24,0),"")</f>
        <v/>
      </c>
    </row>
    <row r="20" spans="2:5" ht="24.95" customHeight="1" x14ac:dyDescent="0.2">
      <c r="B20" s="120">
        <v>8</v>
      </c>
      <c r="C20" s="292" t="str">
        <f>IFERROR(VLOOKUP($B20,PAGOS!$B$5:$Y$79,4,0),"")</f>
        <v/>
      </c>
      <c r="D20" s="293" t="str">
        <f>IFERROR(VLOOKUP($B20,PAGOS!$B$5:$Y$79,5,0),"")</f>
        <v/>
      </c>
      <c r="E20" s="293" t="str">
        <f>IFERROR(VLOOKUP($B20,PAGOS!$B$5:$Y$79,24,0),"")</f>
        <v/>
      </c>
    </row>
    <row r="21" spans="2:5" ht="24.95" customHeight="1" x14ac:dyDescent="0.2">
      <c r="B21" s="120">
        <v>9</v>
      </c>
      <c r="C21" s="292" t="str">
        <f>IFERROR(VLOOKUP($B21,PAGOS!$B$5:$Y$79,4,0),"")</f>
        <v/>
      </c>
      <c r="D21" s="293" t="str">
        <f>IFERROR(VLOOKUP($B21,PAGOS!$B$5:$Y$79,5,0),"")</f>
        <v/>
      </c>
      <c r="E21" s="293" t="str">
        <f>IFERROR(VLOOKUP($B21,PAGOS!$B$5:$Y$79,24,0),"")</f>
        <v/>
      </c>
    </row>
    <row r="22" spans="2:5" ht="24.95" customHeight="1" x14ac:dyDescent="0.2">
      <c r="B22" s="120">
        <v>10</v>
      </c>
      <c r="C22" s="292" t="str">
        <f>IFERROR(VLOOKUP($B22,PAGOS!$B$5:$Y$79,4,0),"")</f>
        <v/>
      </c>
      <c r="D22" s="293" t="str">
        <f>IFERROR(VLOOKUP($B22,PAGOS!$B$5:$Y$79,5,0),"")</f>
        <v/>
      </c>
      <c r="E22" s="293" t="str">
        <f>IFERROR(VLOOKUP($B22,PAGOS!$B$5:$Y$79,24,0),"")</f>
        <v/>
      </c>
    </row>
    <row r="23" spans="2:5" ht="24.95" customHeight="1" x14ac:dyDescent="0.2">
      <c r="B23" s="120">
        <v>11</v>
      </c>
      <c r="C23" s="292" t="str">
        <f>IFERROR(VLOOKUP($B23,PAGOS!$B$5:$Y$79,4,0),"")</f>
        <v/>
      </c>
      <c r="D23" s="293" t="str">
        <f>IFERROR(VLOOKUP($B23,PAGOS!$B$5:$Y$79,5,0),"")</f>
        <v/>
      </c>
      <c r="E23" s="293" t="str">
        <f>IFERROR(VLOOKUP($B23,PAGOS!$B$5:$Y$79,24,0),"")</f>
        <v/>
      </c>
    </row>
    <row r="24" spans="2:5" ht="24.95" customHeight="1" x14ac:dyDescent="0.2">
      <c r="B24" s="120">
        <v>12</v>
      </c>
      <c r="C24" s="292" t="str">
        <f>IFERROR(VLOOKUP($B24,PAGOS!$B$5:$Y$79,4,0),"")</f>
        <v/>
      </c>
      <c r="D24" s="293" t="str">
        <f>IFERROR(VLOOKUP($B24,PAGOS!$B$5:$Y$79,5,0),"")</f>
        <v/>
      </c>
      <c r="E24" s="293" t="str">
        <f>IFERROR(VLOOKUP($B24,PAGOS!$B$5:$Y$79,24,0),"")</f>
        <v/>
      </c>
    </row>
    <row r="25" spans="2:5" ht="24.95" customHeight="1" x14ac:dyDescent="0.2">
      <c r="B25" s="120">
        <v>13</v>
      </c>
      <c r="C25" s="292" t="str">
        <f>IFERROR(VLOOKUP($B25,PAGOS!$B$5:$Y$79,4,0),"")</f>
        <v/>
      </c>
      <c r="D25" s="293" t="str">
        <f>IFERROR(VLOOKUP($B25,PAGOS!$B$5:$Y$79,5,0),"")</f>
        <v/>
      </c>
      <c r="E25" s="293" t="str">
        <f>IFERROR(VLOOKUP($B25,PAGOS!$B$5:$Y$79,24,0),"")</f>
        <v/>
      </c>
    </row>
    <row r="26" spans="2:5" ht="24.95" customHeight="1" x14ac:dyDescent="0.2">
      <c r="B26" s="120">
        <v>14</v>
      </c>
      <c r="C26" s="292" t="str">
        <f>IFERROR(VLOOKUP($B26,PAGOS!$B$5:$Y$79,4,0),"")</f>
        <v/>
      </c>
      <c r="D26" s="293" t="str">
        <f>IFERROR(VLOOKUP($B26,PAGOS!$B$5:$Y$79,5,0),"")</f>
        <v/>
      </c>
      <c r="E26" s="293" t="str">
        <f>IFERROR(VLOOKUP($B26,PAGOS!$B$5:$Y$79,24,0),"")</f>
        <v/>
      </c>
    </row>
    <row r="27" spans="2:5" ht="24.95" customHeight="1" x14ac:dyDescent="0.2">
      <c r="B27" s="120">
        <v>15</v>
      </c>
      <c r="C27" s="292" t="str">
        <f>IFERROR(VLOOKUP($B27,PAGOS!$B$5:$Y$79,4,0),"")</f>
        <v/>
      </c>
      <c r="D27" s="293" t="str">
        <f>IFERROR(VLOOKUP($B27,PAGOS!$B$5:$Y$79,5,0),"")</f>
        <v/>
      </c>
      <c r="E27" s="293" t="str">
        <f>IFERROR(VLOOKUP($B27,PAGOS!$B$5:$Y$79,24,0),"")</f>
        <v/>
      </c>
    </row>
    <row r="28" spans="2:5" ht="24.95" customHeight="1" x14ac:dyDescent="0.2">
      <c r="B28" s="120">
        <v>16</v>
      </c>
      <c r="C28" s="292" t="str">
        <f>IFERROR(VLOOKUP($B28,PAGOS!$B$5:$Y$79,4,0),"")</f>
        <v/>
      </c>
      <c r="D28" s="293" t="str">
        <f>IFERROR(VLOOKUP($B28,PAGOS!$B$5:$Y$79,5,0),"")</f>
        <v/>
      </c>
      <c r="E28" s="293" t="str">
        <f>IFERROR(VLOOKUP($B28,PAGOS!$B$5:$Y$79,24,0),"")</f>
        <v/>
      </c>
    </row>
    <row r="29" spans="2:5" ht="24.95" customHeight="1" x14ac:dyDescent="0.2">
      <c r="B29" s="120">
        <v>17</v>
      </c>
      <c r="C29" s="292" t="str">
        <f>IFERROR(VLOOKUP($B29,PAGOS!$B$5:$Y$79,4,0),"")</f>
        <v/>
      </c>
      <c r="D29" s="293" t="str">
        <f>IFERROR(VLOOKUP($B29,PAGOS!$B$5:$Y$79,5,0),"")</f>
        <v/>
      </c>
      <c r="E29" s="293" t="str">
        <f>IFERROR(VLOOKUP($B29,PAGOS!$B$5:$Y$79,24,0),"")</f>
        <v/>
      </c>
    </row>
    <row r="30" spans="2:5" ht="24.95" customHeight="1" x14ac:dyDescent="0.2">
      <c r="B30" s="120">
        <v>18</v>
      </c>
      <c r="C30" s="292" t="str">
        <f>IFERROR(VLOOKUP($B30,PAGOS!$B$5:$Y$79,4,0),"")</f>
        <v/>
      </c>
      <c r="D30" s="293" t="str">
        <f>IFERROR(VLOOKUP($B30,PAGOS!$B$5:$Y$79,5,0),"")</f>
        <v/>
      </c>
      <c r="E30" s="293" t="str">
        <f>IFERROR(VLOOKUP($B30,PAGOS!$B$5:$Y$79,24,0),"")</f>
        <v/>
      </c>
    </row>
    <row r="31" spans="2:5" ht="24.95" customHeight="1" x14ac:dyDescent="0.2">
      <c r="B31" s="120">
        <v>19</v>
      </c>
      <c r="C31" s="292" t="str">
        <f>IFERROR(VLOOKUP($B31,PAGOS!$B$5:$Y$79,4,0),"")</f>
        <v/>
      </c>
      <c r="D31" s="293" t="str">
        <f>IFERROR(VLOOKUP($B31,PAGOS!$B$5:$Y$79,5,0),"")</f>
        <v/>
      </c>
      <c r="E31" s="293" t="str">
        <f>IFERROR(VLOOKUP($B31,PAGOS!$B$5:$Y$79,24,0),"")</f>
        <v/>
      </c>
    </row>
    <row r="32" spans="2:5" ht="24.95" customHeight="1" x14ac:dyDescent="0.2">
      <c r="B32" s="120">
        <v>20</v>
      </c>
      <c r="C32" s="292" t="str">
        <f>IFERROR(VLOOKUP($B32,PAGOS!$B$5:$Y$79,4,0),"")</f>
        <v/>
      </c>
      <c r="D32" s="293" t="str">
        <f>IFERROR(VLOOKUP($B32,PAGOS!$B$5:$Y$79,5,0),"")</f>
        <v/>
      </c>
      <c r="E32" s="293" t="str">
        <f>IFERROR(VLOOKUP($B32,PAGOS!$B$5:$Y$79,24,0),"")</f>
        <v/>
      </c>
    </row>
    <row r="33" spans="2:5" ht="24.95" customHeight="1" x14ac:dyDescent="0.2">
      <c r="B33" s="120">
        <v>21</v>
      </c>
      <c r="C33" s="292" t="str">
        <f>IFERROR(VLOOKUP($B33,PAGOS!$B$5:$Y$79,4,0),"")</f>
        <v/>
      </c>
      <c r="D33" s="293" t="str">
        <f>IFERROR(VLOOKUP($B33,PAGOS!$B$5:$Y$79,5,0),"")</f>
        <v/>
      </c>
      <c r="E33" s="293" t="str">
        <f>IFERROR(VLOOKUP($B33,PAGOS!$B$5:$Y$79,24,0),"")</f>
        <v/>
      </c>
    </row>
    <row r="34" spans="2:5" ht="24.95" customHeight="1" x14ac:dyDescent="0.2">
      <c r="B34" s="120">
        <v>22</v>
      </c>
      <c r="C34" s="292" t="str">
        <f>IFERROR(VLOOKUP($B34,PAGOS!$B$5:$Y$79,4,0),"")</f>
        <v/>
      </c>
      <c r="D34" s="293" t="str">
        <f>IFERROR(VLOOKUP($B34,PAGOS!$B$5:$Y$79,5,0),"")</f>
        <v/>
      </c>
      <c r="E34" s="293" t="str">
        <f>IFERROR(VLOOKUP($B34,PAGOS!$B$5:$Y$79,24,0),"")</f>
        <v/>
      </c>
    </row>
    <row r="35" spans="2:5" ht="24.95" customHeight="1" x14ac:dyDescent="0.2">
      <c r="B35" s="120">
        <v>23</v>
      </c>
      <c r="C35" s="292" t="str">
        <f>IFERROR(VLOOKUP($B35,PAGOS!$B$5:$Y$79,4,0),"")</f>
        <v/>
      </c>
      <c r="D35" s="293" t="str">
        <f>IFERROR(VLOOKUP($B35,PAGOS!$B$5:$Y$79,5,0),"")</f>
        <v/>
      </c>
      <c r="E35" s="293" t="str">
        <f>IFERROR(VLOOKUP($B35,PAGOS!$B$5:$Y$79,24,0),"")</f>
        <v/>
      </c>
    </row>
    <row r="36" spans="2:5" ht="24.95" customHeight="1" x14ac:dyDescent="0.2">
      <c r="B36" s="120">
        <v>24</v>
      </c>
      <c r="C36" s="292" t="str">
        <f>IFERROR(VLOOKUP($B36,PAGOS!$B$5:$Y$79,4,0),"")</f>
        <v/>
      </c>
      <c r="D36" s="293" t="str">
        <f>IFERROR(VLOOKUP($B36,PAGOS!$B$5:$Y$79,5,0),"")</f>
        <v/>
      </c>
      <c r="E36" s="293" t="str">
        <f>IFERROR(VLOOKUP($B36,PAGOS!$B$5:$Y$79,24,0),"")</f>
        <v/>
      </c>
    </row>
    <row r="37" spans="2:5" ht="24.95" customHeight="1" x14ac:dyDescent="0.2">
      <c r="B37" s="120">
        <v>25</v>
      </c>
      <c r="C37" s="292" t="str">
        <f>IFERROR(VLOOKUP($B37,PAGOS!$B$5:$Y$79,4,0),"")</f>
        <v/>
      </c>
      <c r="D37" s="293" t="str">
        <f>IFERROR(VLOOKUP($B37,PAGOS!$B$5:$Y$79,5,0),"")</f>
        <v/>
      </c>
      <c r="E37" s="293" t="str">
        <f>IFERROR(VLOOKUP($B37,PAGOS!$B$5:$Y$79,24,0),"")</f>
        <v/>
      </c>
    </row>
    <row r="38" spans="2:5" ht="24.95" customHeight="1" x14ac:dyDescent="0.2">
      <c r="B38" s="120">
        <v>26</v>
      </c>
      <c r="C38" s="292" t="str">
        <f>IFERROR(VLOOKUP($B38,PAGOS!$B$5:$Y$79,4,0),"")</f>
        <v/>
      </c>
      <c r="D38" s="293" t="str">
        <f>IFERROR(VLOOKUP($B38,PAGOS!$B$5:$Y$79,5,0),"")</f>
        <v/>
      </c>
      <c r="E38" s="293" t="str">
        <f>IFERROR(VLOOKUP($B38,PAGOS!$B$5:$Y$79,24,0),"")</f>
        <v/>
      </c>
    </row>
    <row r="39" spans="2:5" ht="24.95" customHeight="1" x14ac:dyDescent="0.2">
      <c r="B39" s="120">
        <v>27</v>
      </c>
      <c r="C39" s="292" t="str">
        <f>IFERROR(VLOOKUP($B39,PAGOS!$B$5:$Y$79,4,0),"")</f>
        <v/>
      </c>
      <c r="D39" s="293" t="str">
        <f>IFERROR(VLOOKUP($B39,PAGOS!$B$5:$Y$79,5,0),"")</f>
        <v/>
      </c>
      <c r="E39" s="293" t="str">
        <f>IFERROR(VLOOKUP($B39,PAGOS!$B$5:$Y$79,24,0),"")</f>
        <v/>
      </c>
    </row>
    <row r="40" spans="2:5" ht="24.95" customHeight="1" x14ac:dyDescent="0.2">
      <c r="B40" s="120">
        <v>28</v>
      </c>
      <c r="C40" s="292" t="str">
        <f>IFERROR(VLOOKUP($B40,PAGOS!$B$5:$Y$79,4,0),"")</f>
        <v/>
      </c>
      <c r="D40" s="293" t="str">
        <f>IFERROR(VLOOKUP($B40,PAGOS!$B$5:$Y$79,5,0),"")</f>
        <v/>
      </c>
      <c r="E40" s="293" t="str">
        <f>IFERROR(VLOOKUP($B40,PAGOS!$B$5:$Y$79,24,0),"")</f>
        <v/>
      </c>
    </row>
    <row r="41" spans="2:5" ht="24.95" customHeight="1" x14ac:dyDescent="0.2">
      <c r="B41" s="120">
        <v>29</v>
      </c>
      <c r="C41" s="292" t="str">
        <f>IFERROR(VLOOKUP($B41,PAGOS!$B$5:$Y$79,4,0),"")</f>
        <v/>
      </c>
      <c r="D41" s="293" t="str">
        <f>IFERROR(VLOOKUP($B41,PAGOS!$B$5:$Y$79,5,0),"")</f>
        <v/>
      </c>
      <c r="E41" s="293" t="str">
        <f>IFERROR(VLOOKUP($B41,PAGOS!$B$5:$Y$79,24,0),"")</f>
        <v/>
      </c>
    </row>
    <row r="42" spans="2:5" ht="24.95" customHeight="1" x14ac:dyDescent="0.2">
      <c r="B42" s="120">
        <v>30</v>
      </c>
      <c r="C42" s="292" t="str">
        <f>IFERROR(VLOOKUP($B42,PAGOS!$B$5:$Y$79,4,0),"")</f>
        <v/>
      </c>
      <c r="D42" s="293" t="str">
        <f>IFERROR(VLOOKUP($B42,PAGOS!$B$5:$Y$79,5,0),"")</f>
        <v/>
      </c>
      <c r="E42" s="293" t="str">
        <f>IFERROR(VLOOKUP($B42,PAGOS!$B$5:$Y$79,24,0),"")</f>
        <v/>
      </c>
    </row>
    <row r="43" spans="2:5" ht="24.95" customHeight="1" x14ac:dyDescent="0.2">
      <c r="B43" s="120">
        <v>31</v>
      </c>
      <c r="C43" s="292" t="str">
        <f>IFERROR(VLOOKUP($B43,PAGOS!$B$5:$Y$79,4,0),"")</f>
        <v/>
      </c>
      <c r="D43" s="293" t="str">
        <f>IFERROR(VLOOKUP($B43,PAGOS!$B$5:$Y$79,5,0),"")</f>
        <v/>
      </c>
      <c r="E43" s="293" t="str">
        <f>IFERROR(VLOOKUP($B43,PAGOS!$B$5:$Y$79,24,0),"")</f>
        <v/>
      </c>
    </row>
    <row r="44" spans="2:5" ht="24.95" customHeight="1" x14ac:dyDescent="0.2">
      <c r="B44" s="120">
        <v>32</v>
      </c>
      <c r="C44" s="292" t="str">
        <f>IFERROR(VLOOKUP($B44,PAGOS!$B$5:$Y$79,4,0),"")</f>
        <v/>
      </c>
      <c r="D44" s="293" t="str">
        <f>IFERROR(VLOOKUP($B44,PAGOS!$B$5:$Y$79,5,0),"")</f>
        <v/>
      </c>
      <c r="E44" s="293" t="str">
        <f>IFERROR(VLOOKUP($B44,PAGOS!$B$5:$Y$79,24,0),"")</f>
        <v/>
      </c>
    </row>
    <row r="45" spans="2:5" ht="24.95" customHeight="1" x14ac:dyDescent="0.2">
      <c r="B45" s="120">
        <v>33</v>
      </c>
      <c r="C45" s="292" t="str">
        <f>IFERROR(VLOOKUP($B45,PAGOS!$B$5:$Y$79,4,0),"")</f>
        <v/>
      </c>
      <c r="D45" s="293" t="str">
        <f>IFERROR(VLOOKUP($B45,PAGOS!$B$5:$Y$79,5,0),"")</f>
        <v/>
      </c>
      <c r="E45" s="293" t="str">
        <f>IFERROR(VLOOKUP($B45,PAGOS!$B$5:$Y$79,24,0),"")</f>
        <v/>
      </c>
    </row>
    <row r="46" spans="2:5" ht="24.95" customHeight="1" x14ac:dyDescent="0.2">
      <c r="B46" s="120">
        <v>34</v>
      </c>
      <c r="C46" s="292" t="str">
        <f>IFERROR(VLOOKUP($B46,PAGOS!$B$5:$Y$79,4,0),"")</f>
        <v/>
      </c>
      <c r="D46" s="293" t="str">
        <f>IFERROR(VLOOKUP($B46,PAGOS!$B$5:$Y$79,5,0),"")</f>
        <v/>
      </c>
      <c r="E46" s="293" t="str">
        <f>IFERROR(VLOOKUP($B46,PAGOS!$B$5:$Y$79,24,0),"")</f>
        <v/>
      </c>
    </row>
    <row r="47" spans="2:5" ht="24.95" customHeight="1" x14ac:dyDescent="0.2">
      <c r="B47" s="120">
        <v>35</v>
      </c>
      <c r="C47" s="292" t="str">
        <f>IFERROR(VLOOKUP($B47,PAGOS!$B$5:$Y$79,4,0),"")</f>
        <v/>
      </c>
      <c r="D47" s="293" t="str">
        <f>IFERROR(VLOOKUP($B47,PAGOS!$B$5:$Y$79,5,0),"")</f>
        <v/>
      </c>
      <c r="E47" s="293" t="str">
        <f>IFERROR(VLOOKUP($B47,PAGOS!$B$5:$Y$79,24,0),"")</f>
        <v/>
      </c>
    </row>
    <row r="48" spans="2:5" ht="24.95" customHeight="1" x14ac:dyDescent="0.2">
      <c r="B48" s="120">
        <v>36</v>
      </c>
      <c r="C48" s="292" t="str">
        <f>IFERROR(VLOOKUP($B48,PAGOS!$B$5:$Y$79,4,0),"")</f>
        <v/>
      </c>
      <c r="D48" s="293" t="str">
        <f>IFERROR(VLOOKUP($B48,PAGOS!$B$5:$Y$79,5,0),"")</f>
        <v/>
      </c>
      <c r="E48" s="293" t="str">
        <f>IFERROR(VLOOKUP($B48,PAGOS!$B$5:$Y$79,24,0),"")</f>
        <v/>
      </c>
    </row>
    <row r="49" spans="2:5" ht="24.95" customHeight="1" x14ac:dyDescent="0.2">
      <c r="B49" s="120">
        <v>37</v>
      </c>
      <c r="C49" s="292" t="str">
        <f>IFERROR(VLOOKUP($B49,PAGOS!$B$5:$Y$79,4,0),"")</f>
        <v/>
      </c>
      <c r="D49" s="293" t="str">
        <f>IFERROR(VLOOKUP($B49,PAGOS!$B$5:$Y$79,5,0),"")</f>
        <v/>
      </c>
      <c r="E49" s="293" t="str">
        <f>IFERROR(VLOOKUP($B49,PAGOS!$B$5:$Y$79,24,0),"")</f>
        <v/>
      </c>
    </row>
    <row r="50" spans="2:5" ht="24.95" customHeight="1" x14ac:dyDescent="0.2">
      <c r="B50" s="120">
        <v>38</v>
      </c>
      <c r="C50" s="292" t="str">
        <f>IFERROR(VLOOKUP($B50,PAGOS!$B$5:$Y$79,4,0),"")</f>
        <v/>
      </c>
      <c r="D50" s="293" t="str">
        <f>IFERROR(VLOOKUP($B50,PAGOS!$B$5:$Y$79,5,0),"")</f>
        <v/>
      </c>
      <c r="E50" s="293" t="str">
        <f>IFERROR(VLOOKUP($B50,PAGOS!$B$5:$Y$79,24,0),"")</f>
        <v/>
      </c>
    </row>
    <row r="51" spans="2:5" ht="24.95" customHeight="1" x14ac:dyDescent="0.2">
      <c r="B51" s="120">
        <v>39</v>
      </c>
      <c r="C51" s="292" t="str">
        <f>IFERROR(VLOOKUP($B51,PAGOS!$B$5:$Y$79,4,0),"")</f>
        <v/>
      </c>
      <c r="D51" s="293" t="str">
        <f>IFERROR(VLOOKUP($B51,PAGOS!$B$5:$Y$79,5,0),"")</f>
        <v/>
      </c>
      <c r="E51" s="293" t="str">
        <f>IFERROR(VLOOKUP($B51,PAGOS!$B$5:$Y$79,24,0),"")</f>
        <v/>
      </c>
    </row>
    <row r="52" spans="2:5" ht="24.95" customHeight="1" x14ac:dyDescent="0.2">
      <c r="B52" s="120">
        <v>40</v>
      </c>
      <c r="C52" s="292" t="str">
        <f>IFERROR(VLOOKUP($B52,PAGOS!$B$5:$Y$79,4,0),"")</f>
        <v/>
      </c>
      <c r="D52" s="293" t="str">
        <f>IFERROR(VLOOKUP($B52,PAGOS!$B$5:$Y$79,5,0),"")</f>
        <v/>
      </c>
      <c r="E52" s="293" t="str">
        <f>IFERROR(VLOOKUP($B52,PAGOS!$B$5:$Y$79,24,0),"")</f>
        <v/>
      </c>
    </row>
    <row r="53" spans="2:5" ht="24.95" customHeight="1" x14ac:dyDescent="0.2">
      <c r="B53" s="120">
        <v>41</v>
      </c>
      <c r="C53" s="292" t="str">
        <f>IFERROR(VLOOKUP($B53,PAGOS!$B$5:$Y$79,4,0),"")</f>
        <v/>
      </c>
      <c r="D53" s="293" t="str">
        <f>IFERROR(VLOOKUP($B53,PAGOS!$B$5:$Y$79,5,0),"")</f>
        <v/>
      </c>
      <c r="E53" s="293" t="str">
        <f>IFERROR(VLOOKUP($B53,PAGOS!$B$5:$Y$79,24,0),"")</f>
        <v/>
      </c>
    </row>
    <row r="54" spans="2:5" ht="24.95" customHeight="1" x14ac:dyDescent="0.2">
      <c r="B54" s="120">
        <v>42</v>
      </c>
      <c r="C54" s="292" t="str">
        <f>IFERROR(VLOOKUP($B54,PAGOS!$B$5:$Y$79,4,0),"")</f>
        <v/>
      </c>
      <c r="D54" s="293" t="str">
        <f>IFERROR(VLOOKUP($B54,PAGOS!$B$5:$Y$79,5,0),"")</f>
        <v/>
      </c>
      <c r="E54" s="293" t="str">
        <f>IFERROR(VLOOKUP($B54,PAGOS!$B$5:$Y$79,24,0),"")</f>
        <v/>
      </c>
    </row>
    <row r="55" spans="2:5" ht="24.95" customHeight="1" x14ac:dyDescent="0.2">
      <c r="B55" s="120">
        <v>43</v>
      </c>
      <c r="C55" s="292" t="str">
        <f>IFERROR(VLOOKUP($B55,PAGOS!$B$5:$Y$79,4,0),"")</f>
        <v/>
      </c>
      <c r="D55" s="293" t="str">
        <f>IFERROR(VLOOKUP($B55,PAGOS!$B$5:$Y$79,5,0),"")</f>
        <v/>
      </c>
      <c r="E55" s="293" t="str">
        <f>IFERROR(VLOOKUP($B55,PAGOS!$B$5:$Y$79,24,0),"")</f>
        <v/>
      </c>
    </row>
    <row r="56" spans="2:5" ht="24.95" customHeight="1" x14ac:dyDescent="0.2">
      <c r="B56" s="120">
        <v>44</v>
      </c>
      <c r="C56" s="292" t="str">
        <f>IFERROR(VLOOKUP($B56,PAGOS!$B$5:$Y$79,4,0),"")</f>
        <v/>
      </c>
      <c r="D56" s="293" t="str">
        <f>IFERROR(VLOOKUP($B56,PAGOS!$B$5:$Y$79,5,0),"")</f>
        <v/>
      </c>
      <c r="E56" s="293" t="str">
        <f>IFERROR(VLOOKUP($B56,PAGOS!$B$5:$Y$79,24,0),"")</f>
        <v/>
      </c>
    </row>
    <row r="57" spans="2:5" ht="24.95" customHeight="1" x14ac:dyDescent="0.2">
      <c r="B57" s="120">
        <v>45</v>
      </c>
      <c r="C57" s="292" t="str">
        <f>IFERROR(VLOOKUP($B57,PAGOS!$B$5:$Y$79,4,0),"")</f>
        <v/>
      </c>
      <c r="D57" s="293" t="str">
        <f>IFERROR(VLOOKUP($B57,PAGOS!$B$5:$Y$79,5,0),"")</f>
        <v/>
      </c>
      <c r="E57" s="293" t="str">
        <f>IFERROR(VLOOKUP($B57,PAGOS!$B$5:$Y$79,24,0),"")</f>
        <v/>
      </c>
    </row>
    <row r="58" spans="2:5" ht="24.95" customHeight="1" x14ac:dyDescent="0.2">
      <c r="B58" s="120">
        <v>46</v>
      </c>
      <c r="C58" s="292" t="str">
        <f>IFERROR(VLOOKUP($B58,PAGOS!$B$5:$Y$79,4,0),"")</f>
        <v/>
      </c>
      <c r="D58" s="293" t="str">
        <f>IFERROR(VLOOKUP($B58,PAGOS!$B$5:$Y$79,5,0),"")</f>
        <v/>
      </c>
      <c r="E58" s="293" t="str">
        <f>IFERROR(VLOOKUP($B58,PAGOS!$B$5:$Y$79,24,0),"")</f>
        <v/>
      </c>
    </row>
    <row r="59" spans="2:5" ht="24.95" customHeight="1" x14ac:dyDescent="0.2">
      <c r="B59" s="120">
        <v>47</v>
      </c>
      <c r="C59" s="292" t="str">
        <f>IFERROR(VLOOKUP($B59,PAGOS!$B$5:$Y$79,4,0),"")</f>
        <v/>
      </c>
      <c r="D59" s="293" t="str">
        <f>IFERROR(VLOOKUP($B59,PAGOS!$B$5:$Y$79,5,0),"")</f>
        <v/>
      </c>
      <c r="E59" s="293" t="str">
        <f>IFERROR(VLOOKUP($B59,PAGOS!$B$5:$Y$79,24,0),"")</f>
        <v/>
      </c>
    </row>
    <row r="60" spans="2:5" ht="24.95" customHeight="1" x14ac:dyDescent="0.2">
      <c r="B60" s="120">
        <v>48</v>
      </c>
      <c r="C60" s="292" t="str">
        <f>IFERROR(VLOOKUP($B60,PAGOS!$B$5:$Y$79,4,0),"")</f>
        <v/>
      </c>
      <c r="D60" s="293" t="str">
        <f>IFERROR(VLOOKUP($B60,PAGOS!$B$5:$Y$79,5,0),"")</f>
        <v/>
      </c>
      <c r="E60" s="293" t="str">
        <f>IFERROR(VLOOKUP($B60,PAGOS!$B$5:$Y$79,24,0),"")</f>
        <v/>
      </c>
    </row>
    <row r="61" spans="2:5" ht="24.95" customHeight="1" x14ac:dyDescent="0.2">
      <c r="B61" s="120">
        <v>49</v>
      </c>
      <c r="C61" s="292" t="str">
        <f>IFERROR(VLOOKUP($B61,PAGOS!$B$5:$Y$79,4,0),"")</f>
        <v/>
      </c>
      <c r="D61" s="293" t="str">
        <f>IFERROR(VLOOKUP($B61,PAGOS!$B$5:$Y$79,5,0),"")</f>
        <v/>
      </c>
      <c r="E61" s="293" t="str">
        <f>IFERROR(VLOOKUP($B61,PAGOS!$B$5:$Y$79,24,0),"")</f>
        <v/>
      </c>
    </row>
    <row r="62" spans="2:5" ht="24.95" customHeight="1" x14ac:dyDescent="0.2">
      <c r="B62" s="120">
        <v>50</v>
      </c>
      <c r="C62" s="292" t="str">
        <f>IFERROR(VLOOKUP($B62,PAGOS!$B$5:$Y$79,4,0),"")</f>
        <v/>
      </c>
      <c r="D62" s="293" t="str">
        <f>IFERROR(VLOOKUP($B62,PAGOS!$B$5:$Y$79,5,0),"")</f>
        <v/>
      </c>
      <c r="E62" s="293" t="str">
        <f>IFERROR(VLOOKUP($B62,PAGOS!$B$5:$Y$79,24,0),"")</f>
        <v/>
      </c>
    </row>
    <row r="63" spans="2:5" ht="24.95" customHeight="1" x14ac:dyDescent="0.2">
      <c r="B63" s="120">
        <v>51</v>
      </c>
      <c r="C63" s="292" t="str">
        <f>IFERROR(VLOOKUP($B63,PAGOS!$B$5:$Y$79,4,0),"")</f>
        <v/>
      </c>
      <c r="D63" s="293" t="str">
        <f>IFERROR(VLOOKUP($B63,PAGOS!$B$5:$Y$79,5,0),"")</f>
        <v/>
      </c>
      <c r="E63" s="293" t="str">
        <f>IFERROR(VLOOKUP($B63,PAGOS!$B$5:$Y$79,24,0),"")</f>
        <v/>
      </c>
    </row>
    <row r="64" spans="2:5" ht="24.95" customHeight="1" x14ac:dyDescent="0.2">
      <c r="B64" s="120">
        <v>52</v>
      </c>
      <c r="C64" s="292" t="str">
        <f>IFERROR(VLOOKUP($B64,PAGOS!$B$5:$Y$79,4,0),"")</f>
        <v/>
      </c>
      <c r="D64" s="293" t="str">
        <f>IFERROR(VLOOKUP($B64,PAGOS!$B$5:$Y$79,5,0),"")</f>
        <v/>
      </c>
      <c r="E64" s="293" t="str">
        <f>IFERROR(VLOOKUP($B64,PAGOS!$B$5:$Y$79,24,0),"")</f>
        <v/>
      </c>
    </row>
    <row r="65" spans="2:5" ht="24.95" customHeight="1" x14ac:dyDescent="0.2">
      <c r="B65" s="120">
        <v>53</v>
      </c>
      <c r="C65" s="292" t="str">
        <f>IFERROR(VLOOKUP($B65,PAGOS!$B$5:$Y$79,4,0),"")</f>
        <v/>
      </c>
      <c r="D65" s="293" t="str">
        <f>IFERROR(VLOOKUP($B65,PAGOS!$B$5:$Y$79,5,0),"")</f>
        <v/>
      </c>
      <c r="E65" s="293" t="str">
        <f>IFERROR(VLOOKUP($B65,PAGOS!$B$5:$Y$79,24,0),"")</f>
        <v/>
      </c>
    </row>
    <row r="66" spans="2:5" ht="24.95" customHeight="1" x14ac:dyDescent="0.2">
      <c r="B66" s="120">
        <v>54</v>
      </c>
      <c r="C66" s="292" t="str">
        <f>IFERROR(VLOOKUP($B66,PAGOS!$B$5:$Y$79,4,0),"")</f>
        <v/>
      </c>
      <c r="D66" s="293" t="str">
        <f>IFERROR(VLOOKUP($B66,PAGOS!$B$5:$Y$79,5,0),"")</f>
        <v/>
      </c>
      <c r="E66" s="293" t="str">
        <f>IFERROR(VLOOKUP($B66,PAGOS!$B$5:$Y$79,24,0),"")</f>
        <v/>
      </c>
    </row>
    <row r="67" spans="2:5" ht="24.95" customHeight="1" x14ac:dyDescent="0.2">
      <c r="B67" s="120">
        <v>55</v>
      </c>
      <c r="C67" s="292" t="str">
        <f>IFERROR(VLOOKUP($B67,PAGOS!$B$5:$Y$79,4,0),"")</f>
        <v/>
      </c>
      <c r="D67" s="293" t="str">
        <f>IFERROR(VLOOKUP($B67,PAGOS!$B$5:$Y$79,5,0),"")</f>
        <v/>
      </c>
      <c r="E67" s="293" t="str">
        <f>IFERROR(VLOOKUP($B67,PAGOS!$B$5:$Y$79,24,0),"")</f>
        <v/>
      </c>
    </row>
    <row r="68" spans="2:5" ht="24.95" customHeight="1" x14ac:dyDescent="0.2">
      <c r="B68" s="120">
        <v>56</v>
      </c>
      <c r="C68" s="292" t="str">
        <f>IFERROR(VLOOKUP($B68,PAGOS!$B$5:$Y$79,4,0),"")</f>
        <v/>
      </c>
      <c r="D68" s="293" t="str">
        <f>IFERROR(VLOOKUP($B68,PAGOS!$B$5:$Y$79,5,0),"")</f>
        <v/>
      </c>
      <c r="E68" s="293" t="str">
        <f>IFERROR(VLOOKUP($B68,PAGOS!$B$5:$Y$79,24,0),"")</f>
        <v/>
      </c>
    </row>
    <row r="69" spans="2:5" ht="24.95" customHeight="1" x14ac:dyDescent="0.2">
      <c r="B69" s="120">
        <v>57</v>
      </c>
      <c r="C69" s="292" t="str">
        <f>IFERROR(VLOOKUP($B69,PAGOS!$B$5:$Y$79,4,0),"")</f>
        <v/>
      </c>
      <c r="D69" s="293" t="str">
        <f>IFERROR(VLOOKUP($B69,PAGOS!$B$5:$Y$79,5,0),"")</f>
        <v/>
      </c>
      <c r="E69" s="293" t="str">
        <f>IFERROR(VLOOKUP($B69,PAGOS!$B$5:$Y$79,24,0),"")</f>
        <v/>
      </c>
    </row>
    <row r="70" spans="2:5" ht="24.95" customHeight="1" x14ac:dyDescent="0.2">
      <c r="B70" s="120">
        <v>58</v>
      </c>
      <c r="C70" s="292" t="str">
        <f>IFERROR(VLOOKUP($B70,PAGOS!$B$5:$Y$79,4,0),"")</f>
        <v/>
      </c>
      <c r="D70" s="293" t="str">
        <f>IFERROR(VLOOKUP($B70,PAGOS!$B$5:$Y$79,5,0),"")</f>
        <v/>
      </c>
      <c r="E70" s="293" t="str">
        <f>IFERROR(VLOOKUP($B70,PAGOS!$B$5:$Y$79,24,0),"")</f>
        <v/>
      </c>
    </row>
    <row r="71" spans="2:5" ht="24.95" customHeight="1" x14ac:dyDescent="0.2">
      <c r="B71" s="120">
        <v>59</v>
      </c>
      <c r="C71" s="292" t="str">
        <f>IFERROR(VLOOKUP($B71,PAGOS!$B$5:$Y$79,4,0),"")</f>
        <v/>
      </c>
      <c r="D71" s="293" t="str">
        <f>IFERROR(VLOOKUP($B71,PAGOS!$B$5:$Y$79,5,0),"")</f>
        <v/>
      </c>
      <c r="E71" s="293" t="str">
        <f>IFERROR(VLOOKUP($B71,PAGOS!$B$5:$Y$79,24,0),"")</f>
        <v/>
      </c>
    </row>
    <row r="72" spans="2:5" ht="24.95" customHeight="1" x14ac:dyDescent="0.2">
      <c r="B72" s="120">
        <v>60</v>
      </c>
      <c r="C72" s="292" t="str">
        <f>IFERROR(VLOOKUP($B72,PAGOS!$B$5:$Y$79,4,0),"")</f>
        <v/>
      </c>
      <c r="D72" s="293" t="str">
        <f>IFERROR(VLOOKUP($B72,PAGOS!$B$5:$Y$79,5,0),"")</f>
        <v/>
      </c>
      <c r="E72" s="293" t="str">
        <f>IFERROR(VLOOKUP($B72,PAGOS!$B$5:$Y$79,24,0),"")</f>
        <v/>
      </c>
    </row>
    <row r="73" spans="2:5" ht="24.95" customHeight="1" x14ac:dyDescent="0.2">
      <c r="B73" s="120">
        <v>61</v>
      </c>
      <c r="C73" s="292" t="str">
        <f>IFERROR(VLOOKUP($B73,PAGOS!$B$5:$Y$79,4,0),"")</f>
        <v/>
      </c>
      <c r="D73" s="293" t="str">
        <f>IFERROR(VLOOKUP($B73,PAGOS!$B$5:$Y$79,5,0),"")</f>
        <v/>
      </c>
      <c r="E73" s="293" t="str">
        <f>IFERROR(VLOOKUP($B73,PAGOS!$B$5:$Y$79,24,0),"")</f>
        <v/>
      </c>
    </row>
    <row r="74" spans="2:5" ht="24.95" customHeight="1" x14ac:dyDescent="0.2">
      <c r="B74" s="120">
        <v>62</v>
      </c>
      <c r="C74" s="292" t="str">
        <f>IFERROR(VLOOKUP($B74,PAGOS!$B$5:$Y$79,4,0),"")</f>
        <v/>
      </c>
      <c r="D74" s="293" t="str">
        <f>IFERROR(VLOOKUP($B74,PAGOS!$B$5:$Y$79,5,0),"")</f>
        <v/>
      </c>
      <c r="E74" s="293" t="str">
        <f>IFERROR(VLOOKUP($B74,PAGOS!$B$5:$Y$79,24,0),"")</f>
        <v/>
      </c>
    </row>
    <row r="75" spans="2:5" ht="24.95" customHeight="1" x14ac:dyDescent="0.2">
      <c r="B75" s="120">
        <v>63</v>
      </c>
      <c r="C75" s="292" t="str">
        <f>IFERROR(VLOOKUP($B75,PAGOS!$B$5:$Y$79,4,0),"")</f>
        <v/>
      </c>
      <c r="D75" s="293" t="str">
        <f>IFERROR(VLOOKUP($B75,PAGOS!$B$5:$Y$79,5,0),"")</f>
        <v/>
      </c>
      <c r="E75" s="293" t="str">
        <f>IFERROR(VLOOKUP($B75,PAGOS!$B$5:$Y$79,24,0),"")</f>
        <v/>
      </c>
    </row>
    <row r="76" spans="2:5" ht="24.95" customHeight="1" x14ac:dyDescent="0.2">
      <c r="B76" s="120">
        <v>64</v>
      </c>
      <c r="C76" s="292" t="str">
        <f>IFERROR(VLOOKUP($B76,PAGOS!$B$5:$Y$79,4,0),"")</f>
        <v/>
      </c>
      <c r="D76" s="293" t="str">
        <f>IFERROR(VLOOKUP($B76,PAGOS!$B$5:$Y$79,5,0),"")</f>
        <v/>
      </c>
      <c r="E76" s="293" t="str">
        <f>IFERROR(VLOOKUP($B76,PAGOS!$B$5:$Y$79,24,0),"")</f>
        <v/>
      </c>
    </row>
    <row r="77" spans="2:5" ht="24.95" customHeight="1" x14ac:dyDescent="0.2">
      <c r="B77" s="120">
        <v>65</v>
      </c>
      <c r="C77" s="292" t="str">
        <f>IFERROR(VLOOKUP($B77,PAGOS!$B$5:$Y$79,4,0),"")</f>
        <v/>
      </c>
      <c r="D77" s="293" t="str">
        <f>IFERROR(VLOOKUP($B77,PAGOS!$B$5:$Y$79,5,0),"")</f>
        <v/>
      </c>
      <c r="E77" s="293" t="str">
        <f>IFERROR(VLOOKUP($B77,PAGOS!$B$5:$Y$79,24,0),"")</f>
        <v/>
      </c>
    </row>
    <row r="78" spans="2:5" ht="24.95" customHeight="1" x14ac:dyDescent="0.2">
      <c r="B78" s="120">
        <v>66</v>
      </c>
      <c r="C78" s="292" t="str">
        <f>IFERROR(VLOOKUP($B78,PAGOS!$B$5:$Y$79,4,0),"")</f>
        <v/>
      </c>
      <c r="D78" s="293" t="str">
        <f>IFERROR(VLOOKUP($B78,PAGOS!$B$5:$Y$79,5,0),"")</f>
        <v/>
      </c>
      <c r="E78" s="293" t="str">
        <f>IFERROR(VLOOKUP($B78,PAGOS!$B$5:$Y$79,24,0),"")</f>
        <v/>
      </c>
    </row>
    <row r="79" spans="2:5" ht="24.95" customHeight="1" x14ac:dyDescent="0.2">
      <c r="B79" s="120">
        <v>67</v>
      </c>
      <c r="C79" s="292" t="str">
        <f>IFERROR(VLOOKUP($B79,PAGOS!$B$5:$Y$79,4,0),"")</f>
        <v/>
      </c>
      <c r="D79" s="293" t="str">
        <f>IFERROR(VLOOKUP($B79,PAGOS!$B$5:$Y$79,5,0),"")</f>
        <v/>
      </c>
      <c r="E79" s="293" t="str">
        <f>IFERROR(VLOOKUP($B79,PAGOS!$B$5:$Y$79,24,0),"")</f>
        <v/>
      </c>
    </row>
    <row r="80" spans="2:5" ht="24.95" customHeight="1" x14ac:dyDescent="0.2">
      <c r="B80" s="120">
        <v>68</v>
      </c>
      <c r="C80" s="292" t="str">
        <f>IFERROR(VLOOKUP($B80,PAGOS!$B$5:$Y$79,4,0),"")</f>
        <v/>
      </c>
      <c r="D80" s="293" t="str">
        <f>IFERROR(VLOOKUP($B80,PAGOS!$B$5:$Y$79,5,0),"")</f>
        <v/>
      </c>
      <c r="E80" s="293" t="str">
        <f>IFERROR(VLOOKUP($B80,PAGOS!$B$5:$Y$79,24,0),"")</f>
        <v/>
      </c>
    </row>
    <row r="81" spans="2:5" ht="24.95" customHeight="1" x14ac:dyDescent="0.2">
      <c r="B81" s="120">
        <v>69</v>
      </c>
      <c r="C81" s="292" t="str">
        <f>IFERROR(VLOOKUP($B81,PAGOS!$B$5:$Y$79,4,0),"")</f>
        <v/>
      </c>
      <c r="D81" s="293" t="str">
        <f>IFERROR(VLOOKUP($B81,PAGOS!$B$5:$Y$79,5,0),"")</f>
        <v/>
      </c>
      <c r="E81" s="293" t="str">
        <f>IFERROR(VLOOKUP($B81,PAGOS!$B$5:$Y$79,24,0),"")</f>
        <v/>
      </c>
    </row>
    <row r="82" spans="2:5" ht="24.95" customHeight="1" x14ac:dyDescent="0.2">
      <c r="B82" s="120">
        <v>70</v>
      </c>
      <c r="C82" s="292" t="str">
        <f>IFERROR(VLOOKUP($B82,PAGOS!$B$5:$Y$79,4,0),"")</f>
        <v/>
      </c>
      <c r="D82" s="293" t="str">
        <f>IFERROR(VLOOKUP($B82,PAGOS!$B$5:$Y$79,5,0),"")</f>
        <v/>
      </c>
      <c r="E82" s="293" t="str">
        <f>IFERROR(VLOOKUP($B82,PAGOS!$B$5:$Y$79,24,0),"")</f>
        <v/>
      </c>
    </row>
    <row r="83" spans="2:5" ht="24.95" customHeight="1" x14ac:dyDescent="0.2">
      <c r="B83" s="120">
        <v>71</v>
      </c>
      <c r="C83" s="292" t="str">
        <f>IFERROR(VLOOKUP($B83,PAGOS!$B$5:$Y$79,4,0),"")</f>
        <v/>
      </c>
      <c r="D83" s="293" t="str">
        <f>IFERROR(VLOOKUP($B83,PAGOS!$B$5:$Y$79,5,0),"")</f>
        <v/>
      </c>
      <c r="E83" s="293" t="str">
        <f>IFERROR(VLOOKUP($B83,PAGOS!$B$5:$Y$79,24,0),"")</f>
        <v/>
      </c>
    </row>
    <row r="84" spans="2:5" ht="24.95" customHeight="1" x14ac:dyDescent="0.2">
      <c r="B84" s="120">
        <v>72</v>
      </c>
      <c r="C84" s="292" t="str">
        <f>IFERROR(VLOOKUP($B84,PAGOS!$B$5:$Y$79,4,0),"")</f>
        <v/>
      </c>
      <c r="D84" s="293" t="str">
        <f>IFERROR(VLOOKUP($B84,PAGOS!$B$5:$Y$79,5,0),"")</f>
        <v/>
      </c>
      <c r="E84" s="293" t="str">
        <f>IFERROR(VLOOKUP($B84,PAGOS!$B$5:$Y$79,24,0),"")</f>
        <v/>
      </c>
    </row>
    <row r="85" spans="2:5" ht="24.95" customHeight="1" x14ac:dyDescent="0.2">
      <c r="B85" s="120">
        <v>73</v>
      </c>
      <c r="C85" s="292" t="str">
        <f>IFERROR(VLOOKUP($B85,PAGOS!$B$5:$Y$79,4,0),"")</f>
        <v/>
      </c>
      <c r="D85" s="293" t="str">
        <f>IFERROR(VLOOKUP($B85,PAGOS!$B$5:$Y$79,5,0),"")</f>
        <v/>
      </c>
      <c r="E85" s="293" t="str">
        <f>IFERROR(VLOOKUP($B85,PAGOS!$B$5:$Y$79,24,0),"")</f>
        <v/>
      </c>
    </row>
    <row r="86" spans="2:5" ht="24.95" customHeight="1" x14ac:dyDescent="0.2">
      <c r="B86" s="120">
        <v>74</v>
      </c>
      <c r="C86" s="292" t="str">
        <f>IFERROR(VLOOKUP($B86,PAGOS!$B$5:$Y$79,4,0),"")</f>
        <v/>
      </c>
      <c r="D86" s="293" t="str">
        <f>IFERROR(VLOOKUP($B86,PAGOS!$B$5:$Y$79,5,0),"")</f>
        <v/>
      </c>
      <c r="E86" s="293" t="str">
        <f>IFERROR(VLOOKUP($B86,PAGOS!$B$5:$Y$79,24,0),"")</f>
        <v/>
      </c>
    </row>
    <row r="87" spans="2:5" ht="24.95" customHeight="1" x14ac:dyDescent="0.2">
      <c r="B87" s="120">
        <v>75</v>
      </c>
      <c r="C87" s="292" t="str">
        <f>IFERROR(VLOOKUP($B87,PAGOS!$B$5:$Y$79,4,0),"")</f>
        <v/>
      </c>
      <c r="D87" s="293" t="str">
        <f>IFERROR(VLOOKUP($B87,PAGOS!$B$5:$Y$79,5,0),"")</f>
        <v/>
      </c>
      <c r="E87" s="29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H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5.7109375" style="2" hidden="1" customWidth="1" outlineLevel="1"/>
    <col min="22" max="22" width="30.7109375" style="2" hidden="1" customWidth="1" outlineLevel="1"/>
    <col min="23" max="23" width="5.7109375" style="2" hidden="1" customWidth="1" outlineLevel="1"/>
    <col min="24" max="24" width="5.28515625" style="2" hidden="1" customWidth="1" outlineLevel="1"/>
    <col min="25" max="26" width="40.7109375" style="2" hidden="1" customWidth="1" outlineLevel="1"/>
    <col min="27" max="27" width="5.7109375" style="2" hidden="1" customWidth="1" outlineLevel="1"/>
    <col min="28" max="28" width="40.7109375" style="2" hidden="1" customWidth="1" outlineLevel="1"/>
    <col min="29" max="29" width="5.7109375" style="2" hidden="1" customWidth="1" outlineLevel="1"/>
    <col min="30" max="30" width="5.7109375" style="3" hidden="1" customWidth="1" outlineLevel="1"/>
    <col min="31" max="31" width="50.28515625" style="2" hidden="1" customWidth="1" outlineLevel="1"/>
    <col min="32" max="32" width="5.7109375" style="2" hidden="1" customWidth="1" outlineLevel="1"/>
    <col min="33" max="33" width="25.7109375" style="2" hidden="1" customWidth="1" outlineLevel="1"/>
    <col min="34" max="34" width="15.7109375" style="3" hidden="1" customWidth="1" outlineLevel="1"/>
    <col min="35" max="16384" width="11.42578125" style="2"/>
  </cols>
  <sheetData>
    <row r="1" spans="1:34" x14ac:dyDescent="0.2">
      <c r="A1" s="295"/>
    </row>
    <row r="3" spans="1:34" x14ac:dyDescent="0.2">
      <c r="B3" s="446" t="s">
        <v>170</v>
      </c>
      <c r="C3" s="446"/>
      <c r="D3" s="446"/>
      <c r="E3" s="446"/>
      <c r="F3" s="446"/>
      <c r="G3" s="446"/>
      <c r="H3" s="446"/>
      <c r="I3" s="446"/>
      <c r="J3" s="446"/>
      <c r="K3" s="446"/>
      <c r="L3" s="446"/>
      <c r="M3" s="446"/>
      <c r="O3" s="446" t="s">
        <v>171</v>
      </c>
      <c r="P3" s="446"/>
      <c r="R3" s="446" t="s">
        <v>172</v>
      </c>
      <c r="S3" s="446"/>
      <c r="V3" s="82" t="s">
        <v>176</v>
      </c>
      <c r="X3" s="446" t="s">
        <v>23</v>
      </c>
      <c r="Y3" s="446"/>
      <c r="Z3" s="446"/>
      <c r="AA3" s="446"/>
      <c r="AB3" s="446"/>
      <c r="AD3" s="446" t="s">
        <v>228</v>
      </c>
      <c r="AE3" s="446"/>
      <c r="AG3" s="446" t="s">
        <v>180</v>
      </c>
      <c r="AH3" s="446"/>
    </row>
    <row r="4" spans="1:34" ht="15.75" thickBot="1" x14ac:dyDescent="0.25"/>
    <row r="5" spans="1:34" ht="15.75" thickBot="1" x14ac:dyDescent="0.25">
      <c r="D5" s="449" t="s">
        <v>163</v>
      </c>
      <c r="E5" s="449" t="s">
        <v>166</v>
      </c>
      <c r="F5" s="449" t="s">
        <v>164</v>
      </c>
      <c r="G5" s="449" t="s">
        <v>165</v>
      </c>
      <c r="H5" s="449"/>
      <c r="I5" s="449"/>
      <c r="J5" s="449" t="s">
        <v>161</v>
      </c>
      <c r="K5" s="449"/>
      <c r="L5" s="449"/>
      <c r="M5" s="449"/>
      <c r="O5" s="447" t="s">
        <v>236</v>
      </c>
      <c r="P5" s="4" t="str">
        <f>VLOOKUP(AUXILIAR!$B$7,AUXILIAR!$D$7:$I$81,4,FALSE)</f>
        <v>nº 295, 23 de diciembre de 2021</v>
      </c>
      <c r="R5" s="2" t="s">
        <v>173</v>
      </c>
      <c r="S5" s="5" t="s">
        <v>234</v>
      </c>
      <c r="V5" s="4" t="s">
        <v>40</v>
      </c>
      <c r="X5" s="2" t="str">
        <f>M7</f>
        <v>PAPE</v>
      </c>
      <c r="AG5" s="98" t="s">
        <v>208</v>
      </c>
      <c r="AH5" s="99" t="s">
        <v>209</v>
      </c>
    </row>
    <row r="6" spans="1:34" x14ac:dyDescent="0.3">
      <c r="D6" s="449"/>
      <c r="E6" s="449"/>
      <c r="F6" s="449"/>
      <c r="G6" s="76" t="s">
        <v>167</v>
      </c>
      <c r="H6" s="76" t="s">
        <v>169</v>
      </c>
      <c r="I6" s="76" t="s">
        <v>168</v>
      </c>
      <c r="J6" s="450" t="str">
        <f>IF(COUNTIF($J$7:$J$81,"SÍ")=0,"",IF(COUNTIF($J$7:$J$81,"SÍ")=1,"SÍ",IF(COUNTIF($J$7:$J$81,"SÍ")&gt;1,"NO")))</f>
        <v>SÍ</v>
      </c>
      <c r="K6" s="450"/>
      <c r="L6" s="450"/>
      <c r="M6" s="450"/>
      <c r="O6" s="448"/>
      <c r="P6" s="4" t="str">
        <f>VLOOKUP(AUXILIAR!$B$7,AUXILIAR!$D$7:$I$81,5,FALSE)</f>
        <v>nº 283, 9 de diciembre de 2022</v>
      </c>
      <c r="S6" s="100" t="str">
        <f>IF($S$5="SÍ","Bloquear celda F25 de EXPEDIENTE","")</f>
        <v/>
      </c>
      <c r="V6" s="4" t="s">
        <v>66</v>
      </c>
      <c r="X6" s="4">
        <v>1</v>
      </c>
      <c r="Y6" s="298" t="s">
        <v>238</v>
      </c>
      <c r="Z6" s="4" t="str">
        <f t="shared" ref="Z6:Z15" si="0">IF(Y6="",11,Y6)</f>
        <v>Obras</v>
      </c>
      <c r="AA6" s="4">
        <f t="shared" ref="AA6:AA15" si="1">IF(Z6&lt;&gt;11,X6,11)</f>
        <v>1</v>
      </c>
      <c r="AB6" s="4" t="str">
        <f t="shared" ref="AB6:AB15" si="2">IFERROR(VLOOKUP(SMALL($AA$6:$AA$15,X6),$X$6:$Y$15,2,FALSE),"X")</f>
        <v>Obras</v>
      </c>
      <c r="AD6" s="6">
        <v>0</v>
      </c>
      <c r="AE6" s="4" t="s">
        <v>94</v>
      </c>
      <c r="AG6" s="96" t="s">
        <v>210</v>
      </c>
      <c r="AH6" s="63">
        <v>2130</v>
      </c>
    </row>
    <row r="7" spans="1:34" ht="15.75" thickBot="1" x14ac:dyDescent="0.35">
      <c r="B7" s="6" t="str">
        <f>M7</f>
        <v>PAPE</v>
      </c>
      <c r="C7" s="3">
        <v>1</v>
      </c>
      <c r="D7" s="5" t="s">
        <v>221</v>
      </c>
      <c r="E7" s="11">
        <v>9</v>
      </c>
      <c r="F7" s="8" t="s">
        <v>222</v>
      </c>
      <c r="G7" s="9" t="s">
        <v>223</v>
      </c>
      <c r="H7" s="9" t="s">
        <v>224</v>
      </c>
      <c r="I7" s="9" t="s">
        <v>225</v>
      </c>
      <c r="J7" s="5" t="s">
        <v>162</v>
      </c>
      <c r="K7" s="6">
        <f>IF(J7="",76,C7)</f>
        <v>1</v>
      </c>
      <c r="L7" s="6">
        <f>IF(K7&lt;&gt;76,C7,76)</f>
        <v>1</v>
      </c>
      <c r="M7" s="6" t="str">
        <f>IFERROR(VLOOKUP(SMALL($L$7:$L$81,C7),$C$7:$D$81,2,FALSE),"X")</f>
        <v>PAPE</v>
      </c>
      <c r="O7" s="448"/>
      <c r="P7" s="4" t="str">
        <f>VLOOKUP(AUXILIAR!$B$7,AUXILIAR!$D$7:$I$81,6,FALSE)</f>
        <v>nº 106, 9 de mayo de 2024</v>
      </c>
      <c r="X7" s="4">
        <v>2</v>
      </c>
      <c r="Y7" s="298" t="s">
        <v>239</v>
      </c>
      <c r="Z7" s="4" t="str">
        <f t="shared" si="0"/>
        <v>Suministros</v>
      </c>
      <c r="AA7" s="4">
        <f t="shared" si="1"/>
        <v>2</v>
      </c>
      <c r="AB7" s="4" t="str">
        <f t="shared" si="2"/>
        <v>Suministros</v>
      </c>
      <c r="AD7" s="6">
        <v>1</v>
      </c>
      <c r="AE7" s="4" t="s">
        <v>233</v>
      </c>
      <c r="AG7" s="97" t="s">
        <v>219</v>
      </c>
      <c r="AH7" s="65">
        <v>2130</v>
      </c>
    </row>
    <row r="8" spans="1:34" x14ac:dyDescent="0.3">
      <c r="C8" s="3">
        <v>2</v>
      </c>
      <c r="D8" s="5"/>
      <c r="E8" s="11"/>
      <c r="F8" s="8"/>
      <c r="G8" s="9"/>
      <c r="H8" s="9"/>
      <c r="I8" s="9"/>
      <c r="J8" s="5"/>
      <c r="K8" s="6">
        <f t="shared" ref="K8:K12" si="3">IF(J8="",76,C8)</f>
        <v>76</v>
      </c>
      <c r="L8" s="6">
        <f t="shared" ref="L8:L12" si="4">IF(K8&lt;&gt;76,C8,76)</f>
        <v>76</v>
      </c>
      <c r="M8" s="6" t="str">
        <f t="shared" ref="M8:M71" si="5">IFERROR(VLOOKUP(SMALL($L$7:$L$81,C8),$C$7:$D$81,2,FALSE),"X")</f>
        <v>X</v>
      </c>
      <c r="R8" s="2" t="s">
        <v>174</v>
      </c>
      <c r="S8" s="10"/>
      <c r="X8" s="4">
        <v>3</v>
      </c>
      <c r="Y8" s="298" t="s">
        <v>240</v>
      </c>
      <c r="Z8" s="4" t="str">
        <f t="shared" si="0"/>
        <v>Proyectos técnicos</v>
      </c>
      <c r="AA8" s="4">
        <f t="shared" si="1"/>
        <v>3</v>
      </c>
      <c r="AB8" s="4" t="str">
        <f t="shared" si="2"/>
        <v>Proyectos técnicos</v>
      </c>
      <c r="AD8" s="6">
        <v>2</v>
      </c>
      <c r="AE8" s="4" t="s">
        <v>45</v>
      </c>
      <c r="AG8" s="445" t="s">
        <v>211</v>
      </c>
      <c r="AH8" s="95" t="s">
        <v>209</v>
      </c>
    </row>
    <row r="9" spans="1:34" x14ac:dyDescent="0.3">
      <c r="C9" s="3">
        <v>3</v>
      </c>
      <c r="D9" s="5"/>
      <c r="E9" s="11"/>
      <c r="F9" s="8"/>
      <c r="G9" s="9"/>
      <c r="H9" s="9"/>
      <c r="I9" s="9"/>
      <c r="J9" s="5"/>
      <c r="K9" s="6">
        <f t="shared" si="3"/>
        <v>76</v>
      </c>
      <c r="L9" s="6">
        <f t="shared" si="4"/>
        <v>76</v>
      </c>
      <c r="M9" s="6" t="str">
        <f t="shared" si="5"/>
        <v>X</v>
      </c>
      <c r="O9" s="12" t="s">
        <v>29</v>
      </c>
      <c r="P9" s="9">
        <v>2024</v>
      </c>
      <c r="X9" s="4">
        <v>4</v>
      </c>
      <c r="Y9" s="298" t="s">
        <v>241</v>
      </c>
      <c r="Z9" s="4" t="str">
        <f t="shared" si="0"/>
        <v>Dirección facultativa de las obras</v>
      </c>
      <c r="AA9" s="4">
        <f t="shared" si="1"/>
        <v>4</v>
      </c>
      <c r="AB9" s="4" t="str">
        <f t="shared" si="2"/>
        <v>Dirección facultativa de las obras</v>
      </c>
      <c r="AD9" s="6">
        <v>3</v>
      </c>
      <c r="AE9" s="4" t="s">
        <v>42</v>
      </c>
      <c r="AG9" s="443"/>
      <c r="AH9" s="64" t="s">
        <v>183</v>
      </c>
    </row>
    <row r="10" spans="1:34" x14ac:dyDescent="0.2">
      <c r="C10" s="3">
        <v>4</v>
      </c>
      <c r="D10" s="5"/>
      <c r="E10" s="11"/>
      <c r="F10" s="8"/>
      <c r="G10" s="9"/>
      <c r="H10" s="9"/>
      <c r="I10" s="9"/>
      <c r="J10" s="5"/>
      <c r="K10" s="6">
        <f t="shared" si="3"/>
        <v>76</v>
      </c>
      <c r="L10" s="6">
        <f t="shared" si="4"/>
        <v>76</v>
      </c>
      <c r="M10" s="6" t="str">
        <f t="shared" si="5"/>
        <v>X</v>
      </c>
      <c r="R10" s="2" t="s">
        <v>175</v>
      </c>
      <c r="S10" s="13">
        <v>3</v>
      </c>
      <c r="T10" s="2" t="s">
        <v>33</v>
      </c>
      <c r="X10" s="4">
        <v>5</v>
      </c>
      <c r="Y10" s="7"/>
      <c r="Z10" s="4">
        <f t="shared" si="0"/>
        <v>11</v>
      </c>
      <c r="AA10" s="4">
        <f t="shared" si="1"/>
        <v>11</v>
      </c>
      <c r="AB10" s="4" t="str">
        <f t="shared" si="2"/>
        <v>X</v>
      </c>
      <c r="AD10" s="6">
        <v>4</v>
      </c>
      <c r="AE10" s="4" t="s">
        <v>73</v>
      </c>
      <c r="AG10" s="443"/>
      <c r="AH10" s="64" t="s">
        <v>184</v>
      </c>
    </row>
    <row r="11" spans="1:34" x14ac:dyDescent="0.2">
      <c r="C11" s="3">
        <v>5</v>
      </c>
      <c r="D11" s="5"/>
      <c r="E11" s="11"/>
      <c r="F11" s="8"/>
      <c r="G11" s="9"/>
      <c r="H11" s="9"/>
      <c r="I11" s="9"/>
      <c r="J11" s="5"/>
      <c r="K11" s="6">
        <f t="shared" si="3"/>
        <v>76</v>
      </c>
      <c r="L11" s="6">
        <f t="shared" si="4"/>
        <v>76</v>
      </c>
      <c r="M11" s="6" t="str">
        <f t="shared" si="5"/>
        <v>X</v>
      </c>
      <c r="O11" s="447" t="s">
        <v>178</v>
      </c>
      <c r="P11" s="9" t="s">
        <v>237</v>
      </c>
      <c r="R11" s="3"/>
      <c r="X11" s="4">
        <v>6</v>
      </c>
      <c r="Y11" s="7"/>
      <c r="Z11" s="4">
        <f t="shared" si="0"/>
        <v>11</v>
      </c>
      <c r="AA11" s="4">
        <f t="shared" si="1"/>
        <v>11</v>
      </c>
      <c r="AB11" s="4" t="str">
        <f t="shared" si="2"/>
        <v>X</v>
      </c>
      <c r="AD11" s="6">
        <v>5</v>
      </c>
      <c r="AE11" s="4" t="s">
        <v>230</v>
      </c>
      <c r="AG11" s="443"/>
      <c r="AH11" s="64" t="s">
        <v>185</v>
      </c>
    </row>
    <row r="12" spans="1:34" x14ac:dyDescent="0.2">
      <c r="C12" s="3">
        <v>6</v>
      </c>
      <c r="D12" s="5"/>
      <c r="E12" s="11"/>
      <c r="F12" s="8"/>
      <c r="G12" s="9"/>
      <c r="H12" s="9"/>
      <c r="I12" s="9"/>
      <c r="J12" s="5"/>
      <c r="K12" s="6">
        <f t="shared" si="3"/>
        <v>76</v>
      </c>
      <c r="L12" s="6">
        <f t="shared" si="4"/>
        <v>76</v>
      </c>
      <c r="M12" s="6" t="str">
        <f t="shared" si="5"/>
        <v>X</v>
      </c>
      <c r="O12" s="448"/>
      <c r="P12" s="9"/>
      <c r="R12" s="14" t="s">
        <v>37</v>
      </c>
      <c r="S12" s="15">
        <f>EXPEDIENTE!F27</f>
        <v>0</v>
      </c>
      <c r="X12" s="4">
        <v>7</v>
      </c>
      <c r="Y12" s="7"/>
      <c r="Z12" s="4">
        <f t="shared" si="0"/>
        <v>11</v>
      </c>
      <c r="AA12" s="4">
        <f t="shared" si="1"/>
        <v>11</v>
      </c>
      <c r="AB12" s="4" t="str">
        <f t="shared" si="2"/>
        <v>X</v>
      </c>
      <c r="AD12" s="6">
        <v>6</v>
      </c>
      <c r="AE12" s="4" t="s">
        <v>77</v>
      </c>
      <c r="AG12" s="443"/>
      <c r="AH12" s="64" t="s">
        <v>186</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48"/>
      <c r="P13" s="9"/>
      <c r="R13" s="14" t="s">
        <v>34</v>
      </c>
      <c r="S13" s="4">
        <f>DAY(S12)</f>
        <v>0</v>
      </c>
      <c r="X13" s="4">
        <v>8</v>
      </c>
      <c r="Y13" s="7"/>
      <c r="Z13" s="4">
        <f t="shared" si="0"/>
        <v>11</v>
      </c>
      <c r="AA13" s="4">
        <f t="shared" si="1"/>
        <v>11</v>
      </c>
      <c r="AB13" s="4" t="str">
        <f t="shared" si="2"/>
        <v>X</v>
      </c>
      <c r="AD13" s="6">
        <v>7</v>
      </c>
      <c r="AE13" s="4" t="s">
        <v>44</v>
      </c>
      <c r="AG13" s="443"/>
      <c r="AH13" s="64" t="s">
        <v>187</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43"/>
      <c r="AH14" s="64" t="s">
        <v>188</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43"/>
      <c r="AH15" s="64" t="s">
        <v>189</v>
      </c>
    </row>
    <row r="16" spans="1:34" x14ac:dyDescent="0.2">
      <c r="C16" s="3">
        <v>10</v>
      </c>
      <c r="D16" s="5"/>
      <c r="E16" s="11"/>
      <c r="F16" s="8"/>
      <c r="G16" s="9"/>
      <c r="H16" s="9"/>
      <c r="I16" s="9"/>
      <c r="J16" s="5"/>
      <c r="K16" s="6">
        <f t="shared" si="6"/>
        <v>76</v>
      </c>
      <c r="L16" s="6">
        <f t="shared" si="7"/>
        <v>76</v>
      </c>
      <c r="M16" s="6" t="str">
        <f t="shared" si="5"/>
        <v>X</v>
      </c>
      <c r="R16" s="3"/>
      <c r="AG16" s="443"/>
      <c r="AH16" s="64" t="s">
        <v>179</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91</v>
      </c>
      <c r="X17" s="4" t="str">
        <f>IF(M8="X","",M8)</f>
        <v/>
      </c>
      <c r="AG17" s="443"/>
      <c r="AH17" s="64" t="s">
        <v>181</v>
      </c>
    </row>
    <row r="18" spans="3:34" x14ac:dyDescent="0.3">
      <c r="C18" s="3">
        <v>12</v>
      </c>
      <c r="D18" s="5"/>
      <c r="E18" s="11"/>
      <c r="F18" s="8"/>
      <c r="G18" s="9"/>
      <c r="H18" s="9"/>
      <c r="I18" s="9"/>
      <c r="J18" s="5"/>
      <c r="K18" s="6">
        <f t="shared" si="6"/>
        <v>76</v>
      </c>
      <c r="L18" s="6">
        <f t="shared" si="7"/>
        <v>76</v>
      </c>
      <c r="M18" s="6" t="str">
        <f t="shared" si="5"/>
        <v>X</v>
      </c>
      <c r="R18" s="14" t="s">
        <v>39</v>
      </c>
      <c r="S18" s="15">
        <f>IF(DAY(S12)=DAY(S17),S17,DATE(YEAR(S17),MONTH(S17),1)-1)</f>
        <v>60</v>
      </c>
      <c r="X18" s="4">
        <v>1</v>
      </c>
      <c r="Y18" s="298"/>
      <c r="Z18" s="4">
        <f>IF(Y18="",11,Y18)</f>
        <v>11</v>
      </c>
      <c r="AA18" s="4">
        <f t="shared" ref="AA18:AA27" si="8">IF(Z18&lt;&gt;11,X18,11)</f>
        <v>11</v>
      </c>
      <c r="AB18" s="4" t="str">
        <f>IFERROR(VLOOKUP(SMALL($AA$18:$AA$27,X18),$X$18:$Y$27,2,FALSE),"X")</f>
        <v>X</v>
      </c>
      <c r="AD18" s="6">
        <f>COUNTBLANK('RELACIÓN DE FACTURAS'!$O$9:$AL$83)</f>
        <v>1575</v>
      </c>
      <c r="AE18" s="4" t="s">
        <v>229</v>
      </c>
      <c r="AG18" s="443"/>
      <c r="AH18" s="64"/>
    </row>
    <row r="19" spans="3:34" x14ac:dyDescent="0.3">
      <c r="C19" s="3">
        <v>13</v>
      </c>
      <c r="D19" s="5"/>
      <c r="E19" s="11"/>
      <c r="F19" s="8"/>
      <c r="G19" s="9"/>
      <c r="H19" s="9"/>
      <c r="I19" s="9"/>
      <c r="J19" s="5"/>
      <c r="K19" s="6">
        <f t="shared" si="6"/>
        <v>76</v>
      </c>
      <c r="L19" s="6">
        <f t="shared" si="7"/>
        <v>76</v>
      </c>
      <c r="M19" s="6" t="str">
        <f t="shared" si="5"/>
        <v>X</v>
      </c>
      <c r="R19" s="14"/>
      <c r="S19" s="313"/>
      <c r="X19" s="4">
        <v>2</v>
      </c>
      <c r="Y19" s="298"/>
      <c r="Z19" s="4">
        <f t="shared" ref="Z19:Z27" si="9">IF(Y19="",11,Y19)</f>
        <v>11</v>
      </c>
      <c r="AA19" s="4">
        <f t="shared" si="8"/>
        <v>11</v>
      </c>
      <c r="AB19" s="4" t="str">
        <f t="shared" ref="AB19:AB27" si="10">IFERROR(VLOOKUP(SMALL($AA$18:$AA$27,X19),$X$18:$Y$27,2,FALSE),"X")</f>
        <v>X</v>
      </c>
      <c r="AG19" s="443"/>
      <c r="AH19" s="64"/>
    </row>
    <row r="20" spans="3:34" x14ac:dyDescent="0.3">
      <c r="C20" s="3">
        <v>14</v>
      </c>
      <c r="D20" s="5"/>
      <c r="E20" s="11"/>
      <c r="F20" s="8"/>
      <c r="G20" s="9"/>
      <c r="H20" s="9"/>
      <c r="I20" s="9"/>
      <c r="J20" s="5"/>
      <c r="K20" s="6">
        <f t="shared" si="6"/>
        <v>76</v>
      </c>
      <c r="L20" s="6">
        <f t="shared" si="7"/>
        <v>76</v>
      </c>
      <c r="M20" s="6" t="str">
        <f t="shared" si="5"/>
        <v>X</v>
      </c>
      <c r="R20" s="14" t="s">
        <v>60</v>
      </c>
      <c r="S20" s="313"/>
      <c r="X20" s="4">
        <v>3</v>
      </c>
      <c r="Y20" s="298"/>
      <c r="Z20" s="4">
        <f t="shared" si="9"/>
        <v>11</v>
      </c>
      <c r="AA20" s="4">
        <f t="shared" si="8"/>
        <v>11</v>
      </c>
      <c r="AB20" s="4" t="str">
        <f t="shared" si="10"/>
        <v>X</v>
      </c>
      <c r="AG20" s="443"/>
      <c r="AH20" s="64"/>
    </row>
    <row r="21" spans="3:34" x14ac:dyDescent="0.2">
      <c r="C21" s="3">
        <v>15</v>
      </c>
      <c r="D21" s="5"/>
      <c r="E21" s="11"/>
      <c r="F21" s="8"/>
      <c r="G21" s="9"/>
      <c r="H21" s="9"/>
      <c r="I21" s="9"/>
      <c r="J21" s="5"/>
      <c r="K21" s="6">
        <f t="shared" si="6"/>
        <v>76</v>
      </c>
      <c r="L21" s="6">
        <f t="shared" si="7"/>
        <v>76</v>
      </c>
      <c r="M21" s="6" t="str">
        <f t="shared" si="5"/>
        <v>X</v>
      </c>
      <c r="R21" s="14" t="s">
        <v>38</v>
      </c>
      <c r="S21" s="15" t="str">
        <f>EXPEDIENTE!$I$27</f>
        <v/>
      </c>
      <c r="X21" s="4">
        <v>4</v>
      </c>
      <c r="Y21" s="7"/>
      <c r="Z21" s="4">
        <f t="shared" si="9"/>
        <v>11</v>
      </c>
      <c r="AA21" s="4">
        <f t="shared" si="8"/>
        <v>11</v>
      </c>
      <c r="AB21" s="4" t="str">
        <f t="shared" si="10"/>
        <v>X</v>
      </c>
      <c r="AG21" s="443"/>
      <c r="AH21" s="64"/>
    </row>
    <row r="22" spans="3:34" x14ac:dyDescent="0.2">
      <c r="C22" s="3">
        <v>16</v>
      </c>
      <c r="D22" s="5"/>
      <c r="E22" s="11"/>
      <c r="F22" s="8"/>
      <c r="G22" s="9"/>
      <c r="H22" s="9"/>
      <c r="I22" s="9"/>
      <c r="J22" s="5"/>
      <c r="K22" s="6">
        <f t="shared" si="6"/>
        <v>76</v>
      </c>
      <c r="L22" s="6">
        <f t="shared" si="7"/>
        <v>76</v>
      </c>
      <c r="M22" s="6" t="str">
        <f t="shared" si="5"/>
        <v>X</v>
      </c>
      <c r="R22" s="14" t="s">
        <v>39</v>
      </c>
      <c r="S22" s="15" t="e">
        <f>DATE(YEAR(S21),MONTH(S21)+S10,DAY(S21))</f>
        <v>#VALUE!</v>
      </c>
      <c r="X22" s="4">
        <v>5</v>
      </c>
      <c r="Y22" s="7"/>
      <c r="Z22" s="4">
        <f t="shared" si="9"/>
        <v>11</v>
      </c>
      <c r="AA22" s="4">
        <f t="shared" si="8"/>
        <v>11</v>
      </c>
      <c r="AB22" s="4" t="str">
        <f t="shared" si="10"/>
        <v>X</v>
      </c>
      <c r="AG22" s="443"/>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43"/>
      <c r="AH23" s="64"/>
    </row>
    <row r="24" spans="3:34" x14ac:dyDescent="0.2">
      <c r="C24" s="3">
        <v>18</v>
      </c>
      <c r="D24" s="5"/>
      <c r="E24" s="11"/>
      <c r="F24" s="8"/>
      <c r="G24" s="9"/>
      <c r="H24" s="9"/>
      <c r="I24" s="9"/>
      <c r="J24" s="5"/>
      <c r="K24" s="6">
        <f t="shared" si="6"/>
        <v>76</v>
      </c>
      <c r="L24" s="6">
        <f t="shared" si="7"/>
        <v>76</v>
      </c>
      <c r="M24" s="6" t="str">
        <f t="shared" si="5"/>
        <v>X</v>
      </c>
      <c r="R24" s="2" t="s">
        <v>155</v>
      </c>
      <c r="X24" s="4">
        <v>7</v>
      </c>
      <c r="Y24" s="7"/>
      <c r="Z24" s="4">
        <f t="shared" si="9"/>
        <v>11</v>
      </c>
      <c r="AA24" s="4">
        <f t="shared" si="8"/>
        <v>11</v>
      </c>
      <c r="AB24" s="4" t="str">
        <f t="shared" si="10"/>
        <v>X</v>
      </c>
      <c r="AG24" s="443"/>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43"/>
      <c r="AH25" s="64"/>
    </row>
    <row r="26" spans="3:34" x14ac:dyDescent="0.2">
      <c r="C26" s="3">
        <v>20</v>
      </c>
      <c r="D26" s="5"/>
      <c r="E26" s="11"/>
      <c r="F26" s="8"/>
      <c r="G26" s="9"/>
      <c r="H26" s="9"/>
      <c r="I26" s="9"/>
      <c r="J26" s="5"/>
      <c r="K26" s="6">
        <f t="shared" si="6"/>
        <v>76</v>
      </c>
      <c r="L26" s="6">
        <f t="shared" si="7"/>
        <v>76</v>
      </c>
      <c r="M26" s="6" t="str">
        <f t="shared" si="5"/>
        <v>X</v>
      </c>
      <c r="R26" s="2" t="s">
        <v>111</v>
      </c>
      <c r="X26" s="4">
        <v>9</v>
      </c>
      <c r="Y26" s="7"/>
      <c r="Z26" s="4">
        <f t="shared" si="9"/>
        <v>11</v>
      </c>
      <c r="AA26" s="4">
        <f t="shared" si="8"/>
        <v>11</v>
      </c>
      <c r="AB26" s="4" t="str">
        <f t="shared" si="10"/>
        <v>X</v>
      </c>
      <c r="AG26" s="443"/>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4"/>
      <c r="AH27" s="65" t="s">
        <v>218</v>
      </c>
    </row>
    <row r="28" spans="3:34" x14ac:dyDescent="0.2">
      <c r="C28" s="3">
        <v>22</v>
      </c>
      <c r="D28" s="5"/>
      <c r="E28" s="11"/>
      <c r="F28" s="8"/>
      <c r="G28" s="9"/>
      <c r="H28" s="9"/>
      <c r="I28" s="9"/>
      <c r="J28" s="5"/>
      <c r="K28" s="6">
        <f t="shared" si="6"/>
        <v>76</v>
      </c>
      <c r="L28" s="6">
        <f t="shared" si="7"/>
        <v>76</v>
      </c>
      <c r="M28" s="6" t="str">
        <f t="shared" si="5"/>
        <v>X</v>
      </c>
      <c r="Y28" s="17"/>
      <c r="AG28" s="443" t="s">
        <v>212</v>
      </c>
      <c r="AH28" s="63" t="s">
        <v>213</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Obras</v>
      </c>
      <c r="AG29" s="443"/>
      <c r="AH29" s="64" t="s">
        <v>214</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Suministros</v>
      </c>
      <c r="AG30" s="443"/>
      <c r="AH30" s="64" t="s">
        <v>215</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Proyectos técnicos</v>
      </c>
      <c r="AG31" s="443"/>
      <c r="AH31" s="64" t="s">
        <v>216</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Dirección facultativa de las obras</v>
      </c>
      <c r="AG32" s="444"/>
      <c r="AH32" s="65" t="s">
        <v>217</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5WdXf7Pd6HwsdTfa12iZ5YJ7qaNH4AKkLVE2YKT2ixmpgz6NTvpfzlYo2NYsjFWtoIx3RIEPphEr9mZi8z6+ZA==" saltValue="+h/st8nGam8y4y8kKsbj6g==" spinCount="100000" sheet="1" selectLockedCells="1"/>
  <mergeCells count="16">
    <mergeCell ref="O11:O13"/>
    <mergeCell ref="X3:AB3"/>
    <mergeCell ref="J5:M5"/>
    <mergeCell ref="J6:M6"/>
    <mergeCell ref="O3:P3"/>
    <mergeCell ref="B3:M3"/>
    <mergeCell ref="O5:O7"/>
    <mergeCell ref="G5:I5"/>
    <mergeCell ref="D5:D6"/>
    <mergeCell ref="E5:E6"/>
    <mergeCell ref="F5:F6"/>
    <mergeCell ref="AG28:AG32"/>
    <mergeCell ref="AG8:AG27"/>
    <mergeCell ref="AD3:AE3"/>
    <mergeCell ref="AG3:AH3"/>
    <mergeCell ref="R3:S3"/>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B19:Q81 X19:AH81 R19:W85 B1:AH18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294" customWidth="1"/>
    <col min="4" max="16384" width="11.42578125" style="114"/>
  </cols>
  <sheetData>
    <row r="2" spans="2:3" x14ac:dyDescent="0.3">
      <c r="B2" s="113" t="s">
        <v>182</v>
      </c>
      <c r="C2" s="304"/>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B6AF4249-8C7D-4A20-82AA-E68DCBF443D0}"/>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2025-07-28T06:31:08Z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