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APRO/25.APRO-4-COBRO-Formularios/"/>
    </mc:Choice>
  </mc:AlternateContent>
  <xr:revisionPtr revIDLastSave="906" documentId="8_{6A59C32E-34A7-4ADA-9336-6B59621D1AD9}" xr6:coauthVersionLast="47" xr6:coauthVersionMax="47" xr10:uidLastSave="{F06542F6-4B4F-4FE4-9A24-716348230679}"/>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4" l="1"/>
  <c r="V6" i="4"/>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D19" i="4"/>
  <c r="AD26" i="4"/>
  <c r="AD25" i="4"/>
  <c r="AD24" i="4"/>
  <c r="AD23" i="4"/>
  <c r="AD22" i="4"/>
  <c r="AD21" i="4"/>
  <c r="AD18" i="4"/>
  <c r="AD20" i="4"/>
  <c r="AD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F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<sst xmlns="http://schemas.openxmlformats.org/spreadsheetml/2006/main" count="319" uniqueCount="242">
  <si>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</si>
  <si>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</si>
  <si>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</si>
  <si>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</si>
  <si>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</si>
  <si>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</si>
  <si>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</si>
  <si>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</si>
  <si>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</si>
  <si>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</si>
  <si>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</si>
  <si>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</si>
  <si>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</si>
  <si>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</si>
  <si>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</si>
  <si>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</si>
  <si>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</si>
  <si>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</si>
  <si>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</si>
  <si>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</si>
  <si>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</si>
  <si>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</si>
  <si>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</si>
  <si>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</si>
  <si>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</si>
  <si>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</si>
  <si>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</si>
  <si>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</si>
  <si>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</si>
  <si>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</si>
  <si>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</si>
  <si>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</si>
  <si>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</si>
  <si>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</si>
  <si>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</si>
  <si>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</si>
  <si>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</si>
  <si>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</si>
  <si>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</si>
  <si>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</si>
  <si>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</si>
  <si>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</si>
  <si>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</si>
  <si>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</si>
  <si>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</si>
  <si>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</si>
  <si>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</si>
  <si>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</si>
  <si>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</si>
  <si>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</si>
  <si>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</si>
  <si>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</si>
  <si>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</si>
  <si>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</si>
  <si>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</si>
  <si>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</si>
  <si>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</si>
  <si>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</si>
  <si>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</si>
  <si>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</si>
  <si>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</si>
  <si>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</si>
  <si>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</si>
  <si>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</si>
  <si>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</si>
  <si>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</si>
  <si>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</si>
  <si>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</si>
  <si>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</si>
  <si>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</si>
  <si>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</si>
  <si>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</si>
  <si>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</si>
  <si>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</si>
  <si>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</si>
  <si>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</si>
  <si>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</si>
  <si>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</si>
  <si>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</si>
  <si>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</si>
  <si>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</si>
  <si>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</si>
  <si>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</si>
  <si>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</si>
  <si>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</si>
  <si>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</si>
  <si>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</si>
  <si>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</si>
  <si>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</si>
  <si>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</si>
  <si>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</si>
  <si>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</si>
  <si>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</si>
  <si>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</si>
  <si>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</si>
  <si>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</si>
  <si>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</si>
  <si>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</si>
  <si>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</si>
  <si>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</si>
  <si>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</si>
  <si>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</si>
  <si>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</si>
  <si>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</si>
  <si>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</si>
  <si>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</si>
  <si>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</si>
  <si>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</si>
  <si>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</si>
  <si>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</si>
  <si>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</si>
  <si>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</si>
  <si>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</si>
  <si>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</si>
  <si>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</si>
  <si>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</si>
  <si>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</si>
  <si>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</si>
  <si>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</si>
  <si>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</si>
  <si>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</si>
  <si>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</si>
  <si>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</si>
  <si>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</si>
  <si>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</si>
  <si>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</si>
  <si>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</si>
  <si>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</si>
  <si>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</si>
  <si>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</si>
  <si>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</si>
  <si>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</si>
  <si>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</si>
  <si>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</si>
  <si>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</si>
  <si>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</si>
  <si>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</si>
  <si>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</si>
  <si>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</si>
  <si>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</si>
  <si>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</si>
  <si>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</si>
  <si>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</si>
  <si>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</si>
  <si>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</si>
  <si>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</si>
  <si>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</si>
  <si>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</si>
  <si>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</si>
  <si>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</si>
  <si>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</si>
  <si>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</si>
  <si>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</si>
  <si>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</si>
  <si>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</si>
  <si>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</si>
  <si>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</si>
  <si>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</si>
  <si>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</si>
  <si>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</si>
  <si>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</si>
  <si>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</si>
  <si>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</si>
  <si>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</si>
  <si>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</si>
  <si>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</si>
  <si>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</si>
  <si>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</si>
  <si>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</si>
  <si>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</si>
  <si>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</si>
  <si>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</si>
  <si>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</si>
  <si>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</si>
  <si>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</si>
  <si>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</si>
  <si>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</si>
  <si>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</si>
  <si>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</si>
  <si>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</si>
  <si>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</si>
  <si>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</si>
  <si>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</si>
  <si>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</si>
  <si>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</si>
  <si>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</si>
  <si>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</si>
  <si>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</si>
  <si>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</si>
  <si>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</si>
  <si>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</si>
  <si>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</si>
  <si>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</si>
  <si>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</si>
  <si>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</si>
  <si>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</si>
  <si>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</si>
  <si>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</si>
  <si>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</si>
  <si>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</si>
  <si>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</si>
  <si>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</si>
  <si>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</si>
  <si>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</si>
  <si>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</si>
  <si>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</si>
  <si>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</si>
  <si>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</si>
  <si>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</si>
  <si>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</si>
  <si>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</si>
  <si>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</si>
  <si>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</si>
  <si>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</si>
  <si>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</si>
  <si>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</si>
  <si>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</si>
  <si>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</si>
  <si>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</si>
  <si>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</si>
  <si>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PAPE</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</si>
  <si>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</si>
  <si>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</si>
  <si>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</si>
  <si>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</si>
  <si>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</si>
  <si>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</si>
  <si>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</si>
  <si>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</si>
  <si>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</si>
  <si>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</si>
  <si>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</si>
  <si>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APRO</t>
  </si>
  <si>
    <t>nº 82, de 11 de abril de 2023</t>
  </si>
  <si>
    <t>nº 69, de 25 de marzo de 2025</t>
  </si>
  <si>
    <t>nº 116, de 22 de mayo de 2025</t>
  </si>
  <si>
    <t>DOCUMENTACIÓN A INSERTAR</t>
  </si>
  <si>
    <t>CONTRATO O PEDIDO</t>
  </si>
  <si>
    <t xml:space="preserve">ALBARÁN </t>
  </si>
  <si>
    <t>Adquisición de activos materiales nuevos</t>
  </si>
  <si>
    <t>e) Dentro de la primera pestaña ("Crear nuevo") seleccionamos la opción "Package", marcamos la opción "Mostrar como icono" y pulsamos el botón "Aceptar".</t>
  </si>
  <si>
    <t>PROGRAMA DE APOYO A PYMES AUTÓNOMOS Y PYMES COMUNIDADES DE BIENES PARA INVERSIONES PRODUCTIVAS Y TECNOLÓGICAS, COFINANCIADAS POR EL FEDER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</si>
</sst>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4">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vertical="center"/>
    </xf>
    <xf numFmtId="0" fontId="24" fillId="0" borderId="0" xfId="0" applyFont="1" applyAlignment="1">
      <alignment horizontal="right" vertical="center"/>
    </xf>
    <xf numFmtId="0" fontId="2" fillId="6" borderId="1" xfId="0" applyFont="1" applyFill="1" applyBorder="1"/>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4" t="s">
        <v>227</v>
      </c>
    </row>
    <row r="6" spans="2:2" ht="15" customHeight="1" x14ac:dyDescent="0.2">
      <c r="B6" s="314"/>
    </row>
    <row r="7" spans="2:2" ht="15" customHeight="1" x14ac:dyDescent="0.2">
      <c r="B7" s="314"/>
    </row>
    <row r="8" spans="2:2" ht="15" customHeight="1" x14ac:dyDescent="0.2">
      <c r="B8" s="314"/>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109</v>
      </c>
    </row>
    <row r="13" spans="2:2" ht="15" customHeight="1" x14ac:dyDescent="0.2">
      <c r="B13" s="88" t="s">
        <v>203</v>
      </c>
    </row>
    <row r="14" spans="2:2" ht="15" customHeight="1" x14ac:dyDescent="0.2">
      <c r="B14" s="88" t="s">
        <v>204</v>
      </c>
    </row>
    <row r="15" spans="2:2" ht="15" customHeight="1" x14ac:dyDescent="0.2">
      <c r="B15" s="88" t="s">
        <v>205</v>
      </c>
    </row>
    <row r="16" spans="2:2" ht="15" customHeight="1" x14ac:dyDescent="0.2">
      <c r="B16" s="317" t="s">
        <v>206</v>
      </c>
    </row>
    <row r="17" spans="2:2" ht="15" customHeight="1" x14ac:dyDescent="0.2">
      <c r="B17" s="317"/>
    </row>
    <row r="18" spans="2:2" ht="9.9499999999999993" customHeight="1" x14ac:dyDescent="0.2">
      <c r="B18" s="317"/>
    </row>
    <row r="19" spans="2:2" ht="15" customHeight="1" x14ac:dyDescent="0.2">
      <c r="B19" s="85"/>
    </row>
    <row r="20" spans="2:2" ht="15" customHeight="1" x14ac:dyDescent="0.2">
      <c r="B20" s="296" t="s">
        <v>124</v>
      </c>
    </row>
    <row r="21" spans="2:2" ht="9.9499999999999993" customHeight="1" x14ac:dyDescent="0.2"/>
    <row r="22" spans="2:2" ht="15" customHeight="1" x14ac:dyDescent="0.2">
      <c r="B22" s="90" t="s">
        <v>111</v>
      </c>
    </row>
    <row r="23" spans="2:2" ht="15" customHeight="1" x14ac:dyDescent="0.2">
      <c r="B23" s="315" t="s">
        <v>112</v>
      </c>
    </row>
    <row r="24" spans="2:2" ht="15" customHeight="1" x14ac:dyDescent="0.2">
      <c r="B24" s="315"/>
    </row>
    <row r="25" spans="2:2" ht="15" customHeight="1" x14ac:dyDescent="0.2">
      <c r="B25" s="315" t="s">
        <v>113</v>
      </c>
    </row>
    <row r="26" spans="2:2" ht="15" customHeight="1" x14ac:dyDescent="0.2">
      <c r="B26" s="315"/>
    </row>
    <row r="27" spans="2:2" ht="15" customHeight="1" x14ac:dyDescent="0.2">
      <c r="B27" s="315" t="s">
        <v>114</v>
      </c>
    </row>
    <row r="28" spans="2:2" ht="15" customHeight="1" x14ac:dyDescent="0.2">
      <c r="B28" s="315"/>
    </row>
    <row r="29" spans="2:2" ht="15" customHeight="1" x14ac:dyDescent="0.2">
      <c r="B29" s="315" t="s">
        <v>115</v>
      </c>
    </row>
    <row r="30" spans="2:2" ht="15" customHeight="1" x14ac:dyDescent="0.2">
      <c r="B30" s="315"/>
    </row>
    <row r="31" spans="2:2" ht="15" customHeight="1" x14ac:dyDescent="0.2">
      <c r="B31" s="315" t="s">
        <v>116</v>
      </c>
    </row>
    <row r="32" spans="2:2" ht="15" customHeight="1" x14ac:dyDescent="0.2">
      <c r="B32" s="315"/>
    </row>
    <row r="33" spans="2:2" ht="15" customHeight="1" x14ac:dyDescent="0.2">
      <c r="B33" s="315"/>
    </row>
    <row r="34" spans="2:2" ht="15" customHeight="1" x14ac:dyDescent="0.2">
      <c r="B34" s="315" t="s">
        <v>117</v>
      </c>
    </row>
    <row r="35" spans="2:2" ht="15" customHeight="1" x14ac:dyDescent="0.2">
      <c r="B35" s="315"/>
    </row>
    <row r="36" spans="2:2" ht="15" customHeight="1" x14ac:dyDescent="0.2">
      <c r="B36" s="315"/>
    </row>
    <row r="37" spans="2:2" ht="9.9499999999999993" customHeight="1" x14ac:dyDescent="0.2"/>
    <row r="38" spans="2:2" ht="15" customHeight="1" x14ac:dyDescent="0.2">
      <c r="B38" s="92" t="s">
        <v>118</v>
      </c>
    </row>
    <row r="39" spans="2:2" ht="15" customHeight="1" x14ac:dyDescent="0.2">
      <c r="B39" s="315" t="s">
        <v>119</v>
      </c>
    </row>
    <row r="40" spans="2:2" ht="15" customHeight="1" x14ac:dyDescent="0.2">
      <c r="B40" s="315"/>
    </row>
    <row r="41" spans="2:2" ht="15" customHeight="1" x14ac:dyDescent="0.2">
      <c r="B41" s="315"/>
    </row>
    <row r="42" spans="2:2" ht="15" customHeight="1" x14ac:dyDescent="0.2">
      <c r="B42" s="315"/>
    </row>
    <row r="43" spans="2:2" ht="15" customHeight="1" x14ac:dyDescent="0.2">
      <c r="B43" s="315" t="s">
        <v>120</v>
      </c>
    </row>
    <row r="44" spans="2:2" ht="15" customHeight="1" x14ac:dyDescent="0.2">
      <c r="B44" s="315"/>
    </row>
    <row r="45" spans="2:2" ht="15" customHeight="1" x14ac:dyDescent="0.2">
      <c r="B45" s="315"/>
    </row>
    <row r="46" spans="2:2" ht="15" customHeight="1" x14ac:dyDescent="0.2">
      <c r="B46" s="315"/>
    </row>
    <row r="47" spans="2:2" ht="9.9499999999999993" customHeight="1" x14ac:dyDescent="0.2">
      <c r="B47" s="93"/>
    </row>
    <row r="48" spans="2:2" ht="15" customHeight="1" x14ac:dyDescent="0.2">
      <c r="B48" s="94" t="s">
        <v>125</v>
      </c>
    </row>
    <row r="49" spans="2:2" ht="15" customHeight="1" x14ac:dyDescent="0.2">
      <c r="B49" s="319" t="s">
        <v>121</v>
      </c>
    </row>
    <row r="50" spans="2:2" ht="15" customHeight="1" x14ac:dyDescent="0.2">
      <c r="B50" s="319"/>
    </row>
    <row r="51" spans="2:2" ht="9.9499999999999993" customHeight="1" x14ac:dyDescent="0.2">
      <c r="B51" s="316" t="s">
        <v>122</v>
      </c>
    </row>
    <row r="52" spans="2:2" ht="15" customHeight="1" x14ac:dyDescent="0.2">
      <c r="B52" s="316"/>
    </row>
    <row r="53" spans="2:2" ht="15" customHeight="1" x14ac:dyDescent="0.2">
      <c r="B53" s="316"/>
    </row>
    <row r="54" spans="2:2" ht="15" customHeight="1" x14ac:dyDescent="0.2">
      <c r="B54" s="316" t="s">
        <v>123</v>
      </c>
    </row>
    <row r="55" spans="2:2" ht="15" customHeight="1" x14ac:dyDescent="0.2">
      <c r="B55" s="316"/>
    </row>
    <row r="56" spans="2:2" ht="15" customHeight="1" x14ac:dyDescent="0.2">
      <c r="B56" s="91" t="s">
        <v>126</v>
      </c>
    </row>
    <row r="57" spans="2:2" ht="15" customHeight="1" x14ac:dyDescent="0.2">
      <c r="B57" s="91" t="s">
        <v>127</v>
      </c>
    </row>
    <row r="58" spans="2:2" ht="15" customHeight="1" x14ac:dyDescent="0.2">
      <c r="B58" s="315" t="s">
        <v>128</v>
      </c>
    </row>
    <row r="59" spans="2:2" ht="15" customHeight="1" x14ac:dyDescent="0.2">
      <c r="B59" s="315"/>
    </row>
    <row r="60" spans="2:2" ht="15" customHeight="1" x14ac:dyDescent="0.2">
      <c r="B60" s="315"/>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5" t="s">
        <v>131</v>
      </c>
    </row>
    <row r="65" spans="2:2" ht="15" customHeight="1" x14ac:dyDescent="0.2">
      <c r="B65" s="315"/>
    </row>
    <row r="66" spans="2:2" ht="15" customHeight="1" x14ac:dyDescent="0.2">
      <c r="B66" s="315"/>
    </row>
    <row r="67" spans="2:2" ht="15" customHeight="1" x14ac:dyDescent="0.2">
      <c r="B67" s="315"/>
    </row>
    <row r="68" spans="2:2" ht="15" customHeight="1" x14ac:dyDescent="0.2">
      <c r="B68" s="315" t="s">
        <v>132</v>
      </c>
    </row>
    <row r="69" spans="2:2" ht="15" customHeight="1" x14ac:dyDescent="0.2">
      <c r="B69" s="315"/>
    </row>
    <row r="70" spans="2:2" ht="15" customHeight="1" x14ac:dyDescent="0.2">
      <c r="B70" s="320" t="s">
        <v>133</v>
      </c>
    </row>
    <row r="71" spans="2:2" ht="15" customHeight="1" x14ac:dyDescent="0.2">
      <c r="B71" s="320"/>
    </row>
    <row r="72" spans="2:2" ht="15" customHeight="1" x14ac:dyDescent="0.2">
      <c r="B72" s="315" t="s">
        <v>134</v>
      </c>
    </row>
    <row r="73" spans="2:2" ht="15" customHeight="1" x14ac:dyDescent="0.2">
      <c r="B73" s="315"/>
    </row>
    <row r="74" spans="2:2" ht="9.9499999999999993" customHeight="1" x14ac:dyDescent="0.2"/>
    <row r="75" spans="2:2" ht="15" customHeight="1" x14ac:dyDescent="0.2">
      <c r="B75" s="92" t="s">
        <v>135</v>
      </c>
    </row>
    <row r="76" spans="2:2" ht="15" customHeight="1" x14ac:dyDescent="0.2">
      <c r="B76" s="315" t="s">
        <v>136</v>
      </c>
    </row>
    <row r="77" spans="2:2" ht="15" customHeight="1" x14ac:dyDescent="0.2">
      <c r="B77" s="315"/>
    </row>
    <row r="78" spans="2:2" ht="15" customHeight="1" x14ac:dyDescent="0.2">
      <c r="B78" s="315"/>
    </row>
    <row r="79" spans="2:2" ht="15" customHeight="1" x14ac:dyDescent="0.2">
      <c r="B79" s="315"/>
    </row>
    <row r="80" spans="2:2" ht="15" customHeight="1" x14ac:dyDescent="0.2">
      <c r="B80" s="315"/>
    </row>
    <row r="81" spans="2:2" ht="15" customHeight="1" x14ac:dyDescent="0.2">
      <c r="B81" s="315" t="s">
        <v>137</v>
      </c>
    </row>
    <row r="82" spans="2:2" ht="15" customHeight="1" x14ac:dyDescent="0.2">
      <c r="B82" s="315"/>
    </row>
    <row r="83" spans="2:2" ht="9.9499999999999993" customHeight="1" x14ac:dyDescent="0.2"/>
    <row r="84" spans="2:2" ht="15" customHeight="1" x14ac:dyDescent="0.2">
      <c r="B84" s="92" t="s">
        <v>138</v>
      </c>
    </row>
    <row r="85" spans="2:2" ht="15" customHeight="1" x14ac:dyDescent="0.2">
      <c r="B85" s="315" t="s">
        <v>139</v>
      </c>
    </row>
    <row r="86" spans="2:2" ht="15" customHeight="1" x14ac:dyDescent="0.2">
      <c r="B86" s="315"/>
    </row>
    <row r="87" spans="2:2" ht="15" customHeight="1" x14ac:dyDescent="0.2">
      <c r="B87" s="89" t="s">
        <v>103</v>
      </c>
    </row>
    <row r="88" spans="2:2" ht="15" customHeight="1" x14ac:dyDescent="0.2">
      <c r="B88" s="89" t="s">
        <v>104</v>
      </c>
    </row>
    <row r="89" spans="2:2" ht="15" customHeight="1" x14ac:dyDescent="0.2">
      <c r="B89" s="317" t="s">
        <v>105</v>
      </c>
    </row>
    <row r="90" spans="2:2" ht="15" customHeight="1" x14ac:dyDescent="0.2">
      <c r="B90" s="317"/>
    </row>
    <row r="91" spans="2:2" ht="15" customHeight="1" x14ac:dyDescent="0.2">
      <c r="B91" s="317" t="s">
        <v>106</v>
      </c>
    </row>
    <row r="92" spans="2:2" ht="15" customHeight="1" x14ac:dyDescent="0.2">
      <c r="B92" s="317"/>
    </row>
    <row r="93" spans="2:2" ht="15" customHeight="1" x14ac:dyDescent="0.2">
      <c r="B93" s="317" t="s">
        <v>240</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2" t="s">
        <v>140</v>
      </c>
    </row>
    <row r="103" spans="2:2" ht="15" customHeight="1" x14ac:dyDescent="0.2">
      <c r="B103" s="321" t="s">
        <v>141</v>
      </c>
    </row>
    <row r="104" spans="2:2" ht="15" customHeight="1" x14ac:dyDescent="0.2">
      <c r="B104" s="317"/>
    </row>
    <row r="105" spans="2:2" ht="15" customHeight="1" x14ac:dyDescent="0.2">
      <c r="B105" s="85"/>
    </row>
    <row r="106" spans="2:2" ht="15" customHeight="1" x14ac:dyDescent="0.2">
      <c r="B106" s="296" t="s">
        <v>142</v>
      </c>
    </row>
    <row r="107" spans="2:2" ht="9.9499999999999993" customHeight="1" x14ac:dyDescent="0.2"/>
    <row r="108" spans="2:2" ht="15" customHeight="1" x14ac:dyDescent="0.2">
      <c r="B108" s="314" t="s">
        <v>143</v>
      </c>
    </row>
    <row r="109" spans="2:2" ht="15" customHeight="1" x14ac:dyDescent="0.2">
      <c r="B109" s="314"/>
    </row>
    <row r="110" spans="2:2" ht="15" customHeight="1" x14ac:dyDescent="0.2">
      <c r="B110" s="314" t="s">
        <v>147</v>
      </c>
    </row>
    <row r="111" spans="2:2" ht="15" customHeight="1" x14ac:dyDescent="0.2">
      <c r="B111" s="314"/>
    </row>
    <row r="112" spans="2:2" ht="15" customHeight="1" x14ac:dyDescent="0.2">
      <c r="B112" s="314"/>
    </row>
    <row r="113" spans="2:2" ht="15" customHeight="1" x14ac:dyDescent="0.2">
      <c r="B113" s="85"/>
    </row>
    <row r="114" spans="2:2" ht="15" customHeight="1" x14ac:dyDescent="0.2">
      <c r="B114" s="296" t="s">
        <v>145</v>
      </c>
    </row>
    <row r="115" spans="2:2" ht="9.9499999999999993" customHeight="1" x14ac:dyDescent="0.2"/>
    <row r="116" spans="2:2" ht="15" customHeight="1" x14ac:dyDescent="0.2">
      <c r="B116" s="314" t="s">
        <v>146</v>
      </c>
    </row>
    <row r="117" spans="2:2" ht="15" customHeight="1" x14ac:dyDescent="0.2">
      <c r="B117" s="314"/>
    </row>
    <row r="118" spans="2:2" ht="15" customHeight="1" x14ac:dyDescent="0.2">
      <c r="B118" s="314"/>
    </row>
    <row r="119" spans="2:2" ht="15" customHeight="1" x14ac:dyDescent="0.2">
      <c r="B119" s="318" t="s">
        <v>148</v>
      </c>
    </row>
    <row r="120" spans="2:2" ht="15" customHeight="1" x14ac:dyDescent="0.2">
      <c r="B120" s="318"/>
    </row>
    <row r="121" spans="2:2" ht="15" customHeight="1" x14ac:dyDescent="0.2">
      <c r="B121" s="318"/>
    </row>
    <row r="122" spans="2:2" ht="15" customHeight="1" x14ac:dyDescent="0.2">
      <c r="B122" s="318" t="s">
        <v>149</v>
      </c>
    </row>
    <row r="123" spans="2:2" ht="15" customHeight="1" x14ac:dyDescent="0.2">
      <c r="B123" s="318"/>
    </row>
    <row r="124" spans="2:2" ht="15" customHeight="1" x14ac:dyDescent="0.2">
      <c r="B124" s="318"/>
    </row>
    <row r="125" spans="2:2" ht="15" customHeight="1" x14ac:dyDescent="0.2">
      <c r="B125" s="318" t="s">
        <v>150</v>
      </c>
    </row>
    <row r="126" spans="2:2" ht="15" customHeight="1" x14ac:dyDescent="0.2">
      <c r="B126" s="318"/>
    </row>
    <row r="127" spans="2:2" ht="15" customHeight="1" x14ac:dyDescent="0.2">
      <c r="B127" s="318" t="s">
        <v>151</v>
      </c>
    </row>
    <row r="128" spans="2:2" ht="15" customHeight="1" x14ac:dyDescent="0.2">
      <c r="B128" s="318"/>
    </row>
    <row r="129" spans="2:2" ht="15" customHeight="1" x14ac:dyDescent="0.2">
      <c r="B129" s="318"/>
    </row>
  </sheetData>
  <sheetProtection algorithmName="SHA-512" hashValue="ER3o/vJIg4Vpuy4+T+bRku82koWiXRtHscIUzPDNE4qWuZE2Iel3rYsQ8mkJujKNpivgJ1eCRBhGlU6Tr2cBng==" saltValue="hywzyioCiLkV9tqmp5gU1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C12" sqref="C12:I14"/>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5" t="s">
        <v>152</v>
      </c>
      <c r="C9" s="326"/>
      <c r="D9" s="327"/>
      <c r="E9" s="327"/>
      <c r="F9" s="327"/>
      <c r="G9" s="327"/>
      <c r="H9" s="327"/>
      <c r="I9" s="328"/>
    </row>
    <row r="10" spans="2:9" ht="15" customHeight="1" x14ac:dyDescent="0.2">
      <c r="B10" s="325"/>
      <c r="C10" s="329"/>
      <c r="D10" s="330"/>
      <c r="E10" s="330"/>
      <c r="F10" s="330"/>
      <c r="G10" s="330"/>
      <c r="H10" s="330"/>
      <c r="I10" s="331"/>
    </row>
    <row r="11" spans="2:9" ht="15" customHeight="1" x14ac:dyDescent="0.2">
      <c r="B11" s="103"/>
    </row>
    <row r="12" spans="2:9" ht="15" customHeight="1" x14ac:dyDescent="0.2">
      <c r="B12" s="332" t="s">
        <v>28</v>
      </c>
      <c r="C12" s="445" t="str">
        <f>VLOOKUP(AUXILIAR!$B$7,AUXILIAR!$D$7:$F$81,3,FALSE)</f>
        <v>PROGRAMA DE APOYO A PYMES AUTÓNOMOS Y PYMES COMUNIDADES DE BIENES PARA INVERSIONES PRODUCTIVAS Y TECNOLÓGICAS, COFINANCIADAS POR EL FEDER</v>
      </c>
      <c r="D12" s="446"/>
      <c r="E12" s="446"/>
      <c r="F12" s="446"/>
      <c r="G12" s="446"/>
      <c r="H12" s="446"/>
      <c r="I12" s="447"/>
    </row>
    <row r="13" spans="2:9" ht="15" customHeight="1" x14ac:dyDescent="0.2">
      <c r="B13" s="332"/>
      <c r="C13" s="448"/>
      <c r="D13" s="449"/>
      <c r="E13" s="449"/>
      <c r="F13" s="449"/>
      <c r="G13" s="449"/>
      <c r="H13" s="449"/>
      <c r="I13" s="450"/>
    </row>
    <row r="14" spans="2:9" ht="15" customHeight="1" x14ac:dyDescent="0.2">
      <c r="B14" s="332"/>
      <c r="C14" s="451"/>
      <c r="D14" s="452"/>
      <c r="E14" s="452"/>
      <c r="F14" s="452"/>
      <c r="G14" s="452"/>
      <c r="H14" s="452"/>
      <c r="I14" s="453"/>
    </row>
    <row r="15" spans="2:9" ht="15" customHeight="1" x14ac:dyDescent="0.2">
      <c r="B15" s="103"/>
    </row>
    <row r="16" spans="2:9" ht="15" customHeight="1" x14ac:dyDescent="0.2">
      <c r="B16" s="103" t="s">
        <v>29</v>
      </c>
      <c r="C16" s="104">
        <f>AUXILIAR!$P$9</f>
        <v>2025</v>
      </c>
      <c r="D16" s="105"/>
      <c r="F16" s="322" t="s">
        <v>176</v>
      </c>
      <c r="G16" s="322"/>
      <c r="H16" s="322"/>
      <c r="I16" s="333"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
      <c r="B17" s="103"/>
      <c r="F17" s="322"/>
      <c r="G17" s="322"/>
      <c r="H17" s="322"/>
      <c r="I17" s="333"/>
    </row>
    <row r="18" spans="2:9" ht="15" customHeight="1" x14ac:dyDescent="0.2">
      <c r="B18" s="103" t="s">
        <v>30</v>
      </c>
      <c r="C18" s="106">
        <f>VLOOKUP(AUXILIAR!$B$7,AUXILIAR!$D$7:$F$81,2,FALSE)</f>
        <v>7</v>
      </c>
      <c r="D18" s="107"/>
      <c r="F18" s="322"/>
      <c r="G18" s="322"/>
      <c r="H18" s="322"/>
      <c r="I18" s="333"/>
    </row>
    <row r="19" spans="2:9" ht="15" customHeight="1" x14ac:dyDescent="0.2">
      <c r="B19" s="103"/>
    </row>
    <row r="20" spans="2:9" ht="15" customHeight="1" x14ac:dyDescent="0.2">
      <c r="B20" s="103" t="s">
        <v>31</v>
      </c>
      <c r="C20" s="297" t="s">
        <v>220</v>
      </c>
      <c r="D20" s="105"/>
      <c r="E20" s="105"/>
      <c r="F20" s="322" t="str">
        <f>CONCATENATE("BORM EXTRACTO","
 ","CONVOCATORIA","
 ","(Y MODIFICACIONES):")</f>
        <v>BORM EXTRACTO
 CONVOCATORIA
 (Y MODIFICACIONES):</v>
      </c>
      <c r="G20" s="322"/>
      <c r="H20" s="322"/>
      <c r="I20" s="323" t="str">
        <f>IF(AND(AUXILIAR!$P$11="",AUXILIAR!$P$12="",AUXILIAR!$P$13=""),"",IF(AND(AUXILIAR!$P$12="",AUXILIAR!$P$13=""),AUXILIAR!$P$11,IF(AND(AUXILIAR!$P$12&lt;&gt;"",AUXILIAR!$P$13=""),CONCATENATE(AUXILIAR!$P$11,"
",AUXILIAR!$P$12),CONCATENATE(AUXILIAR!$P$11,"
",AUXILIAR!$P$12,"
",AUXILIAR!$P$13))))</f>
        <v>nº 69, de 25 de marzo de 2025
nº 116, de 22 de mayo de 2025</v>
      </c>
    </row>
    <row r="21" spans="2:9" ht="15" customHeight="1" x14ac:dyDescent="0.2">
      <c r="B21" s="103"/>
      <c r="F21" s="322"/>
      <c r="G21" s="322"/>
      <c r="H21" s="322"/>
      <c r="I21" s="323"/>
    </row>
    <row r="22" spans="2:9" ht="15" customHeight="1" x14ac:dyDescent="0.2">
      <c r="B22" s="103" t="s">
        <v>32</v>
      </c>
      <c r="C22" s="108" t="str">
        <f>CONCATENATE(C16,".",TEXT(C18,"00"),".",C20,".")</f>
        <v>2025.07.PAPE.</v>
      </c>
      <c r="D22" s="109"/>
      <c r="F22" s="322"/>
      <c r="G22" s="322"/>
      <c r="H22" s="322"/>
      <c r="I22" s="323"/>
    </row>
    <row r="23" spans="2:9" ht="15" customHeight="1" x14ac:dyDescent="0.2">
      <c r="B23" s="103"/>
      <c r="C23" s="103"/>
      <c r="D23" s="103"/>
      <c r="E23" s="103"/>
      <c r="F23" s="103"/>
      <c r="H23" s="110"/>
    </row>
    <row r="24" spans="2:9" ht="15" customHeight="1" x14ac:dyDescent="0.2">
      <c r="F24" s="111" t="s">
        <v>92</v>
      </c>
      <c r="H24" s="112" t="s">
        <v>60</v>
      </c>
      <c r="I24" s="112" t="s">
        <v>219</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4"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4"/>
      <c r="D33" s="324"/>
      <c r="E33" s="324"/>
      <c r="F33" s="324"/>
      <c r="G33" s="324"/>
      <c r="H33" s="324"/>
      <c r="I33" s="324"/>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4hudUS4u+WLD6PeVJdAeH0BvqZD4BZBHVw/kdHJJMC6ydW1mulaAfbuyIig7m7ZYfOZECb8BdpzLJOzNIH+QlQ==" saltValue="mGjZgxKVRNspTZJIFnXtYA=="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O9" sqref="O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34" t="s">
        <v>22</v>
      </c>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row>
    <row r="3" spans="2:38" ht="20.100000000000001" customHeight="1" x14ac:dyDescent="0.2">
      <c r="P3" s="126" t="s">
        <v>24</v>
      </c>
      <c r="Q3" s="344" t="str">
        <f>IF(EXPEDIENTE!D22="","",CONCATENATE(EXPEDIENTE!C16,".",TEXT(EXPEDIENTE!C18,"00"),".",EXPEDIENTE!C20,".",TEXT(EXPEDIENTE!D22,"0000")))</f>
        <v/>
      </c>
      <c r="R3" s="344"/>
      <c r="S3" s="302"/>
      <c r="U3" s="354" t="str">
        <f>IF(AND(AUXILIAR!$AF$18&lt;1575,OR(EXPEDIENTE!$F$25="",EXPEDIENTE!$F$27="")),"NOTA: FALTA CUMPLIMENTAR LA FECHA DE INICIO Y/O FINAL DEL PROYECTO EN LA PESTAÑA EXPEDIENTE","")</f>
        <v/>
      </c>
      <c r="V3" s="354"/>
      <c r="W3" s="354"/>
      <c r="X3" s="354"/>
      <c r="Y3" s="354"/>
      <c r="Z3" s="354"/>
      <c r="AA3" s="125"/>
      <c r="AB3" s="125"/>
      <c r="AC3" s="125"/>
      <c r="AD3" s="125"/>
      <c r="AE3" s="125"/>
      <c r="AF3" s="125"/>
      <c r="AG3" s="125"/>
      <c r="AH3" s="125"/>
      <c r="AI3" s="125"/>
      <c r="AJ3" s="125"/>
      <c r="AK3" s="125"/>
      <c r="AL3" s="125"/>
    </row>
    <row r="4" spans="2:38" ht="20.100000000000001" customHeight="1" x14ac:dyDescent="0.2">
      <c r="N4" s="127"/>
      <c r="O4" s="127"/>
      <c r="R4" s="128"/>
      <c r="S4" s="128"/>
      <c r="U4" s="354"/>
      <c r="V4" s="354"/>
      <c r="W4" s="354"/>
      <c r="X4" s="354"/>
      <c r="Y4" s="354"/>
      <c r="Z4" s="354"/>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35" t="s">
        <v>41</v>
      </c>
      <c r="M6" s="350" t="s">
        <v>0</v>
      </c>
      <c r="N6" s="348" t="s">
        <v>68</v>
      </c>
      <c r="O6" s="345" t="s">
        <v>71</v>
      </c>
      <c r="P6" s="346"/>
      <c r="Q6" s="346"/>
      <c r="R6" s="346"/>
      <c r="S6" s="346"/>
      <c r="T6" s="346"/>
      <c r="U6" s="346"/>
      <c r="V6" s="347"/>
      <c r="W6" s="337" t="s">
        <v>75</v>
      </c>
      <c r="X6" s="337"/>
      <c r="Y6" s="337"/>
      <c r="Z6" s="337"/>
      <c r="AA6" s="337"/>
      <c r="AB6" s="337"/>
      <c r="AC6" s="337"/>
      <c r="AD6" s="338"/>
      <c r="AE6" s="343" t="s">
        <v>76</v>
      </c>
      <c r="AF6" s="337"/>
      <c r="AG6" s="339" t="s">
        <v>20</v>
      </c>
      <c r="AH6" s="341" t="s">
        <v>21</v>
      </c>
      <c r="AI6" s="339" t="s">
        <v>18</v>
      </c>
      <c r="AJ6" s="352" t="s">
        <v>19</v>
      </c>
      <c r="AK6" s="355" t="s">
        <v>230</v>
      </c>
      <c r="AL6" s="335" t="s">
        <v>43</v>
      </c>
    </row>
    <row r="7" spans="2:38" s="143" customFormat="1" ht="69.95" customHeight="1" thickBot="1" x14ac:dyDescent="0.25">
      <c r="B7" s="130" t="s">
        <v>93</v>
      </c>
      <c r="C7" s="130" t="s">
        <v>46</v>
      </c>
      <c r="D7" s="130" t="s">
        <v>72</v>
      </c>
      <c r="E7" s="130" t="s">
        <v>48</v>
      </c>
      <c r="F7" s="130" t="s">
        <v>74</v>
      </c>
      <c r="G7" s="130" t="s">
        <v>226</v>
      </c>
      <c r="H7" s="130" t="s">
        <v>78</v>
      </c>
      <c r="I7" s="130" t="s">
        <v>49</v>
      </c>
      <c r="J7" s="130" t="s">
        <v>70</v>
      </c>
      <c r="K7" s="130" t="s">
        <v>90</v>
      </c>
      <c r="L7" s="336"/>
      <c r="M7" s="351"/>
      <c r="N7" s="349"/>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189</v>
      </c>
      <c r="AD7" s="140" t="s">
        <v>14</v>
      </c>
      <c r="AE7" s="141" t="s">
        <v>95</v>
      </c>
      <c r="AF7" s="142" t="s">
        <v>17</v>
      </c>
      <c r="AG7" s="340"/>
      <c r="AH7" s="342"/>
      <c r="AI7" s="340"/>
      <c r="AJ7" s="353"/>
      <c r="AK7" s="356"/>
      <c r="AL7" s="336"/>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IF(AND(AUXILIAR!$AF$18&lt;1500,OR(EXPEDIENTE!$F$25="",EXPEDIENTE!$F$27="")),"",IF(IFERROR(VLOOKUP(J9,AUXILIAR!$AF$6:$AG$15,2,FALSE),"")="","",VLOOKUP(J9,AUXILIAR!$AF$6:$AG$15,2,FALSE)))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IF(IFERROR(VLOOKUP(J10,AUXILIAR!$AF$6:$AG$15,2,FALSE),"")="","",VLOOKUP(J10,AUXILIAR!$AF$6:$AG$15,2,FALSE))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IF(IFERROR(VLOOKUP(J11,AUXILIAR!$AF$6:$AG$15,2,FALSE),"")="","",VLOOKUP(J11,AUXILIAR!$AF$6:$AG$15,2,FALSE))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IF(IFERROR(VLOOKUP(J12,AUXILIAR!$AF$6:$AG$15,2,FALSE),"")="","",VLOOKUP(J12,AUXILIAR!$AF$6:$AG$15,2,FALSE))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IF(IFERROR(VLOOKUP(J13,AUXILIAR!$AF$6:$AG$15,2,FALSE),"")="","",VLOOKUP(J13,AUXILIAR!$AF$6:$AG$15,2,FALSE))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IF(IFERROR(VLOOKUP(J14,AUXILIAR!$AF$6:$AG$15,2,FALSE),"")="","",VLOOKUP(J14,AUXILIAR!$AF$6:$AG$15,2,FALSE))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IF(IFERROR(VLOOKUP(J15,AUXILIAR!$AF$6:$AG$15,2,FALSE),"")="","",VLOOKUP(J15,AUXILIAR!$AF$6:$AG$15,2,FALSE))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IF(IFERROR(VLOOKUP(J16,AUXILIAR!$AF$6:$AG$15,2,FALSE),"")="","",VLOOKUP(J16,AUXILIAR!$AF$6:$AG$15,2,FALSE))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IF(IFERROR(VLOOKUP(J17,AUXILIAR!$AF$6:$AG$15,2,FALSE),"")="","",VLOOKUP(J17,AUXILIAR!$AF$6:$AG$15,2,FALSE))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IF(IFERROR(VLOOKUP(J18,AUXILIAR!$AF$6:$AG$15,2,FALSE),"")="","",VLOOKUP(J18,AUXILIAR!$AF$6:$AG$15,2,FALSE))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IF(IFERROR(VLOOKUP(J19,AUXILIAR!$AF$6:$AG$15,2,FALSE),"")="","",VLOOKUP(J19,AUXILIAR!$AF$6:$AG$15,2,FALSE))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IF(IFERROR(VLOOKUP(J20,AUXILIAR!$AF$6:$AG$15,2,FALSE),"")="","",VLOOKUP(J20,AUXILIAR!$AF$6:$AG$15,2,FALSE))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IF(IFERROR(VLOOKUP(J21,AUXILIAR!$AF$6:$AG$15,2,FALSE),"")="","",VLOOKUP(J21,AUXILIAR!$AF$6:$AG$15,2,FALSE))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IF(IFERROR(VLOOKUP(J22,AUXILIAR!$AF$6:$AG$15,2,FALSE),"")="","",VLOOKUP(J22,AUXILIAR!$AF$6:$AG$15,2,FALSE))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IF(IFERROR(VLOOKUP(J23,AUXILIAR!$AF$6:$AG$15,2,FALSE),"")="","",VLOOKUP(J23,AUXILIAR!$AF$6:$AG$15,2,FALSE))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IF(IFERROR(VLOOKUP(J24,AUXILIAR!$AF$6:$AG$15,2,FALSE),"")="","",VLOOKUP(J24,AUXILIAR!$AF$6:$AG$15,2,FALSE))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IF(IFERROR(VLOOKUP(J25,AUXILIAR!$AF$6:$AG$15,2,FALSE),"")="","",VLOOKUP(J25,AUXILIAR!$AF$6:$AG$15,2,FALSE))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IF(IFERROR(VLOOKUP(J26,AUXILIAR!$AF$6:$AG$15,2,FALSE),"")="","",VLOOKUP(J26,AUXILIAR!$AF$6:$AG$15,2,FALSE))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IF(IFERROR(VLOOKUP(J27,AUXILIAR!$AF$6:$AG$15,2,FALSE),"")="","",VLOOKUP(J27,AUXILIAR!$AF$6:$AG$15,2,FALSE))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IF(IFERROR(VLOOKUP(J28,AUXILIAR!$AF$6:$AG$15,2,FALSE),"")="","",VLOOKUP(J28,AUXILIAR!$AF$6:$AG$15,2,FALSE))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IF(IFERROR(VLOOKUP(J29,AUXILIAR!$AF$6:$AG$15,2,FALSE),"")="","",VLOOKUP(J29,AUXILIAR!$AF$6:$AG$15,2,FALSE))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IF(IFERROR(VLOOKUP(J30,AUXILIAR!$AF$6:$AG$15,2,FALSE),"")="","",VLOOKUP(J30,AUXILIAR!$AF$6:$AG$15,2,FALSE))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IF(IFERROR(VLOOKUP(J31,AUXILIAR!$AF$6:$AG$15,2,FALSE),"")="","",VLOOKUP(J31,AUXILIAR!$AF$6:$AG$15,2,FALSE))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IF(IFERROR(VLOOKUP(J32,AUXILIAR!$AF$6:$AG$15,2,FALSE),"")="","",VLOOKUP(J32,AUXILIAR!$AF$6:$AG$15,2,FALSE))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IF(IFERROR(VLOOKUP(J33,AUXILIAR!$AF$6:$AG$15,2,FALSE),"")="","",VLOOKUP(J33,AUXILIAR!$AF$6:$AG$15,2,FALSE))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IF(IFERROR(VLOOKUP(J34,AUXILIAR!$AF$6:$AG$15,2,FALSE),"")="","",VLOOKUP(J34,AUXILIAR!$AF$6:$AG$15,2,FALSE))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IF(IFERROR(VLOOKUP(J35,AUXILIAR!$AF$6:$AG$15,2,FALSE),"")="","",VLOOKUP(J35,AUXILIAR!$AF$6:$AG$15,2,FALSE))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IF(IFERROR(VLOOKUP(J36,AUXILIAR!$AF$6:$AG$15,2,FALSE),"")="","",VLOOKUP(J36,AUXILIAR!$AF$6:$AG$15,2,FALSE))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IF(IFERROR(VLOOKUP(J37,AUXILIAR!$AF$6:$AG$15,2,FALSE),"")="","",VLOOKUP(J37,AUXILIAR!$AF$6:$AG$15,2,FALSE))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IF(IFERROR(VLOOKUP(J38,AUXILIAR!$AF$6:$AG$15,2,FALSE),"")="","",VLOOKUP(J38,AUXILIAR!$AF$6:$AG$15,2,FALSE))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IF(IFERROR(VLOOKUP(J39,AUXILIAR!$AF$6:$AG$15,2,FALSE),"")="","",VLOOKUP(J39,AUXILIAR!$AF$6:$AG$15,2,FALSE))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IF(IFERROR(VLOOKUP(J40,AUXILIAR!$AF$6:$AG$15,2,FALSE),"")="","",VLOOKUP(J40,AUXILIAR!$AF$6:$AG$15,2,FALSE))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IF(IFERROR(VLOOKUP(J41,AUXILIAR!$AF$6:$AG$15,2,FALSE),"")="","",VLOOKUP(J41,AUXILIAR!$AF$6:$AG$15,2,FALSE))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IF(IFERROR(VLOOKUP(J42,AUXILIAR!$AF$6:$AG$15,2,FALSE),"")="","",VLOOKUP(J42,AUXILIAR!$AF$6:$AG$15,2,FALSE))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IF(IFERROR(VLOOKUP(J43,AUXILIAR!$AF$6:$AG$15,2,FALSE),"")="","",VLOOKUP(J43,AUXILIAR!$AF$6:$AG$15,2,FALSE))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IF(IFERROR(VLOOKUP(J44,AUXILIAR!$AF$6:$AG$15,2,FALSE),"")="","",VLOOKUP(J44,AUXILIAR!$AF$6:$AG$15,2,FALSE))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IF(IFERROR(VLOOKUP(J45,AUXILIAR!$AF$6:$AG$15,2,FALSE),"")="","",VLOOKUP(J45,AUXILIAR!$AF$6:$AG$15,2,FALSE))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IF(IFERROR(VLOOKUP(J46,AUXILIAR!$AF$6:$AG$15,2,FALSE),"")="","",VLOOKUP(J46,AUXILIAR!$AF$6:$AG$15,2,FALSE))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IF(IFERROR(VLOOKUP(J47,AUXILIAR!$AF$6:$AG$15,2,FALSE),"")="","",VLOOKUP(J47,AUXILIAR!$AF$6:$AG$15,2,FALSE))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IF(IFERROR(VLOOKUP(J48,AUXILIAR!$AF$6:$AG$15,2,FALSE),"")="","",VLOOKUP(J48,AUXILIAR!$AF$6:$AG$15,2,FALSE))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IF(IFERROR(VLOOKUP(J49,AUXILIAR!$AF$6:$AG$15,2,FALSE),"")="","",VLOOKUP(J49,AUXILIAR!$AF$6:$AG$15,2,FALSE))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IF(IFERROR(VLOOKUP(J50,AUXILIAR!$AF$6:$AG$15,2,FALSE),"")="","",VLOOKUP(J50,AUXILIAR!$AF$6:$AG$15,2,FALSE))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IF(IFERROR(VLOOKUP(J51,AUXILIAR!$AF$6:$AG$15,2,FALSE),"")="","",VLOOKUP(J51,AUXILIAR!$AF$6:$AG$15,2,FALSE))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IF(IFERROR(VLOOKUP(J52,AUXILIAR!$AF$6:$AG$15,2,FALSE),"")="","",VLOOKUP(J52,AUXILIAR!$AF$6:$AG$15,2,FALSE))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IF(IFERROR(VLOOKUP(J53,AUXILIAR!$AF$6:$AG$15,2,FALSE),"")="","",VLOOKUP(J53,AUXILIAR!$AF$6:$AG$15,2,FALSE))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IF(IFERROR(VLOOKUP(J54,AUXILIAR!$AF$6:$AG$15,2,FALSE),"")="","",VLOOKUP(J54,AUXILIAR!$AF$6:$AG$15,2,FALSE))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IF(IFERROR(VLOOKUP(J55,AUXILIAR!$AF$6:$AG$15,2,FALSE),"")="","",VLOOKUP(J55,AUXILIAR!$AF$6:$AG$15,2,FALSE))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IF(IFERROR(VLOOKUP(J56,AUXILIAR!$AF$6:$AG$15,2,FALSE),"")="","",VLOOKUP(J56,AUXILIAR!$AF$6:$AG$15,2,FALSE))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IF(IFERROR(VLOOKUP(J57,AUXILIAR!$AF$6:$AG$15,2,FALSE),"")="","",VLOOKUP(J57,AUXILIAR!$AF$6:$AG$15,2,FALSE))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IF(IFERROR(VLOOKUP(J58,AUXILIAR!$AF$6:$AG$15,2,FALSE),"")="","",VLOOKUP(J58,AUXILIAR!$AF$6:$AG$15,2,FALSE))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IF(IFERROR(VLOOKUP(J59,AUXILIAR!$AF$6:$AG$15,2,FALSE),"")="","",VLOOKUP(J59,AUXILIAR!$AF$6:$AG$15,2,FALSE))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IF(IFERROR(VLOOKUP(J60,AUXILIAR!$AF$6:$AG$15,2,FALSE),"")="","",VLOOKUP(J60,AUXILIAR!$AF$6:$AG$15,2,FALSE))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IF(IFERROR(VLOOKUP(J61,AUXILIAR!$AF$6:$AG$15,2,FALSE),"")="","",VLOOKUP(J61,AUXILIAR!$AF$6:$AG$15,2,FALSE))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IF(IFERROR(VLOOKUP(J62,AUXILIAR!$AF$6:$AG$15,2,FALSE),"")="","",VLOOKUP(J62,AUXILIAR!$AF$6:$AG$15,2,FALSE))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IF(IFERROR(VLOOKUP(J63,AUXILIAR!$AF$6:$AG$15,2,FALSE),"")="","",VLOOKUP(J63,AUXILIAR!$AF$6:$AG$15,2,FALSE))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IF(IFERROR(VLOOKUP(J64,AUXILIAR!$AF$6:$AG$15,2,FALSE),"")="","",VLOOKUP(J64,AUXILIAR!$AF$6:$AG$15,2,FALSE))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IF(IFERROR(VLOOKUP(J65,AUXILIAR!$AF$6:$AG$15,2,FALSE),"")="","",VLOOKUP(J65,AUXILIAR!$AF$6:$AG$15,2,FALSE))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IF(IFERROR(VLOOKUP(J66,AUXILIAR!$AF$6:$AG$15,2,FALSE),"")="","",VLOOKUP(J66,AUXILIAR!$AF$6:$AG$15,2,FALSE))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IF(IFERROR(VLOOKUP(J67,AUXILIAR!$AF$6:$AG$15,2,FALSE),"")="","",VLOOKUP(J67,AUXILIAR!$AF$6:$AG$15,2,FALSE))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IF(IFERROR(VLOOKUP(J68,AUXILIAR!$AF$6:$AG$15,2,FALSE),"")="","",VLOOKUP(J68,AUXILIAR!$AF$6:$AG$15,2,FALSE))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IF(IFERROR(VLOOKUP(J69,AUXILIAR!$AF$6:$AG$15,2,FALSE),"")="","",VLOOKUP(J69,AUXILIAR!$AF$6:$AG$15,2,FALSE))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IF(IFERROR(VLOOKUP(J70,AUXILIAR!$AF$6:$AG$15,2,FALSE),"")="","",VLOOKUP(J70,AUXILIAR!$AF$6:$AG$15,2,FALSE))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IF(IFERROR(VLOOKUP(J71,AUXILIAR!$AF$6:$AG$15,2,FALSE),"")="","",VLOOKUP(J71,AUXILIAR!$AF$6:$AG$15,2,FALSE))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IF(IFERROR(VLOOKUP(J72,AUXILIAR!$AF$6:$AG$15,2,FALSE),"")="","",VLOOKUP(J72,AUXILIAR!$AF$6:$AG$15,2,FALSE))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IF(IFERROR(VLOOKUP(J73,AUXILIAR!$AF$6:$AG$15,2,FALSE),"")="","",VLOOKUP(J73,AUXILIAR!$AF$6:$AG$15,2,FALSE))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IF(IFERROR(VLOOKUP(J74,AUXILIAR!$AF$6:$AG$15,2,FALSE),"")="","",VLOOKUP(J74,AUXILIAR!$AF$6:$AG$15,2,FALSE))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IF(IFERROR(VLOOKUP(J75,AUXILIAR!$AF$6:$AG$15,2,FALSE),"")="","",VLOOKUP(J75,AUXILIAR!$AF$6:$AG$15,2,FALSE))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IF(IFERROR(VLOOKUP(J76,AUXILIAR!$AF$6:$AG$15,2,FALSE),"")="","",VLOOKUP(J76,AUXILIAR!$AF$6:$AG$15,2,FALSE))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IF(IFERROR(VLOOKUP(J77,AUXILIAR!$AF$6:$AG$15,2,FALSE),"")="","",VLOOKUP(J77,AUXILIAR!$AF$6:$AG$15,2,FALSE))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IF(IFERROR(VLOOKUP(J78,AUXILIAR!$AF$6:$AG$15,2,FALSE),"")="","",VLOOKUP(J78,AUXILIAR!$AF$6:$AG$15,2,FALSE))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IF(IFERROR(VLOOKUP(J79,AUXILIAR!$AF$6:$AG$15,2,FALSE),"")="","",VLOOKUP(J79,AUXILIAR!$AF$6:$AG$15,2,FALSE))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IF(IFERROR(VLOOKUP(J80,AUXILIAR!$AF$6:$AG$15,2,FALSE),"")="","",VLOOKUP(J80,AUXILIAR!$AF$6:$AG$15,2,FALSE))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IF(IFERROR(VLOOKUP(J81,AUXILIAR!$AF$6:$AG$15,2,FALSE),"")="","",VLOOKUP(J81,AUXILIAR!$AF$6:$AG$15,2,FALSE))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IF(IFERROR(VLOOKUP(J82,AUXILIAR!$AF$6:$AG$15,2,FALSE),"")="","",VLOOKUP(J82,AUXILIAR!$AF$6:$AG$15,2,FALSE))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IF(IFERROR(VLOOKUP(J83,AUXILIAR!$AF$6:$AG$15,2,FALSE),"")="","",VLOOKUP(J83,AUXILIAR!$AF$6:$AG$15,2,FALSE))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222</v>
      </c>
      <c r="M84" s="301" t="s">
        <v>222</v>
      </c>
      <c r="N84" s="301" t="s">
        <v>221</v>
      </c>
      <c r="O84" s="301" t="s">
        <v>222</v>
      </c>
      <c r="P84" s="301" t="s">
        <v>222</v>
      </c>
      <c r="Q84" s="301" t="s">
        <v>222</v>
      </c>
      <c r="R84" s="301" t="s">
        <v>222</v>
      </c>
      <c r="S84" s="301" t="s">
        <v>222</v>
      </c>
      <c r="T84" s="301" t="s">
        <v>222</v>
      </c>
      <c r="U84" s="214" t="s">
        <v>6</v>
      </c>
      <c r="V84" s="301" t="s">
        <v>222</v>
      </c>
      <c r="W84" s="215">
        <f>SUMIF($O$9:$O$83,"NUEVA FACTURA",W9:W83)</f>
        <v>0</v>
      </c>
      <c r="X84" s="215">
        <f>SUMIF($O$9:$O$83,"NUEVA FACTURA",X9:X83)</f>
        <v>0</v>
      </c>
      <c r="Y84" s="215">
        <f>IF(OR(USUARIO!$C$2="",AUXILIAR!$AJ$6&lt;&gt;USUARIO!$C$2),0,SUMIF($O$9:$O$83,"NUEVA FACTURA",Y9:Y83)+SUMIF($O$9:$O$83,"SEGUNDO PAGO O POSTERIORES",Y9:Y83))</f>
        <v>0</v>
      </c>
      <c r="Z84" s="301" t="s">
        <v>222</v>
      </c>
      <c r="AA84" s="301" t="s">
        <v>222</v>
      </c>
      <c r="AB84" s="301" t="s">
        <v>222</v>
      </c>
      <c r="AC84" s="215">
        <f>SUMIF($O$9:$O$83,"NUEVA FACTURA",AC9:AC83)</f>
        <v>0</v>
      </c>
      <c r="AD84" s="215">
        <f>SUMIF($O$9:$O$83,"NUEVA FACTURA",AD9:AD83)</f>
        <v>0</v>
      </c>
      <c r="AE84" s="215">
        <f>SUM(AE9:AE83)</f>
        <v>0</v>
      </c>
      <c r="AF84" s="300" t="s">
        <v>222</v>
      </c>
      <c r="AG84" s="300" t="s">
        <v>221</v>
      </c>
      <c r="AH84" s="300" t="s">
        <v>221</v>
      </c>
      <c r="AI84" s="300" t="s">
        <v>222</v>
      </c>
      <c r="AJ84" s="300" t="s">
        <v>222</v>
      </c>
      <c r="AK84" s="300"/>
      <c r="AL84" s="300" t="s">
        <v>222</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AND(AUXILIAR!$AF$18&lt;1575,OR(EXPEDIENTE!$F$25="",EXPEDIENTE!$F$27=""))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AUXILIAR!$X$5:$X$6</xm:f>
          </x14:formula1>
          <xm:sqref>O9:O83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7" t="s">
        <v>82</v>
      </c>
      <c r="I2" s="357"/>
      <c r="J2" s="357"/>
      <c r="K2" s="357"/>
      <c r="L2" s="357" t="s">
        <v>83</v>
      </c>
      <c r="M2" s="357"/>
      <c r="N2" s="357"/>
      <c r="O2" s="357"/>
      <c r="P2" s="357"/>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8" t="s">
        <v>190</v>
      </c>
      <c r="C85" s="358"/>
      <c r="D85" s="358"/>
      <c r="E85" s="358"/>
      <c r="F85" s="358"/>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197</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2" t="s">
        <v>99</v>
      </c>
      <c r="G2" s="382"/>
      <c r="H2" s="382"/>
      <c r="I2" s="382"/>
      <c r="J2" s="382"/>
      <c r="K2" s="382"/>
      <c r="L2" s="382"/>
      <c r="M2" s="382"/>
      <c r="N2" s="382"/>
      <c r="O2" s="382"/>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0" t="s">
        <v>0</v>
      </c>
      <c r="D7" s="368" t="s">
        <v>8</v>
      </c>
      <c r="E7" s="368" t="s">
        <v>191</v>
      </c>
      <c r="F7" s="385" t="s">
        <v>101</v>
      </c>
      <c r="G7" s="385"/>
      <c r="H7" s="385"/>
      <c r="I7" s="385"/>
      <c r="J7" s="385"/>
      <c r="K7" s="385"/>
      <c r="L7" s="368" t="s">
        <v>192</v>
      </c>
      <c r="M7" s="370" t="s">
        <v>100</v>
      </c>
      <c r="N7" s="371"/>
      <c r="O7" s="383" t="s">
        <v>65</v>
      </c>
    </row>
    <row r="8" spans="2:15" s="43" customFormat="1" ht="69.95" customHeight="1" thickBot="1" x14ac:dyDescent="0.25">
      <c r="B8" s="38"/>
      <c r="C8" s="381"/>
      <c r="D8" s="369"/>
      <c r="E8" s="369"/>
      <c r="F8" s="369" t="s">
        <v>25</v>
      </c>
      <c r="G8" s="369"/>
      <c r="H8" s="68" t="s">
        <v>26</v>
      </c>
      <c r="I8" s="68" t="s">
        <v>193</v>
      </c>
      <c r="J8" s="71" t="s">
        <v>16</v>
      </c>
      <c r="K8" s="72" t="s">
        <v>194</v>
      </c>
      <c r="L8" s="369"/>
      <c r="M8" s="372"/>
      <c r="N8" s="373"/>
      <c r="O8" s="384"/>
    </row>
    <row r="9" spans="2:15" s="44" customFormat="1" ht="9.9499999999999993" customHeight="1" thickBot="1" x14ac:dyDescent="0.25">
      <c r="B9" s="19"/>
      <c r="J9" s="19"/>
    </row>
    <row r="10" spans="2:15" s="2" customFormat="1" ht="35.1" customHeight="1" x14ac:dyDescent="0.2">
      <c r="B10" s="3">
        <f>IF(K10="",0,1)</f>
        <v>0</v>
      </c>
      <c r="C10" s="377">
        <v>1</v>
      </c>
      <c r="D10" s="374"/>
      <c r="E10" s="365"/>
      <c r="F10" s="73" t="s">
        <v>97</v>
      </c>
      <c r="G10" s="77"/>
      <c r="H10" s="78"/>
      <c r="I10" s="79"/>
      <c r="J10" s="80"/>
      <c r="K10" s="81"/>
      <c r="L10" s="20"/>
      <c r="M10" s="359"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2"/>
      <c r="O10" s="45"/>
    </row>
    <row r="11" spans="2:15" s="2" customFormat="1" ht="35.1" customHeight="1" x14ac:dyDescent="0.2">
      <c r="B11" s="3">
        <f t="shared" ref="B11:B12" si="0">IF(K11="",0,1)</f>
        <v>0</v>
      </c>
      <c r="C11" s="378"/>
      <c r="D11" s="375"/>
      <c r="E11" s="366"/>
      <c r="F11" s="74" t="s">
        <v>98</v>
      </c>
      <c r="G11" s="46"/>
      <c r="H11" s="21"/>
      <c r="I11" s="47"/>
      <c r="J11" s="48"/>
      <c r="K11" s="22"/>
      <c r="L11" s="23"/>
      <c r="M11" s="360"/>
      <c r="N11" s="363"/>
      <c r="O11" s="49"/>
    </row>
    <row r="12" spans="2:15" s="2" customFormat="1" ht="35.1" customHeight="1" thickBot="1" x14ac:dyDescent="0.25">
      <c r="B12" s="3">
        <f t="shared" si="0"/>
        <v>0</v>
      </c>
      <c r="C12" s="379"/>
      <c r="D12" s="376"/>
      <c r="E12" s="367"/>
      <c r="F12" s="75" t="s">
        <v>98</v>
      </c>
      <c r="G12" s="50"/>
      <c r="H12" s="24"/>
      <c r="I12" s="51"/>
      <c r="J12" s="52"/>
      <c r="K12" s="25"/>
      <c r="L12" s="26"/>
      <c r="M12" s="361"/>
      <c r="N12" s="364"/>
      <c r="O12" s="53"/>
    </row>
    <row r="13" spans="2:15" s="2" customFormat="1" ht="9.9499999999999993" customHeight="1" thickBot="1" x14ac:dyDescent="0.25">
      <c r="B13" s="3"/>
    </row>
    <row r="14" spans="2:15" s="2" customFormat="1" ht="35.1" customHeight="1" x14ac:dyDescent="0.2">
      <c r="B14" s="3">
        <f>IF(K14="",0,1)</f>
        <v>0</v>
      </c>
      <c r="C14" s="377">
        <v>2</v>
      </c>
      <c r="D14" s="374"/>
      <c r="E14" s="365"/>
      <c r="F14" s="73" t="s">
        <v>97</v>
      </c>
      <c r="G14" s="77"/>
      <c r="H14" s="78"/>
      <c r="I14" s="79"/>
      <c r="J14" s="80"/>
      <c r="K14" s="81"/>
      <c r="L14" s="20"/>
      <c r="M14" s="359"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2"/>
      <c r="O14" s="54"/>
    </row>
    <row r="15" spans="2:15" s="2" customFormat="1" ht="35.1" customHeight="1" x14ac:dyDescent="0.2">
      <c r="B15" s="3">
        <f t="shared" ref="B15:B16" si="1">IF(K15="",0,1)</f>
        <v>0</v>
      </c>
      <c r="C15" s="378"/>
      <c r="D15" s="375"/>
      <c r="E15" s="366"/>
      <c r="F15" s="74" t="s">
        <v>98</v>
      </c>
      <c r="G15" s="46"/>
      <c r="H15" s="21"/>
      <c r="I15" s="47"/>
      <c r="J15" s="48"/>
      <c r="K15" s="22"/>
      <c r="L15" s="23"/>
      <c r="M15" s="360"/>
      <c r="N15" s="363"/>
      <c r="O15" s="55"/>
    </row>
    <row r="16" spans="2:15" s="2" customFormat="1" ht="35.1" customHeight="1" thickBot="1" x14ac:dyDescent="0.25">
      <c r="B16" s="3">
        <f t="shared" si="1"/>
        <v>0</v>
      </c>
      <c r="C16" s="379"/>
      <c r="D16" s="376"/>
      <c r="E16" s="367"/>
      <c r="F16" s="75" t="s">
        <v>98</v>
      </c>
      <c r="G16" s="50"/>
      <c r="H16" s="24"/>
      <c r="I16" s="51"/>
      <c r="J16" s="52"/>
      <c r="K16" s="25"/>
      <c r="L16" s="26"/>
      <c r="M16" s="361"/>
      <c r="N16" s="364"/>
      <c r="O16" s="56"/>
    </row>
    <row r="17" spans="2:15" s="2" customFormat="1" ht="9.9499999999999993" customHeight="1" thickBot="1" x14ac:dyDescent="0.25">
      <c r="B17" s="3"/>
    </row>
    <row r="18" spans="2:15" s="2" customFormat="1" ht="35.1" customHeight="1" x14ac:dyDescent="0.2">
      <c r="B18" s="3">
        <f>IF(K18="",0,1)</f>
        <v>0</v>
      </c>
      <c r="C18" s="377">
        <v>3</v>
      </c>
      <c r="D18" s="374"/>
      <c r="E18" s="365"/>
      <c r="F18" s="73" t="s">
        <v>97</v>
      </c>
      <c r="G18" s="77"/>
      <c r="H18" s="78"/>
      <c r="I18" s="79"/>
      <c r="J18" s="80"/>
      <c r="K18" s="81"/>
      <c r="L18" s="20"/>
      <c r="M18" s="359"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2"/>
      <c r="O18" s="54"/>
    </row>
    <row r="19" spans="2:15" s="2" customFormat="1" ht="35.1" customHeight="1" x14ac:dyDescent="0.2">
      <c r="B19" s="3">
        <f t="shared" ref="B19:B20" si="2">IF(K19="",0,1)</f>
        <v>0</v>
      </c>
      <c r="C19" s="378"/>
      <c r="D19" s="375"/>
      <c r="E19" s="366"/>
      <c r="F19" s="74" t="s">
        <v>98</v>
      </c>
      <c r="G19" s="46"/>
      <c r="H19" s="21"/>
      <c r="I19" s="47"/>
      <c r="J19" s="48"/>
      <c r="K19" s="22"/>
      <c r="L19" s="23"/>
      <c r="M19" s="360"/>
      <c r="N19" s="363"/>
      <c r="O19" s="55"/>
    </row>
    <row r="20" spans="2:15" s="2" customFormat="1" ht="35.1" customHeight="1" thickBot="1" x14ac:dyDescent="0.25">
      <c r="B20" s="3">
        <f t="shared" si="2"/>
        <v>0</v>
      </c>
      <c r="C20" s="379"/>
      <c r="D20" s="376"/>
      <c r="E20" s="367"/>
      <c r="F20" s="75" t="s">
        <v>98</v>
      </c>
      <c r="G20" s="50"/>
      <c r="H20" s="24"/>
      <c r="I20" s="51"/>
      <c r="J20" s="52"/>
      <c r="K20" s="25"/>
      <c r="L20" s="26"/>
      <c r="M20" s="361"/>
      <c r="N20" s="364"/>
      <c r="O20" s="56"/>
    </row>
    <row r="21" spans="2:15" s="2" customFormat="1" ht="9.9499999999999993" customHeight="1" thickBot="1" x14ac:dyDescent="0.25">
      <c r="B21" s="3"/>
    </row>
    <row r="22" spans="2:15" s="2" customFormat="1" ht="35.1" customHeight="1" x14ac:dyDescent="0.2">
      <c r="B22" s="3">
        <f>IF(K22="",0,1)</f>
        <v>0</v>
      </c>
      <c r="C22" s="377">
        <v>4</v>
      </c>
      <c r="D22" s="374"/>
      <c r="E22" s="365"/>
      <c r="F22" s="73" t="s">
        <v>97</v>
      </c>
      <c r="G22" s="77"/>
      <c r="H22" s="78"/>
      <c r="I22" s="79"/>
      <c r="J22" s="80"/>
      <c r="K22" s="81"/>
      <c r="L22" s="20"/>
      <c r="M22" s="359"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2"/>
      <c r="O22" s="54"/>
    </row>
    <row r="23" spans="2:15" s="2" customFormat="1" ht="35.1" customHeight="1" x14ac:dyDescent="0.2">
      <c r="B23" s="3">
        <f t="shared" ref="B23:B24" si="3">IF(K23="",0,1)</f>
        <v>0</v>
      </c>
      <c r="C23" s="378"/>
      <c r="D23" s="375"/>
      <c r="E23" s="366"/>
      <c r="F23" s="74" t="s">
        <v>98</v>
      </c>
      <c r="G23" s="46"/>
      <c r="H23" s="21"/>
      <c r="I23" s="47"/>
      <c r="J23" s="48"/>
      <c r="K23" s="22"/>
      <c r="L23" s="23"/>
      <c r="M23" s="360"/>
      <c r="N23" s="363"/>
      <c r="O23" s="55"/>
    </row>
    <row r="24" spans="2:15" s="2" customFormat="1" ht="35.1" customHeight="1" thickBot="1" x14ac:dyDescent="0.25">
      <c r="B24" s="3">
        <f t="shared" si="3"/>
        <v>0</v>
      </c>
      <c r="C24" s="379"/>
      <c r="D24" s="376"/>
      <c r="E24" s="367"/>
      <c r="F24" s="75" t="s">
        <v>98</v>
      </c>
      <c r="G24" s="50"/>
      <c r="H24" s="24"/>
      <c r="I24" s="51"/>
      <c r="J24" s="52"/>
      <c r="K24" s="25"/>
      <c r="L24" s="26"/>
      <c r="M24" s="361"/>
      <c r="N24" s="364"/>
      <c r="O24" s="56"/>
    </row>
    <row r="25" spans="2:15" s="2" customFormat="1" ht="9.9499999999999993" customHeight="1" thickBot="1" x14ac:dyDescent="0.25">
      <c r="B25" s="3"/>
    </row>
    <row r="26" spans="2:15" s="2" customFormat="1" ht="35.1" customHeight="1" x14ac:dyDescent="0.2">
      <c r="B26" s="3">
        <f>IF(K26="",0,1)</f>
        <v>0</v>
      </c>
      <c r="C26" s="377">
        <v>5</v>
      </c>
      <c r="D26" s="374"/>
      <c r="E26" s="365"/>
      <c r="F26" s="73" t="s">
        <v>97</v>
      </c>
      <c r="G26" s="77"/>
      <c r="H26" s="78"/>
      <c r="I26" s="79"/>
      <c r="J26" s="80"/>
      <c r="K26" s="81"/>
      <c r="L26" s="20"/>
      <c r="M26" s="359"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2"/>
      <c r="O26" s="54"/>
    </row>
    <row r="27" spans="2:15" s="2" customFormat="1" ht="35.1" customHeight="1" x14ac:dyDescent="0.2">
      <c r="B27" s="3">
        <f t="shared" ref="B27:B28" si="4">IF(K27="",0,1)</f>
        <v>0</v>
      </c>
      <c r="C27" s="378"/>
      <c r="D27" s="375"/>
      <c r="E27" s="366"/>
      <c r="F27" s="74" t="s">
        <v>98</v>
      </c>
      <c r="G27" s="46"/>
      <c r="H27" s="21"/>
      <c r="I27" s="47"/>
      <c r="J27" s="48"/>
      <c r="K27" s="22"/>
      <c r="L27" s="23"/>
      <c r="M27" s="360"/>
      <c r="N27" s="363"/>
      <c r="O27" s="55"/>
    </row>
    <row r="28" spans="2:15" s="2" customFormat="1" ht="35.1" customHeight="1" thickBot="1" x14ac:dyDescent="0.25">
      <c r="B28" s="3">
        <f t="shared" si="4"/>
        <v>0</v>
      </c>
      <c r="C28" s="379"/>
      <c r="D28" s="376"/>
      <c r="E28" s="367"/>
      <c r="F28" s="75" t="s">
        <v>98</v>
      </c>
      <c r="G28" s="50"/>
      <c r="H28" s="24"/>
      <c r="I28" s="51"/>
      <c r="J28" s="52"/>
      <c r="K28" s="25"/>
      <c r="L28" s="26"/>
      <c r="M28" s="361"/>
      <c r="N28" s="364"/>
      <c r="O28" s="56"/>
    </row>
    <row r="29" spans="2:15" s="2" customFormat="1" ht="9.9499999999999993" customHeight="1" thickBot="1" x14ac:dyDescent="0.25">
      <c r="B29" s="3"/>
    </row>
    <row r="30" spans="2:15" s="2" customFormat="1" ht="35.1" customHeight="1" x14ac:dyDescent="0.2">
      <c r="B30" s="3">
        <f>IF(K30="",0,1)</f>
        <v>0</v>
      </c>
      <c r="C30" s="377">
        <v>6</v>
      </c>
      <c r="D30" s="374"/>
      <c r="E30" s="365"/>
      <c r="F30" s="73" t="s">
        <v>97</v>
      </c>
      <c r="G30" s="77"/>
      <c r="H30" s="78"/>
      <c r="I30" s="79"/>
      <c r="J30" s="80"/>
      <c r="K30" s="81"/>
      <c r="L30" s="20"/>
      <c r="M30" s="359"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2"/>
      <c r="O30" s="54"/>
    </row>
    <row r="31" spans="2:15" s="2" customFormat="1" ht="35.1" customHeight="1" x14ac:dyDescent="0.2">
      <c r="B31" s="3">
        <f t="shared" ref="B31:B32" si="5">IF(K31="",0,1)</f>
        <v>0</v>
      </c>
      <c r="C31" s="378"/>
      <c r="D31" s="375"/>
      <c r="E31" s="366"/>
      <c r="F31" s="74" t="s">
        <v>98</v>
      </c>
      <c r="G31" s="46"/>
      <c r="H31" s="21"/>
      <c r="I31" s="47"/>
      <c r="J31" s="48"/>
      <c r="K31" s="22"/>
      <c r="L31" s="23"/>
      <c r="M31" s="360"/>
      <c r="N31" s="363"/>
      <c r="O31" s="55"/>
    </row>
    <row r="32" spans="2:15" s="2" customFormat="1" ht="35.1" customHeight="1" thickBot="1" x14ac:dyDescent="0.25">
      <c r="B32" s="3">
        <f t="shared" si="5"/>
        <v>0</v>
      </c>
      <c r="C32" s="379"/>
      <c r="D32" s="376"/>
      <c r="E32" s="367"/>
      <c r="F32" s="75" t="s">
        <v>98</v>
      </c>
      <c r="G32" s="50"/>
      <c r="H32" s="24"/>
      <c r="I32" s="51"/>
      <c r="J32" s="52"/>
      <c r="K32" s="25"/>
      <c r="L32" s="26"/>
      <c r="M32" s="361"/>
      <c r="N32" s="364"/>
      <c r="O32" s="56"/>
    </row>
    <row r="33" spans="2:15" s="2" customFormat="1" ht="9.9499999999999993" customHeight="1" thickBot="1" x14ac:dyDescent="0.25">
      <c r="B33" s="3"/>
    </row>
    <row r="34" spans="2:15" s="2" customFormat="1" ht="35.1" customHeight="1" x14ac:dyDescent="0.2">
      <c r="B34" s="3">
        <f>IF(K34="",0,1)</f>
        <v>0</v>
      </c>
      <c r="C34" s="377">
        <v>7</v>
      </c>
      <c r="D34" s="374"/>
      <c r="E34" s="365"/>
      <c r="F34" s="73" t="s">
        <v>97</v>
      </c>
      <c r="G34" s="77"/>
      <c r="H34" s="78"/>
      <c r="I34" s="79"/>
      <c r="J34" s="80"/>
      <c r="K34" s="81"/>
      <c r="L34" s="20"/>
      <c r="M34" s="359"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2"/>
      <c r="O34" s="54"/>
    </row>
    <row r="35" spans="2:15" s="2" customFormat="1" ht="35.1" customHeight="1" x14ac:dyDescent="0.2">
      <c r="B35" s="3">
        <f t="shared" ref="B35:B36" si="6">IF(K35="",0,1)</f>
        <v>0</v>
      </c>
      <c r="C35" s="378"/>
      <c r="D35" s="375"/>
      <c r="E35" s="366"/>
      <c r="F35" s="74" t="s">
        <v>98</v>
      </c>
      <c r="G35" s="46"/>
      <c r="H35" s="21"/>
      <c r="I35" s="47"/>
      <c r="J35" s="48"/>
      <c r="K35" s="22"/>
      <c r="L35" s="23"/>
      <c r="M35" s="360"/>
      <c r="N35" s="363"/>
      <c r="O35" s="55"/>
    </row>
    <row r="36" spans="2:15" s="2" customFormat="1" ht="35.1" customHeight="1" thickBot="1" x14ac:dyDescent="0.25">
      <c r="B36" s="3">
        <f t="shared" si="6"/>
        <v>0</v>
      </c>
      <c r="C36" s="379"/>
      <c r="D36" s="376"/>
      <c r="E36" s="367"/>
      <c r="F36" s="75" t="s">
        <v>98</v>
      </c>
      <c r="G36" s="50"/>
      <c r="H36" s="24"/>
      <c r="I36" s="51"/>
      <c r="J36" s="52"/>
      <c r="K36" s="25"/>
      <c r="L36" s="26"/>
      <c r="M36" s="361"/>
      <c r="N36" s="364"/>
      <c r="O36" s="56"/>
    </row>
    <row r="37" spans="2:15" s="2" customFormat="1" ht="9.9499999999999993" customHeight="1" thickBot="1" x14ac:dyDescent="0.25">
      <c r="B37" s="3"/>
    </row>
    <row r="38" spans="2:15" s="2" customFormat="1" ht="35.1" customHeight="1" x14ac:dyDescent="0.2">
      <c r="B38" s="3">
        <f>IF(K38="",0,1)</f>
        <v>0</v>
      </c>
      <c r="C38" s="377">
        <v>8</v>
      </c>
      <c r="D38" s="374"/>
      <c r="E38" s="365"/>
      <c r="F38" s="73" t="s">
        <v>97</v>
      </c>
      <c r="G38" s="77"/>
      <c r="H38" s="78"/>
      <c r="I38" s="79"/>
      <c r="J38" s="80"/>
      <c r="K38" s="81"/>
      <c r="L38" s="20"/>
      <c r="M38" s="359"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2"/>
      <c r="O38" s="54"/>
    </row>
    <row r="39" spans="2:15" s="2" customFormat="1" ht="35.1" customHeight="1" x14ac:dyDescent="0.2">
      <c r="B39" s="3">
        <f t="shared" ref="B39:B40" si="7">IF(K39="",0,1)</f>
        <v>0</v>
      </c>
      <c r="C39" s="378"/>
      <c r="D39" s="375"/>
      <c r="E39" s="366"/>
      <c r="F39" s="74" t="s">
        <v>98</v>
      </c>
      <c r="G39" s="46"/>
      <c r="H39" s="21"/>
      <c r="I39" s="47"/>
      <c r="J39" s="48"/>
      <c r="K39" s="22"/>
      <c r="L39" s="23"/>
      <c r="M39" s="360"/>
      <c r="N39" s="363"/>
      <c r="O39" s="55"/>
    </row>
    <row r="40" spans="2:15" s="2" customFormat="1" ht="35.1" customHeight="1" thickBot="1" x14ac:dyDescent="0.25">
      <c r="B40" s="3">
        <f t="shared" si="7"/>
        <v>0</v>
      </c>
      <c r="C40" s="379"/>
      <c r="D40" s="376"/>
      <c r="E40" s="367"/>
      <c r="F40" s="75" t="s">
        <v>98</v>
      </c>
      <c r="G40" s="50"/>
      <c r="H40" s="24"/>
      <c r="I40" s="51"/>
      <c r="J40" s="52"/>
      <c r="K40" s="25"/>
      <c r="L40" s="26"/>
      <c r="M40" s="361"/>
      <c r="N40" s="364"/>
      <c r="O40" s="56"/>
    </row>
    <row r="41" spans="2:15" s="2" customFormat="1" ht="9.9499999999999993" customHeight="1" thickBot="1" x14ac:dyDescent="0.25">
      <c r="B41" s="3"/>
    </row>
    <row r="42" spans="2:15" s="2" customFormat="1" ht="35.1" customHeight="1" x14ac:dyDescent="0.2">
      <c r="B42" s="3">
        <f>IF(K42="",0,1)</f>
        <v>0</v>
      </c>
      <c r="C42" s="377">
        <v>9</v>
      </c>
      <c r="D42" s="374"/>
      <c r="E42" s="365"/>
      <c r="F42" s="73" t="s">
        <v>97</v>
      </c>
      <c r="G42" s="77"/>
      <c r="H42" s="78"/>
      <c r="I42" s="79"/>
      <c r="J42" s="80"/>
      <c r="K42" s="81"/>
      <c r="L42" s="20"/>
      <c r="M42" s="359"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2"/>
      <c r="O42" s="54"/>
    </row>
    <row r="43" spans="2:15" s="2" customFormat="1" ht="35.1" customHeight="1" x14ac:dyDescent="0.2">
      <c r="B43" s="3">
        <f t="shared" ref="B43:B44" si="8">IF(K43="",0,1)</f>
        <v>0</v>
      </c>
      <c r="C43" s="378"/>
      <c r="D43" s="375"/>
      <c r="E43" s="366"/>
      <c r="F43" s="74" t="s">
        <v>98</v>
      </c>
      <c r="G43" s="46"/>
      <c r="H43" s="21"/>
      <c r="I43" s="47"/>
      <c r="J43" s="48"/>
      <c r="K43" s="22"/>
      <c r="L43" s="23"/>
      <c r="M43" s="360"/>
      <c r="N43" s="363"/>
      <c r="O43" s="55"/>
    </row>
    <row r="44" spans="2:15" s="2" customFormat="1" ht="35.1" customHeight="1" thickBot="1" x14ac:dyDescent="0.25">
      <c r="B44" s="3">
        <f t="shared" si="8"/>
        <v>0</v>
      </c>
      <c r="C44" s="379"/>
      <c r="D44" s="376"/>
      <c r="E44" s="367"/>
      <c r="F44" s="75" t="s">
        <v>98</v>
      </c>
      <c r="G44" s="50"/>
      <c r="H44" s="24"/>
      <c r="I44" s="51"/>
      <c r="J44" s="52"/>
      <c r="K44" s="25"/>
      <c r="L44" s="26"/>
      <c r="M44" s="361"/>
      <c r="N44" s="364"/>
      <c r="O44" s="56"/>
    </row>
    <row r="45" spans="2:15" s="2" customFormat="1" ht="9.9499999999999993" customHeight="1" thickBot="1" x14ac:dyDescent="0.25">
      <c r="B45" s="3"/>
    </row>
    <row r="46" spans="2:15" s="2" customFormat="1" ht="35.1" customHeight="1" x14ac:dyDescent="0.2">
      <c r="B46" s="3">
        <f>IF(K46="",0,1)</f>
        <v>0</v>
      </c>
      <c r="C46" s="377">
        <v>10</v>
      </c>
      <c r="D46" s="374"/>
      <c r="E46" s="365"/>
      <c r="F46" s="73" t="s">
        <v>97</v>
      </c>
      <c r="G46" s="77"/>
      <c r="H46" s="78"/>
      <c r="I46" s="79"/>
      <c r="J46" s="80"/>
      <c r="K46" s="81"/>
      <c r="L46" s="20"/>
      <c r="M46" s="359"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2"/>
      <c r="O46" s="54"/>
    </row>
    <row r="47" spans="2:15" s="2" customFormat="1" ht="35.1" customHeight="1" x14ac:dyDescent="0.2">
      <c r="B47" s="3">
        <f t="shared" ref="B47:B48" si="9">IF(K47="",0,1)</f>
        <v>0</v>
      </c>
      <c r="C47" s="378"/>
      <c r="D47" s="375"/>
      <c r="E47" s="366"/>
      <c r="F47" s="74" t="s">
        <v>98</v>
      </c>
      <c r="G47" s="46"/>
      <c r="H47" s="21"/>
      <c r="I47" s="47"/>
      <c r="J47" s="48"/>
      <c r="K47" s="22"/>
      <c r="L47" s="23"/>
      <c r="M47" s="360"/>
      <c r="N47" s="363"/>
      <c r="O47" s="55"/>
    </row>
    <row r="48" spans="2:15" s="2" customFormat="1" ht="35.1" customHeight="1" thickBot="1" x14ac:dyDescent="0.25">
      <c r="B48" s="3">
        <f t="shared" si="9"/>
        <v>0</v>
      </c>
      <c r="C48" s="379"/>
      <c r="D48" s="376"/>
      <c r="E48" s="367"/>
      <c r="F48" s="75" t="s">
        <v>98</v>
      </c>
      <c r="G48" s="50"/>
      <c r="H48" s="24"/>
      <c r="I48" s="51"/>
      <c r="J48" s="52"/>
      <c r="K48" s="25"/>
      <c r="L48" s="26"/>
      <c r="M48" s="361"/>
      <c r="N48" s="364"/>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86" t="s">
        <v>58</v>
      </c>
      <c r="E2" s="387"/>
      <c r="F2" s="388"/>
      <c r="G2" s="394" t="s">
        <v>63</v>
      </c>
      <c r="H2" s="395"/>
      <c r="I2" s="396"/>
      <c r="J2" s="397" t="s">
        <v>61</v>
      </c>
      <c r="K2" s="394" t="s">
        <v>64</v>
      </c>
      <c r="L2" s="395"/>
      <c r="M2" s="396"/>
      <c r="N2" s="406" t="s">
        <v>62</v>
      </c>
      <c r="O2" s="409" t="s">
        <v>91</v>
      </c>
      <c r="P2" s="414" t="s">
        <v>155</v>
      </c>
      <c r="Q2" s="415"/>
      <c r="R2" s="415"/>
      <c r="S2" s="415"/>
      <c r="T2" s="416"/>
      <c r="U2" s="426" t="s">
        <v>57</v>
      </c>
      <c r="V2" s="427"/>
      <c r="W2" s="417" t="s">
        <v>202</v>
      </c>
      <c r="X2" s="420" t="s">
        <v>54</v>
      </c>
      <c r="Y2" s="423" t="s">
        <v>53</v>
      </c>
    </row>
    <row r="3" spans="2:25" ht="20.100000000000001" customHeight="1" x14ac:dyDescent="0.2">
      <c r="D3" s="389"/>
      <c r="E3" s="390"/>
      <c r="F3" s="391"/>
      <c r="G3" s="217" t="s">
        <v>59</v>
      </c>
      <c r="H3" s="218" t="s">
        <v>60</v>
      </c>
      <c r="I3" s="392" t="s">
        <v>51</v>
      </c>
      <c r="J3" s="398"/>
      <c r="K3" s="217" t="s">
        <v>59</v>
      </c>
      <c r="L3" s="218" t="s">
        <v>60</v>
      </c>
      <c r="M3" s="392" t="s">
        <v>52</v>
      </c>
      <c r="N3" s="407"/>
      <c r="O3" s="392"/>
      <c r="P3" s="412" t="s">
        <v>195</v>
      </c>
      <c r="Q3" s="400" t="s">
        <v>200</v>
      </c>
      <c r="R3" s="410" t="s">
        <v>201</v>
      </c>
      <c r="S3" s="402" t="s">
        <v>156</v>
      </c>
      <c r="T3" s="404" t="s">
        <v>196</v>
      </c>
      <c r="U3" s="428" t="s">
        <v>55</v>
      </c>
      <c r="V3" s="430" t="s">
        <v>56</v>
      </c>
      <c r="W3" s="418"/>
      <c r="X3" s="421"/>
      <c r="Y3" s="424"/>
    </row>
    <row r="4" spans="2:25" s="122" customFormat="1" ht="45" customHeight="1" thickBot="1" x14ac:dyDescent="0.25">
      <c r="D4" s="219" t="s">
        <v>50</v>
      </c>
      <c r="E4" s="220" t="s">
        <v>47</v>
      </c>
      <c r="F4" s="221" t="s">
        <v>1</v>
      </c>
      <c r="G4" s="222" t="s">
        <v>48</v>
      </c>
      <c r="H4" s="223" t="s">
        <v>198</v>
      </c>
      <c r="I4" s="393"/>
      <c r="J4" s="399"/>
      <c r="K4" s="222" t="s">
        <v>49</v>
      </c>
      <c r="L4" s="223" t="s">
        <v>199</v>
      </c>
      <c r="M4" s="393"/>
      <c r="N4" s="408"/>
      <c r="O4" s="393"/>
      <c r="P4" s="413"/>
      <c r="Q4" s="401"/>
      <c r="R4" s="411"/>
      <c r="S4" s="403"/>
      <c r="T4" s="405"/>
      <c r="U4" s="429"/>
      <c r="V4" s="431"/>
      <c r="W4" s="419"/>
      <c r="X4" s="422"/>
      <c r="Y4" s="425"/>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32" t="s">
        <v>157</v>
      </c>
      <c r="D2" s="433"/>
    </row>
    <row r="3" spans="2:5" ht="26.25" customHeight="1" x14ac:dyDescent="0.2">
      <c r="C3" s="279" t="s">
        <v>158</v>
      </c>
      <c r="D3" s="280">
        <f>'RELACIÓN DE FACTURAS'!X84</f>
        <v>0</v>
      </c>
    </row>
    <row r="4" spans="2:5" ht="26.25" customHeight="1" x14ac:dyDescent="0.2">
      <c r="C4" s="281" t="s">
        <v>159</v>
      </c>
      <c r="D4" s="282">
        <f>PAGOS!V81</f>
        <v>0</v>
      </c>
    </row>
    <row r="5" spans="2:5" ht="15.75" thickBot="1" x14ac:dyDescent="0.25"/>
    <row r="6" spans="2:5" ht="15" customHeight="1" thickBot="1" x14ac:dyDescent="0.25">
      <c r="C6" s="432" t="s">
        <v>85</v>
      </c>
      <c r="D6" s="433"/>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295"/>
    </row>
    <row r="3" spans="1:36" x14ac:dyDescent="0.2">
      <c r="B3" s="436" t="s">
        <v>169</v>
      </c>
      <c r="C3" s="436"/>
      <c r="D3" s="436"/>
      <c r="E3" s="436"/>
      <c r="F3" s="436"/>
      <c r="G3" s="436"/>
      <c r="H3" s="436"/>
      <c r="I3" s="436"/>
      <c r="J3" s="436"/>
      <c r="K3" s="436"/>
      <c r="L3" s="436"/>
      <c r="M3" s="436"/>
      <c r="O3" s="436" t="s">
        <v>170</v>
      </c>
      <c r="P3" s="436"/>
      <c r="R3" s="436" t="s">
        <v>171</v>
      </c>
      <c r="S3" s="436"/>
      <c r="U3" s="442" t="s">
        <v>236</v>
      </c>
      <c r="V3" s="442"/>
      <c r="X3" s="82" t="s">
        <v>175</v>
      </c>
      <c r="Z3" s="436" t="s">
        <v>23</v>
      </c>
      <c r="AA3" s="436"/>
      <c r="AB3" s="436"/>
      <c r="AC3" s="436"/>
      <c r="AD3" s="436"/>
      <c r="AF3" s="436" t="s">
        <v>223</v>
      </c>
      <c r="AG3" s="436"/>
      <c r="AI3" s="436" t="s">
        <v>179</v>
      </c>
      <c r="AJ3" s="436"/>
    </row>
    <row r="4" spans="1:36" ht="15.75" thickBot="1" x14ac:dyDescent="0.25"/>
    <row r="5" spans="1:36" ht="15.75" thickBot="1" x14ac:dyDescent="0.25">
      <c r="D5" s="437" t="s">
        <v>162</v>
      </c>
      <c r="E5" s="437" t="s">
        <v>165</v>
      </c>
      <c r="F5" s="437" t="s">
        <v>163</v>
      </c>
      <c r="G5" s="437" t="s">
        <v>164</v>
      </c>
      <c r="H5" s="437"/>
      <c r="I5" s="437"/>
      <c r="J5" s="437" t="s">
        <v>160</v>
      </c>
      <c r="K5" s="437"/>
      <c r="L5" s="437"/>
      <c r="M5" s="437"/>
      <c r="O5" s="434" t="s">
        <v>231</v>
      </c>
      <c r="P5" s="4" t="str">
        <f>VLOOKUP(AUXILIAR!$B$7,AUXILIAR!$D$7:$I$81,4,FALSE)</f>
        <v>nº 82, de 11 de abril de 2023</v>
      </c>
      <c r="R5" s="2" t="s">
        <v>172</v>
      </c>
      <c r="S5" s="5" t="s">
        <v>229</v>
      </c>
      <c r="U5" s="2" t="s">
        <v>237</v>
      </c>
      <c r="V5" s="5" t="s">
        <v>161</v>
      </c>
      <c r="X5" s="4" t="s">
        <v>40</v>
      </c>
      <c r="Z5" s="2" t="str">
        <f>M7</f>
        <v>APRO</v>
      </c>
      <c r="AI5" s="98" t="s">
        <v>207</v>
      </c>
      <c r="AJ5" s="99" t="s">
        <v>208</v>
      </c>
    </row>
    <row r="6" spans="1:36" x14ac:dyDescent="0.25">
      <c r="D6" s="437"/>
      <c r="E6" s="437"/>
      <c r="F6" s="437"/>
      <c r="G6" s="76" t="s">
        <v>166</v>
      </c>
      <c r="H6" s="76" t="s">
        <v>168</v>
      </c>
      <c r="I6" s="76" t="s">
        <v>167</v>
      </c>
      <c r="J6" s="438" t="str">
        <f>IF(COUNTIF($J$7:$J$81,"SÍ")=0,"",IF(COUNTIF($J$7:$J$81,"SÍ")=1,"SÍ",IF(COUNTIF($J$7:$J$81,"SÍ")&gt;1,"NO")))</f>
        <v>SÍ</v>
      </c>
      <c r="K6" s="438"/>
      <c r="L6" s="438"/>
      <c r="M6" s="438"/>
      <c r="O6" s="435"/>
      <c r="P6" s="4">
        <f>VLOOKUP(AUXILIAR!$B$7,AUXILIAR!$D$7:$I$81,5,FALSE)</f>
        <v>0</v>
      </c>
      <c r="S6" s="100" t="str">
        <f>IF($S$5="SÍ","Bloquear celda F25 de EXPEDIENTE","")</f>
        <v/>
      </c>
      <c r="V6" s="443" t="str">
        <f>IF($V$5="NO","Ocultar columna AF en RELACIÓN FACTURAS","")</f>
        <v/>
      </c>
      <c r="X6" s="4" t="s">
        <v>66</v>
      </c>
      <c r="Z6" s="4">
        <v>1</v>
      </c>
      <c r="AA6" s="444" t="s">
        <v>239</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94</v>
      </c>
      <c r="AI6" s="96" t="s">
        <v>209</v>
      </c>
      <c r="AJ6" s="63">
        <v>2130</v>
      </c>
    </row>
    <row r="7" spans="1:36" ht="15.75" thickBot="1" x14ac:dyDescent="0.3">
      <c r="B7" s="6" t="str">
        <f>M7</f>
        <v>APRO</v>
      </c>
      <c r="C7" s="3">
        <v>1</v>
      </c>
      <c r="D7" s="5" t="s">
        <v>232</v>
      </c>
      <c r="E7" s="11">
        <v>7</v>
      </c>
      <c r="F7" s="8" t="s">
        <v>241</v>
      </c>
      <c r="G7" s="9" t="s">
        <v>233</v>
      </c>
      <c r="H7" s="9"/>
      <c r="I7" s="9"/>
      <c r="J7" s="5" t="s">
        <v>161</v>
      </c>
      <c r="K7" s="6">
        <f>IF(J7="",76,C7)</f>
        <v>1</v>
      </c>
      <c r="L7" s="6">
        <f>IF(K7&lt;&gt;76,C7,76)</f>
        <v>1</v>
      </c>
      <c r="M7" s="6" t="str">
        <f>IFERROR(VLOOKUP(SMALL($L$7:$L$81,C7),$C$7:$D$81,2,FALSE),"X")</f>
        <v>APRO</v>
      </c>
      <c r="O7" s="435"/>
      <c r="P7" s="4">
        <f>VLOOKUP(AUXILIAR!$B$7,AUXILIAR!$D$7:$I$81,6,FALSE)</f>
        <v>0</v>
      </c>
      <c r="Z7" s="4">
        <v>2</v>
      </c>
      <c r="AA7" s="444"/>
      <c r="AB7" s="4">
        <f t="shared" si="0"/>
        <v>11</v>
      </c>
      <c r="AC7" s="4">
        <f t="shared" si="1"/>
        <v>11</v>
      </c>
      <c r="AD7" s="4" t="str">
        <f t="shared" si="2"/>
        <v>X</v>
      </c>
      <c r="AF7" s="6">
        <v>1</v>
      </c>
      <c r="AG7" s="4" t="s">
        <v>228</v>
      </c>
      <c r="AI7" s="97" t="s">
        <v>218</v>
      </c>
      <c r="AJ7" s="65">
        <v>2130</v>
      </c>
    </row>
    <row r="8" spans="1:36" x14ac:dyDescent="0.25">
      <c r="C8" s="3">
        <v>2</v>
      </c>
      <c r="D8" s="5"/>
      <c r="E8" s="11"/>
      <c r="F8" s="8"/>
      <c r="G8" s="9"/>
      <c r="H8" s="9"/>
      <c r="I8" s="9"/>
      <c r="J8" s="5"/>
      <c r="K8" s="6">
        <f t="shared" ref="K8:K12" si="3">IF(J8="",76,C8)</f>
        <v>76</v>
      </c>
      <c r="L8" s="6">
        <f t="shared" ref="L8:L12" si="4">IF(K8&lt;&gt;76,C8,76)</f>
        <v>76</v>
      </c>
      <c r="M8" s="6" t="str">
        <f t="shared" ref="M8:M71" si="5">IFERROR(VLOOKUP(SMALL($L$7:$L$81,C8),$C$7:$D$81,2,FALSE),"X")</f>
        <v>X</v>
      </c>
      <c r="R8" s="2" t="s">
        <v>173</v>
      </c>
      <c r="S8" s="10"/>
      <c r="U8" s="2" t="s">
        <v>238</v>
      </c>
      <c r="V8" s="5" t="s">
        <v>161</v>
      </c>
      <c r="Z8" s="4">
        <v>3</v>
      </c>
      <c r="AA8" s="444"/>
      <c r="AB8" s="4">
        <f t="shared" si="0"/>
        <v>11</v>
      </c>
      <c r="AC8" s="4">
        <f t="shared" si="1"/>
        <v>11</v>
      </c>
      <c r="AD8" s="4" t="str">
        <f t="shared" si="2"/>
        <v>X</v>
      </c>
      <c r="AF8" s="6">
        <v>2</v>
      </c>
      <c r="AG8" s="4" t="s">
        <v>45</v>
      </c>
      <c r="AI8" s="441" t="s">
        <v>210</v>
      </c>
      <c r="AJ8" s="95" t="s">
        <v>208</v>
      </c>
    </row>
    <row r="9" spans="1:36" x14ac:dyDescent="0.25">
      <c r="C9" s="3">
        <v>3</v>
      </c>
      <c r="D9" s="5"/>
      <c r="E9" s="11"/>
      <c r="F9" s="8"/>
      <c r="G9" s="9"/>
      <c r="H9" s="9"/>
      <c r="I9" s="9"/>
      <c r="J9" s="5"/>
      <c r="K9" s="6">
        <f t="shared" si="3"/>
        <v>76</v>
      </c>
      <c r="L9" s="6">
        <f t="shared" si="4"/>
        <v>76</v>
      </c>
      <c r="M9" s="6" t="str">
        <f t="shared" si="5"/>
        <v>X</v>
      </c>
      <c r="O9" s="12" t="s">
        <v>29</v>
      </c>
      <c r="P9" s="9">
        <v>2025</v>
      </c>
      <c r="V9" s="443" t="str">
        <f>IF($V$8="NO","Ocultar columna AG en RELACIÓN FACTURAS","")</f>
        <v/>
      </c>
      <c r="Z9" s="4">
        <v>4</v>
      </c>
      <c r="AA9" s="444"/>
      <c r="AB9" s="4">
        <f t="shared" si="0"/>
        <v>11</v>
      </c>
      <c r="AC9" s="4">
        <f t="shared" si="1"/>
        <v>11</v>
      </c>
      <c r="AD9" s="4" t="str">
        <f t="shared" si="2"/>
        <v>X</v>
      </c>
      <c r="AF9" s="6">
        <v>3</v>
      </c>
      <c r="AG9" s="4" t="s">
        <v>42</v>
      </c>
      <c r="AI9" s="439"/>
      <c r="AJ9" s="64" t="s">
        <v>182</v>
      </c>
    </row>
    <row r="10" spans="1:36" x14ac:dyDescent="0.2">
      <c r="C10" s="3">
        <v>4</v>
      </c>
      <c r="D10" s="5"/>
      <c r="E10" s="11"/>
      <c r="F10" s="8"/>
      <c r="G10" s="9"/>
      <c r="H10" s="9"/>
      <c r="I10" s="9"/>
      <c r="J10" s="5"/>
      <c r="K10" s="6">
        <f t="shared" si="3"/>
        <v>76</v>
      </c>
      <c r="L10" s="6">
        <f t="shared" si="4"/>
        <v>76</v>
      </c>
      <c r="M10" s="6" t="str">
        <f t="shared" si="5"/>
        <v>X</v>
      </c>
      <c r="R10" s="2" t="s">
        <v>174</v>
      </c>
      <c r="S10" s="13">
        <v>1</v>
      </c>
      <c r="T10" s="2" t="s">
        <v>33</v>
      </c>
      <c r="Z10" s="4">
        <v>5</v>
      </c>
      <c r="AA10" s="7"/>
      <c r="AB10" s="4">
        <f t="shared" si="0"/>
        <v>11</v>
      </c>
      <c r="AC10" s="4">
        <f t="shared" si="1"/>
        <v>11</v>
      </c>
      <c r="AD10" s="4" t="str">
        <f t="shared" si="2"/>
        <v>X</v>
      </c>
      <c r="AF10" s="6">
        <v>4</v>
      </c>
      <c r="AG10" s="4" t="s">
        <v>73</v>
      </c>
      <c r="AI10" s="439"/>
      <c r="AJ10" s="64" t="s">
        <v>183</v>
      </c>
    </row>
    <row r="11" spans="1:36" x14ac:dyDescent="0.2">
      <c r="C11" s="3">
        <v>5</v>
      </c>
      <c r="D11" s="5"/>
      <c r="E11" s="11"/>
      <c r="F11" s="8"/>
      <c r="G11" s="9"/>
      <c r="H11" s="9"/>
      <c r="I11" s="9"/>
      <c r="J11" s="5"/>
      <c r="K11" s="6">
        <f t="shared" si="3"/>
        <v>76</v>
      </c>
      <c r="L11" s="6">
        <f t="shared" si="4"/>
        <v>76</v>
      </c>
      <c r="M11" s="6" t="str">
        <f t="shared" si="5"/>
        <v>X</v>
      </c>
      <c r="O11" s="434" t="s">
        <v>177</v>
      </c>
      <c r="P11" s="9" t="s">
        <v>234</v>
      </c>
      <c r="R11" s="3"/>
      <c r="Z11" s="4">
        <v>6</v>
      </c>
      <c r="AA11" s="7"/>
      <c r="AB11" s="4">
        <f t="shared" si="0"/>
        <v>11</v>
      </c>
      <c r="AC11" s="4">
        <f t="shared" si="1"/>
        <v>11</v>
      </c>
      <c r="AD11" s="4" t="str">
        <f t="shared" si="2"/>
        <v>X</v>
      </c>
      <c r="AF11" s="6">
        <v>5</v>
      </c>
      <c r="AG11" s="4" t="s">
        <v>225</v>
      </c>
      <c r="AI11" s="439"/>
      <c r="AJ11" s="64" t="s">
        <v>184</v>
      </c>
    </row>
    <row r="12" spans="1:36" x14ac:dyDescent="0.2">
      <c r="C12" s="3">
        <v>6</v>
      </c>
      <c r="D12" s="5"/>
      <c r="E12" s="11"/>
      <c r="F12" s="8"/>
      <c r="G12" s="9"/>
      <c r="H12" s="9"/>
      <c r="I12" s="9"/>
      <c r="J12" s="5"/>
      <c r="K12" s="6">
        <f t="shared" si="3"/>
        <v>76</v>
      </c>
      <c r="L12" s="6">
        <f t="shared" si="4"/>
        <v>76</v>
      </c>
      <c r="M12" s="6" t="str">
        <f t="shared" si="5"/>
        <v>X</v>
      </c>
      <c r="O12" s="435"/>
      <c r="P12" s="9" t="s">
        <v>235</v>
      </c>
      <c r="R12" s="14" t="s">
        <v>37</v>
      </c>
      <c r="S12" s="15">
        <f>EXPEDIENTE!F27</f>
        <v>0</v>
      </c>
      <c r="Z12" s="4">
        <v>7</v>
      </c>
      <c r="AA12" s="7"/>
      <c r="AB12" s="4">
        <f t="shared" si="0"/>
        <v>11</v>
      </c>
      <c r="AC12" s="4">
        <f t="shared" si="1"/>
        <v>11</v>
      </c>
      <c r="AD12" s="4" t="str">
        <f t="shared" si="2"/>
        <v>X</v>
      </c>
      <c r="AF12" s="6">
        <v>6</v>
      </c>
      <c r="AG12" s="4" t="s">
        <v>77</v>
      </c>
      <c r="AI12" s="439"/>
      <c r="AJ12" s="64" t="s">
        <v>185</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35"/>
      <c r="P13" s="9"/>
      <c r="R13" s="14" t="s">
        <v>34</v>
      </c>
      <c r="S13" s="4">
        <f>DAY(S12)</f>
        <v>0</v>
      </c>
      <c r="Z13" s="4">
        <v>8</v>
      </c>
      <c r="AA13" s="7"/>
      <c r="AB13" s="4">
        <f t="shared" si="0"/>
        <v>11</v>
      </c>
      <c r="AC13" s="4">
        <f t="shared" si="1"/>
        <v>11</v>
      </c>
      <c r="AD13" s="4" t="str">
        <f t="shared" si="2"/>
        <v>X</v>
      </c>
      <c r="AF13" s="6">
        <v>7</v>
      </c>
      <c r="AG13" s="4" t="s">
        <v>44</v>
      </c>
      <c r="AI13" s="439"/>
      <c r="AJ13" s="64" t="s">
        <v>186</v>
      </c>
    </row>
    <row r="14" spans="1:36" x14ac:dyDescent="0.2">
      <c r="C14" s="3">
        <v>8</v>
      </c>
      <c r="D14" s="5"/>
      <c r="E14" s="11"/>
      <c r="F14" s="8"/>
      <c r="G14" s="9"/>
      <c r="H14" s="9"/>
      <c r="I14" s="9"/>
      <c r="J14" s="5"/>
      <c r="K14" s="6">
        <f t="shared" si="6"/>
        <v>76</v>
      </c>
      <c r="L14" s="6">
        <f t="shared" si="7"/>
        <v>76</v>
      </c>
      <c r="M14" s="6" t="str">
        <f t="shared" si="5"/>
        <v>X</v>
      </c>
      <c r="R14" s="14" t="s">
        <v>35</v>
      </c>
      <c r="S14" s="4">
        <f>MONTH(S12)</f>
        <v>1</v>
      </c>
      <c r="Z14" s="4">
        <v>9</v>
      </c>
      <c r="AA14" s="7"/>
      <c r="AB14" s="4">
        <f t="shared" si="0"/>
        <v>11</v>
      </c>
      <c r="AC14" s="4">
        <f t="shared" si="1"/>
        <v>11</v>
      </c>
      <c r="AD14" s="4" t="str">
        <f t="shared" si="2"/>
        <v>X</v>
      </c>
      <c r="AF14" s="6">
        <v>8</v>
      </c>
      <c r="AG14" s="4"/>
      <c r="AI14" s="439"/>
      <c r="AJ14" s="64" t="s">
        <v>187</v>
      </c>
    </row>
    <row r="15" spans="1:36" x14ac:dyDescent="0.2">
      <c r="C15" s="3">
        <v>9</v>
      </c>
      <c r="D15" s="5"/>
      <c r="E15" s="11"/>
      <c r="F15" s="8"/>
      <c r="G15" s="9"/>
      <c r="H15" s="9"/>
      <c r="I15" s="9"/>
      <c r="J15" s="5"/>
      <c r="K15" s="6">
        <f t="shared" si="6"/>
        <v>76</v>
      </c>
      <c r="L15" s="6">
        <f t="shared" si="7"/>
        <v>76</v>
      </c>
      <c r="M15" s="6" t="str">
        <f t="shared" si="5"/>
        <v>X</v>
      </c>
      <c r="R15" s="14" t="s">
        <v>36</v>
      </c>
      <c r="S15" s="4">
        <f>YEAR(S12)</f>
        <v>1900</v>
      </c>
      <c r="Z15" s="4">
        <v>10</v>
      </c>
      <c r="AA15" s="7"/>
      <c r="AB15" s="4">
        <f t="shared" si="0"/>
        <v>11</v>
      </c>
      <c r="AC15" s="4">
        <f t="shared" si="1"/>
        <v>11</v>
      </c>
      <c r="AD15" s="4" t="str">
        <f t="shared" si="2"/>
        <v>X</v>
      </c>
      <c r="AF15" s="6">
        <v>9</v>
      </c>
      <c r="AG15" s="4"/>
      <c r="AI15" s="439"/>
      <c r="AJ15" s="64" t="s">
        <v>188</v>
      </c>
    </row>
    <row r="16" spans="1:36" x14ac:dyDescent="0.2">
      <c r="C16" s="3">
        <v>10</v>
      </c>
      <c r="D16" s="5"/>
      <c r="E16" s="11"/>
      <c r="F16" s="8"/>
      <c r="G16" s="9"/>
      <c r="H16" s="9"/>
      <c r="I16" s="9"/>
      <c r="J16" s="5"/>
      <c r="K16" s="6">
        <f t="shared" si="6"/>
        <v>76</v>
      </c>
      <c r="L16" s="6">
        <f t="shared" si="7"/>
        <v>76</v>
      </c>
      <c r="M16" s="6" t="str">
        <f t="shared" si="5"/>
        <v>X</v>
      </c>
      <c r="R16" s="3"/>
      <c r="AI16" s="439"/>
      <c r="AJ16" s="64" t="s">
        <v>178</v>
      </c>
    </row>
    <row r="17" spans="3:36" x14ac:dyDescent="0.2">
      <c r="C17" s="3">
        <v>11</v>
      </c>
      <c r="D17" s="5"/>
      <c r="E17" s="11"/>
      <c r="F17" s="8"/>
      <c r="G17" s="9"/>
      <c r="H17" s="9"/>
      <c r="I17" s="9"/>
      <c r="J17" s="5"/>
      <c r="K17" s="6">
        <f t="shared" si="6"/>
        <v>76</v>
      </c>
      <c r="L17" s="6">
        <f t="shared" si="7"/>
        <v>76</v>
      </c>
      <c r="M17" s="6" t="str">
        <f t="shared" si="5"/>
        <v>X</v>
      </c>
      <c r="R17" s="14" t="s">
        <v>38</v>
      </c>
      <c r="S17" s="15">
        <f>DATE(YEAR(S12),MONTH(S12)+S10,DAY(S12))</f>
        <v>31</v>
      </c>
      <c r="Z17" s="4" t="str">
        <f>IF(M8="X","",M8)</f>
        <v/>
      </c>
      <c r="AI17" s="439"/>
      <c r="AJ17" s="64" t="s">
        <v>180</v>
      </c>
    </row>
    <row r="18" spans="3:36" x14ac:dyDescent="0.3">
      <c r="C18" s="3">
        <v>12</v>
      </c>
      <c r="D18" s="5"/>
      <c r="E18" s="11"/>
      <c r="F18" s="8"/>
      <c r="G18" s="9"/>
      <c r="H18" s="9"/>
      <c r="I18" s="9"/>
      <c r="J18" s="5"/>
      <c r="K18" s="6">
        <f t="shared" si="6"/>
        <v>76</v>
      </c>
      <c r="L18" s="6">
        <f t="shared" si="7"/>
        <v>76</v>
      </c>
      <c r="M18" s="6" t="str">
        <f t="shared" si="5"/>
        <v>X</v>
      </c>
      <c r="R18" s="14" t="s">
        <v>39</v>
      </c>
      <c r="S18" s="15">
        <f>IF(DAY(S12)=DAY(S17),S17,DATE(YEAR(S17),MONTH(S17),1)-1)</f>
        <v>0</v>
      </c>
      <c r="Z18" s="4">
        <v>1</v>
      </c>
      <c r="AA18" s="298"/>
      <c r="AB18" s="4">
        <f>IF(AA18="",11,AA18)</f>
        <v>11</v>
      </c>
      <c r="AC18" s="4">
        <f t="shared" ref="AC18:AC27" si="8">IF(AB18&lt;&gt;11,Z18,11)</f>
        <v>11</v>
      </c>
      <c r="AD18" s="4" t="str">
        <f>IFERROR(VLOOKUP(SMALL($AC$18:$AC$27,Z18),$Z$18:$AA$27,2,FALSE),"X")</f>
        <v>X</v>
      </c>
      <c r="AF18" s="6">
        <f>COUNTBLANK('RELACIÓN DE FACTURAS'!$O$9:$AL$83)</f>
        <v>1575</v>
      </c>
      <c r="AG18" s="4" t="s">
        <v>224</v>
      </c>
      <c r="AI18" s="439"/>
      <c r="AJ18" s="64"/>
    </row>
    <row r="19" spans="3:36" x14ac:dyDescent="0.3">
      <c r="C19" s="3">
        <v>13</v>
      </c>
      <c r="D19" s="5"/>
      <c r="E19" s="11"/>
      <c r="F19" s="8"/>
      <c r="G19" s="9"/>
      <c r="H19" s="9"/>
      <c r="I19" s="9"/>
      <c r="J19" s="5"/>
      <c r="K19" s="6">
        <f t="shared" si="6"/>
        <v>76</v>
      </c>
      <c r="L19" s="6">
        <f t="shared" si="7"/>
        <v>76</v>
      </c>
      <c r="M19" s="6" t="str">
        <f t="shared" si="5"/>
        <v>X</v>
      </c>
      <c r="R19" s="14"/>
      <c r="S19" s="313"/>
      <c r="Z19" s="4">
        <v>2</v>
      </c>
      <c r="AA19" s="298"/>
      <c r="AB19" s="4">
        <f t="shared" ref="AB19:AB27" si="9">IF(AA19="",11,AA19)</f>
        <v>11</v>
      </c>
      <c r="AC19" s="4">
        <f t="shared" si="8"/>
        <v>11</v>
      </c>
      <c r="AD19" s="4" t="str">
        <f t="shared" ref="AD19:AD27" si="10">IFERROR(VLOOKUP(SMALL($AC$18:$AC$27,Z19),$Z$18:$AA$27,2,FALSE),"X")</f>
        <v>X</v>
      </c>
      <c r="AI19" s="439"/>
      <c r="AJ19" s="64"/>
    </row>
    <row r="20" spans="3:36" x14ac:dyDescent="0.3">
      <c r="C20" s="3">
        <v>14</v>
      </c>
      <c r="D20" s="5"/>
      <c r="E20" s="11"/>
      <c r="F20" s="8"/>
      <c r="G20" s="9"/>
      <c r="H20" s="9"/>
      <c r="I20" s="9"/>
      <c r="J20" s="5"/>
      <c r="K20" s="6">
        <f t="shared" si="6"/>
        <v>76</v>
      </c>
      <c r="L20" s="6">
        <f t="shared" si="7"/>
        <v>76</v>
      </c>
      <c r="M20" s="6" t="str">
        <f t="shared" si="5"/>
        <v>X</v>
      </c>
      <c r="R20" s="14" t="s">
        <v>60</v>
      </c>
      <c r="S20" s="313"/>
      <c r="Z20" s="4">
        <v>3</v>
      </c>
      <c r="AA20" s="298"/>
      <c r="AB20" s="4">
        <f t="shared" si="9"/>
        <v>11</v>
      </c>
      <c r="AC20" s="4">
        <f t="shared" si="8"/>
        <v>11</v>
      </c>
      <c r="AD20" s="4" t="str">
        <f t="shared" si="10"/>
        <v>X</v>
      </c>
      <c r="AI20" s="439"/>
      <c r="AJ20" s="64"/>
    </row>
    <row r="21" spans="3:36" x14ac:dyDescent="0.2">
      <c r="C21" s="3">
        <v>15</v>
      </c>
      <c r="D21" s="5"/>
      <c r="E21" s="11"/>
      <c r="F21" s="8"/>
      <c r="G21" s="9"/>
      <c r="H21" s="9"/>
      <c r="I21" s="9"/>
      <c r="J21" s="5"/>
      <c r="K21" s="6">
        <f t="shared" si="6"/>
        <v>76</v>
      </c>
      <c r="L21" s="6">
        <f t="shared" si="7"/>
        <v>76</v>
      </c>
      <c r="M21" s="6" t="str">
        <f t="shared" si="5"/>
        <v>X</v>
      </c>
      <c r="R21" s="14" t="s">
        <v>38</v>
      </c>
      <c r="S21" s="15" t="str">
        <f>EXPEDIENTE!$I$27</f>
        <v/>
      </c>
      <c r="Z21" s="4">
        <v>4</v>
      </c>
      <c r="AA21" s="7"/>
      <c r="AB21" s="4">
        <f t="shared" si="9"/>
        <v>11</v>
      </c>
      <c r="AC21" s="4">
        <f t="shared" si="8"/>
        <v>11</v>
      </c>
      <c r="AD21" s="4" t="str">
        <f t="shared" si="10"/>
        <v>X</v>
      </c>
      <c r="AI21" s="439"/>
      <c r="AJ21" s="64"/>
    </row>
    <row r="22" spans="3:36"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Z22" s="4">
        <v>5</v>
      </c>
      <c r="AA22" s="7"/>
      <c r="AB22" s="4">
        <f t="shared" si="9"/>
        <v>11</v>
      </c>
      <c r="AC22" s="4">
        <f t="shared" si="8"/>
        <v>11</v>
      </c>
      <c r="AD22" s="4" t="str">
        <f t="shared" si="10"/>
        <v>X</v>
      </c>
      <c r="AI22" s="439"/>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39"/>
      <c r="AJ23" s="64"/>
    </row>
    <row r="24" spans="3:36" x14ac:dyDescent="0.2">
      <c r="C24" s="3">
        <v>18</v>
      </c>
      <c r="D24" s="5"/>
      <c r="E24" s="11"/>
      <c r="F24" s="8"/>
      <c r="G24" s="9"/>
      <c r="H24" s="9"/>
      <c r="I24" s="9"/>
      <c r="J24" s="5"/>
      <c r="K24" s="6">
        <f t="shared" si="6"/>
        <v>76</v>
      </c>
      <c r="L24" s="6">
        <f t="shared" si="7"/>
        <v>76</v>
      </c>
      <c r="M24" s="6" t="str">
        <f t="shared" si="5"/>
        <v>X</v>
      </c>
      <c r="R24" s="2" t="s">
        <v>154</v>
      </c>
      <c r="Z24" s="4">
        <v>7</v>
      </c>
      <c r="AA24" s="7"/>
      <c r="AB24" s="4">
        <f t="shared" si="9"/>
        <v>11</v>
      </c>
      <c r="AC24" s="4">
        <f t="shared" si="8"/>
        <v>11</v>
      </c>
      <c r="AD24" s="4" t="str">
        <f t="shared" si="10"/>
        <v>X</v>
      </c>
      <c r="AI24" s="439"/>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39"/>
      <c r="AJ25" s="64"/>
    </row>
    <row r="26" spans="3:36" x14ac:dyDescent="0.2">
      <c r="C26" s="3">
        <v>20</v>
      </c>
      <c r="D26" s="5"/>
      <c r="E26" s="11"/>
      <c r="F26" s="8"/>
      <c r="G26" s="9"/>
      <c r="H26" s="9"/>
      <c r="I26" s="9"/>
      <c r="J26" s="5"/>
      <c r="K26" s="6">
        <f t="shared" si="6"/>
        <v>76</v>
      </c>
      <c r="L26" s="6">
        <f t="shared" si="7"/>
        <v>76</v>
      </c>
      <c r="M26" s="6" t="str">
        <f t="shared" si="5"/>
        <v>X</v>
      </c>
      <c r="R26" s="2" t="s">
        <v>110</v>
      </c>
      <c r="Z26" s="4">
        <v>9</v>
      </c>
      <c r="AA26" s="7"/>
      <c r="AB26" s="4">
        <f t="shared" si="9"/>
        <v>11</v>
      </c>
      <c r="AC26" s="4">
        <f t="shared" si="8"/>
        <v>11</v>
      </c>
      <c r="AD26" s="4" t="str">
        <f t="shared" si="10"/>
        <v>X</v>
      </c>
      <c r="AI26" s="439"/>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0"/>
      <c r="AJ27" s="65" t="s">
        <v>217</v>
      </c>
    </row>
    <row r="28" spans="3:36" x14ac:dyDescent="0.2">
      <c r="C28" s="3">
        <v>22</v>
      </c>
      <c r="D28" s="5"/>
      <c r="E28" s="11"/>
      <c r="F28" s="8"/>
      <c r="G28" s="9"/>
      <c r="H28" s="9"/>
      <c r="I28" s="9"/>
      <c r="J28" s="5"/>
      <c r="K28" s="6">
        <f t="shared" si="6"/>
        <v>76</v>
      </c>
      <c r="L28" s="6">
        <f t="shared" si="7"/>
        <v>76</v>
      </c>
      <c r="M28" s="6" t="str">
        <f t="shared" si="5"/>
        <v>X</v>
      </c>
      <c r="AA28" s="17"/>
      <c r="AI28" s="439" t="s">
        <v>211</v>
      </c>
      <c r="AJ28" s="63" t="s">
        <v>212</v>
      </c>
    </row>
    <row r="29" spans="3:36" x14ac:dyDescent="0.2">
      <c r="C29" s="3">
        <v>23</v>
      </c>
      <c r="D29" s="5"/>
      <c r="E29" s="11"/>
      <c r="F29" s="8"/>
      <c r="G29" s="9"/>
      <c r="H29" s="9"/>
      <c r="I29" s="9"/>
      <c r="J29" s="5"/>
      <c r="K29" s="6">
        <f t="shared" si="6"/>
        <v>76</v>
      </c>
      <c r="L29" s="6">
        <f t="shared" si="7"/>
        <v>76</v>
      </c>
      <c r="M29" s="6" t="str">
        <f t="shared" si="5"/>
        <v>X</v>
      </c>
      <c r="AA29" s="17"/>
      <c r="AC29" s="4" t="str">
        <f>IF(EXPEDIENTE!$C$20=$Z$5,$AC6,IF(EXPEDIENTE!$C$20=$Z$17,$AC18,""))</f>
        <v/>
      </c>
      <c r="AD29" s="4" t="str">
        <f>IF(EXPEDIENTE!$C$20=$Z$5,$AD6,IF(EXPEDIENTE!$C$20=$Z$17,$AD18,""))</f>
        <v/>
      </c>
      <c r="AI29" s="439"/>
      <c r="AJ29" s="64" t="s">
        <v>213</v>
      </c>
    </row>
    <row r="30" spans="3:36" x14ac:dyDescent="0.2">
      <c r="C30" s="3">
        <v>24</v>
      </c>
      <c r="D30" s="5"/>
      <c r="E30" s="11"/>
      <c r="F30" s="8"/>
      <c r="G30" s="9"/>
      <c r="H30" s="9"/>
      <c r="I30" s="9"/>
      <c r="J30" s="5"/>
      <c r="K30" s="6">
        <f t="shared" si="6"/>
        <v>76</v>
      </c>
      <c r="L30" s="6">
        <f t="shared" si="7"/>
        <v>76</v>
      </c>
      <c r="M30" s="6" t="str">
        <f t="shared" si="5"/>
        <v>X</v>
      </c>
      <c r="AA30" s="17"/>
      <c r="AC30" s="4" t="str">
        <f>IF(EXPEDIENTE!$C$20=$Z$5,$AC7,IF(EXPEDIENTE!$C$20=$Z$17,$AC19,""))</f>
        <v/>
      </c>
      <c r="AD30" s="4" t="str">
        <f>IF(EXPEDIENTE!$C$20=$Z$5,$AD7,IF(EXPEDIENTE!$C$20=$Z$17,$AD19,""))</f>
        <v/>
      </c>
      <c r="AI30" s="439"/>
      <c r="AJ30" s="64" t="s">
        <v>214</v>
      </c>
    </row>
    <row r="31" spans="3:36" x14ac:dyDescent="0.2">
      <c r="C31" s="3">
        <v>25</v>
      </c>
      <c r="D31" s="5"/>
      <c r="E31" s="11"/>
      <c r="F31" s="8"/>
      <c r="G31" s="9"/>
      <c r="H31" s="9"/>
      <c r="I31" s="9"/>
      <c r="J31" s="5"/>
      <c r="K31" s="6">
        <f t="shared" si="6"/>
        <v>76</v>
      </c>
      <c r="L31" s="6">
        <f t="shared" si="7"/>
        <v>76</v>
      </c>
      <c r="M31" s="6" t="str">
        <f t="shared" si="5"/>
        <v>X</v>
      </c>
      <c r="AA31" s="17"/>
      <c r="AC31" s="4" t="str">
        <f>IF(EXPEDIENTE!$C$20=$Z$5,$AC8,IF(EXPEDIENTE!$C$20=$Z$17,$AC20,""))</f>
        <v/>
      </c>
      <c r="AD31" s="4" t="str">
        <f>IF(EXPEDIENTE!$C$20=$Z$5,$AD8,IF(EXPEDIENTE!$C$20=$Z$17,$AD20,""))</f>
        <v/>
      </c>
      <c r="AI31" s="439"/>
      <c r="AJ31" s="64" t="s">
        <v>215</v>
      </c>
    </row>
    <row r="32" spans="3:36" ht="15.75" thickBot="1" x14ac:dyDescent="0.25">
      <c r="C32" s="3">
        <v>26</v>
      </c>
      <c r="D32" s="5"/>
      <c r="E32" s="11"/>
      <c r="F32" s="8"/>
      <c r="G32" s="9"/>
      <c r="H32" s="9"/>
      <c r="I32" s="9"/>
      <c r="J32" s="5"/>
      <c r="K32" s="6">
        <f t="shared" si="6"/>
        <v>76</v>
      </c>
      <c r="L32" s="6">
        <f t="shared" si="7"/>
        <v>76</v>
      </c>
      <c r="M32" s="6" t="str">
        <f t="shared" si="5"/>
        <v>X</v>
      </c>
      <c r="AA32" s="17"/>
      <c r="AC32" s="4" t="str">
        <f>IF(EXPEDIENTE!$C$20=$Z$5,$AC9,IF(EXPEDIENTE!$C$20=$Z$17,$AC21,""))</f>
        <v/>
      </c>
      <c r="AD32" s="4" t="str">
        <f>IF(EXPEDIENTE!$C$20=$Z$5,$AD9,IF(EXPEDIENTE!$C$20=$Z$17,$AD21,""))</f>
        <v/>
      </c>
      <c r="AI32" s="440"/>
      <c r="AJ32" s="65" t="s">
        <v>216</v>
      </c>
    </row>
    <row r="33" spans="3:30" x14ac:dyDescent="0.2">
      <c r="C33" s="3">
        <v>27</v>
      </c>
      <c r="D33" s="5"/>
      <c r="E33" s="11"/>
      <c r="F33" s="8"/>
      <c r="G33" s="9"/>
      <c r="H33" s="9"/>
      <c r="I33" s="9"/>
      <c r="J33" s="5"/>
      <c r="K33" s="6">
        <f t="shared" si="6"/>
        <v>76</v>
      </c>
      <c r="L33" s="6">
        <f t="shared" si="7"/>
        <v>76</v>
      </c>
      <c r="M33" s="6" t="str">
        <f t="shared" si="5"/>
        <v>X</v>
      </c>
      <c r="AA33" s="17"/>
      <c r="AC33" s="4" t="str">
        <f>IF(EXPEDIENTE!$C$20=$Z$5,$AC10,IF(EXPEDIENTE!$C$20=$Z$17,$AC22,""))</f>
        <v/>
      </c>
      <c r="AD33" s="4" t="str">
        <f>IF(EXPEDIENTE!$C$20=$Z$5,$AD10,IF(EXPEDIENTE!$C$20=$Z$17,$AD22,""))</f>
        <v/>
      </c>
    </row>
    <row r="34" spans="3:30" x14ac:dyDescent="0.2">
      <c r="C34" s="3">
        <v>28</v>
      </c>
      <c r="D34" s="5"/>
      <c r="E34" s="11"/>
      <c r="F34" s="8"/>
      <c r="G34" s="9"/>
      <c r="H34" s="9"/>
      <c r="I34" s="9"/>
      <c r="J34" s="5"/>
      <c r="K34" s="6">
        <f t="shared" si="6"/>
        <v>76</v>
      </c>
      <c r="L34" s="6">
        <f t="shared" si="7"/>
        <v>76</v>
      </c>
      <c r="M34" s="6" t="str">
        <f t="shared" si="5"/>
        <v>X</v>
      </c>
      <c r="AA34" s="17"/>
      <c r="AC34" s="4" t="str">
        <f>IF(EXPEDIENTE!$C$20=$Z$5,$AC11,IF(EXPEDIENTE!$C$20=$Z$17,$AC23,""))</f>
        <v/>
      </c>
      <c r="AD34" s="4" t="str">
        <f>IF(EXPEDIENTE!$C$20=$Z$5,$AD11,IF(EXPEDIENTE!$C$20=$Z$17,$AD23,""))</f>
        <v/>
      </c>
    </row>
    <row r="35" spans="3:30" x14ac:dyDescent="0.2">
      <c r="C35" s="3">
        <v>29</v>
      </c>
      <c r="D35" s="5"/>
      <c r="E35" s="11"/>
      <c r="F35" s="8"/>
      <c r="G35" s="9"/>
      <c r="H35" s="9"/>
      <c r="I35" s="9"/>
      <c r="J35" s="5"/>
      <c r="K35" s="6">
        <f t="shared" si="6"/>
        <v>76</v>
      </c>
      <c r="L35" s="6">
        <f t="shared" si="7"/>
        <v>76</v>
      </c>
      <c r="M35" s="6" t="str">
        <f t="shared" si="5"/>
        <v>X</v>
      </c>
      <c r="AA35" s="17"/>
      <c r="AC35" s="4" t="str">
        <f>IF(EXPEDIENTE!$C$20=$Z$5,$AC12,IF(EXPEDIENTE!$C$20=$Z$17,$AC24,""))</f>
        <v/>
      </c>
      <c r="AD35" s="4" t="str">
        <f>IF(EXPEDIENTE!$C$20=$Z$5,$AD12,IF(EXPEDIENTE!$C$20=$Z$17,$AD24,""))</f>
        <v/>
      </c>
    </row>
    <row r="36" spans="3:30" x14ac:dyDescent="0.2">
      <c r="C36" s="3">
        <v>30</v>
      </c>
      <c r="D36" s="5"/>
      <c r="E36" s="11"/>
      <c r="F36" s="8"/>
      <c r="G36" s="9"/>
      <c r="H36" s="9"/>
      <c r="I36" s="9"/>
      <c r="J36" s="5"/>
      <c r="K36" s="6">
        <f t="shared" si="6"/>
        <v>76</v>
      </c>
      <c r="L36" s="6">
        <f t="shared" si="7"/>
        <v>76</v>
      </c>
      <c r="M36" s="6" t="str">
        <f t="shared" si="5"/>
        <v>X</v>
      </c>
      <c r="AA36" s="17"/>
      <c r="AC36" s="4" t="str">
        <f>IF(EXPEDIENTE!$C$20=$Z$5,$AC13,IF(EXPEDIENTE!$C$20=$Z$17,$AC25,""))</f>
        <v/>
      </c>
      <c r="AD36" s="4" t="str">
        <f>IF(EXPEDIENTE!$C$20=$Z$5,$AD13,IF(EXPEDIENTE!$C$20=$Z$17,$AD25,""))</f>
        <v/>
      </c>
    </row>
    <row r="37" spans="3:30" x14ac:dyDescent="0.2">
      <c r="C37" s="3">
        <v>31</v>
      </c>
      <c r="D37" s="5"/>
      <c r="E37" s="11"/>
      <c r="F37" s="8"/>
      <c r="G37" s="9"/>
      <c r="H37" s="9"/>
      <c r="I37" s="9"/>
      <c r="J37" s="5"/>
      <c r="K37" s="6">
        <f t="shared" si="6"/>
        <v>76</v>
      </c>
      <c r="L37" s="6">
        <f t="shared" si="7"/>
        <v>76</v>
      </c>
      <c r="M37" s="6" t="str">
        <f t="shared" si="5"/>
        <v>X</v>
      </c>
      <c r="AA37" s="17"/>
      <c r="AC37" s="4" t="str">
        <f>IF(EXPEDIENTE!$C$20=$Z$5,$AC14,IF(EXPEDIENTE!$C$20=$Z$17,$AC26,""))</f>
        <v/>
      </c>
      <c r="AD37" s="4" t="str">
        <f>IF(EXPEDIENTE!$C$20=$Z$5,$AD14,IF(EXPEDIENTE!$C$20=$Z$17,$AD26,""))</f>
        <v/>
      </c>
    </row>
    <row r="38" spans="3:30" x14ac:dyDescent="0.2">
      <c r="C38" s="3">
        <v>32</v>
      </c>
      <c r="D38" s="5"/>
      <c r="E38" s="11"/>
      <c r="F38" s="8"/>
      <c r="G38" s="9"/>
      <c r="H38" s="9"/>
      <c r="I38" s="9"/>
      <c r="J38" s="5"/>
      <c r="K38" s="6">
        <f t="shared" si="6"/>
        <v>76</v>
      </c>
      <c r="L38" s="6">
        <f t="shared" si="7"/>
        <v>76</v>
      </c>
      <c r="M38" s="6" t="str">
        <f t="shared" si="5"/>
        <v>X</v>
      </c>
      <c r="AA38" s="17"/>
      <c r="AC38" s="4" t="str">
        <f>IF(EXPEDIENTE!$C$20=$Z$5,$AC15,IF(EXPEDIENTE!$C$20=$Z$17,$AC27,""))</f>
        <v/>
      </c>
      <c r="AD38" s="4" t="str">
        <f>IF(EXPEDIENTE!$C$20=$Z$5,$AD15,IF(EXPEDIENTE!$C$20=$Z$17,$AD27,""))</f>
        <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TLGYiMsHBc36Q5GU83QnTu3pvbPbcIcetqLxPbn2slb2rcsh8vVV84Op3lI2yvd6be7dtwklR2S8SOt23IHkyQ==" saltValue="psHFeOyAms6tSq9gZqzBjA==" spinCount="100000" sheet="1" selectLockedCells="1"/>
  <mergeCells count="16">
    <mergeCell ref="AI28:AI32"/>
    <mergeCell ref="AI8:AI27"/>
    <mergeCell ref="AF3:AG3"/>
    <mergeCell ref="AI3:AJ3"/>
    <mergeCell ref="R3:S3"/>
    <mergeCell ref="O11:O13"/>
    <mergeCell ref="Z3:AD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B1:T6 B19:Q81 Z19:AJ81 R19:T85 B8:T18 B7:C7 K7:T7 W19:Y85 W1:AJ5 W10:AJ18 W6:Z9 AB6:AJ9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181</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783008BE-4BDE-4E54-B89C-71F8B6CF4F0F}"/>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2025-09-02T12:15:17Z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