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5-1-TRAMITACIÓN/25-EPTE/0-25.EPTE-Modelos/"/>
    </mc:Choice>
  </mc:AlternateContent>
  <xr:revisionPtr revIDLastSave="627" documentId="8_{2ADC93E1-2E28-48AB-8F18-C978715C20E5}" xr6:coauthVersionLast="47" xr6:coauthVersionMax="47" xr10:uidLastSave="{4321288B-0220-4014-84B9-095CE7FECA0C}"/>
  <bookViews>
    <workbookView xWindow="-28920" yWindow="-120" windowWidth="29040" windowHeight="15720" tabRatio="885" xr2:uid="{011CC5B4-78A3-49C7-B223-B56C5D4F27C3}"/>
  </bookViews>
  <sheets>
    <sheet name="INSTRUCCIONES" sheetId="2" r:id="rId1"/>
    <sheet name="EXPEDIENTE" sheetId="1" r:id="rId2"/>
    <sheet name="IDENTIFICACIÓN TRABAJADOR" sheetId="13" r:id="rId3"/>
    <sheet name="% DEDICACIÓN TRABAJADOR" sheetId="4" r:id="rId4"/>
    <sheet name="GASTOS EJER. 1" sheetId="6" r:id="rId5"/>
    <sheet name="GASTOS EJER. 2" sheetId="14" r:id="rId6"/>
    <sheet name="GASTOS EJER. 3" sheetId="15" r:id="rId7"/>
    <sheet name="GASTOS EJER. 4" sheetId="16" r:id="rId8"/>
    <sheet name="RESUMEN TRABAJADOR " sheetId="7" r:id="rId9"/>
    <sheet name="DATOS A INCORPORAR AL MOD-61" sheetId="8" r:id="rId10"/>
    <sheet name="INFORME" sheetId="20" r:id="rId11"/>
    <sheet name="AUXILIAR" sheetId="3" r:id="rId12"/>
    <sheet name="USUARIO" sheetId="18" r:id="rId13"/>
  </sheets>
  <definedNames>
    <definedName name="_xlnm.Print_Area" localSheetId="3">'% DEDICACIÓN TRABAJADOR'!$E$1:$R$53</definedName>
    <definedName name="_xlnm.Print_Area" localSheetId="9">'DATOS A INCORPORAR AL MOD-61'!$A$1:$F$16</definedName>
    <definedName name="_xlnm.Print_Area" localSheetId="1">EXPEDIENTE!$B$1:$I$33</definedName>
    <definedName name="_xlnm.Print_Area" localSheetId="4">'GASTOS EJER. 1'!$B$1:$CY$64</definedName>
    <definedName name="_xlnm.Print_Area" localSheetId="5">'GASTOS EJER. 2'!$A$1:$CY$64</definedName>
    <definedName name="_xlnm.Print_Area" localSheetId="7">'GASTOS EJER. 4'!$A$1:$CY$65</definedName>
    <definedName name="_xlnm.Print_Area" localSheetId="2">'IDENTIFICACIÓN TRABAJADOR'!$A$1:$Y$64</definedName>
    <definedName name="_xlnm.Print_Area" localSheetId="10">INFORME!$A$1:$R$45</definedName>
    <definedName name="_xlnm.Print_Area" localSheetId="0">INSTRUCCIONES!$A$1:$B$99</definedName>
    <definedName name="_xlnm.Print_Area" localSheetId="8">'RESUMEN TRABAJADOR '!$A$1:$Q$97</definedName>
    <definedName name="LÍNEA">AUXILIAR!$M$7:$M$36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67" i="4" l="1"/>
  <c r="AG63" i="4"/>
  <c r="AH61" i="4"/>
  <c r="AF59" i="4"/>
  <c r="AG58" i="4"/>
  <c r="AH57" i="4"/>
  <c r="AD68" i="4"/>
  <c r="AH68" i="4" s="1"/>
  <c r="AD67" i="4"/>
  <c r="AH67" i="4" s="1"/>
  <c r="AD66" i="4"/>
  <c r="AH66" i="4" s="1"/>
  <c r="AD65" i="4"/>
  <c r="AH65" i="4" s="1"/>
  <c r="AD64" i="4"/>
  <c r="AH64" i="4" s="1"/>
  <c r="AD63" i="4"/>
  <c r="AH63" i="4" s="1"/>
  <c r="AD62" i="4"/>
  <c r="AH62" i="4" s="1"/>
  <c r="AD61" i="4"/>
  <c r="AD60" i="4"/>
  <c r="AH60" i="4" s="1"/>
  <c r="AD59" i="4"/>
  <c r="AH59" i="4" s="1"/>
  <c r="AD58" i="4"/>
  <c r="AH58" i="4" s="1"/>
  <c r="AD57" i="4"/>
  <c r="AC68" i="4"/>
  <c r="AG68" i="4" s="1"/>
  <c r="AC67" i="4"/>
  <c r="AG67" i="4" s="1"/>
  <c r="AC66" i="4"/>
  <c r="AG66" i="4" s="1"/>
  <c r="AC65" i="4"/>
  <c r="AG65" i="4" s="1"/>
  <c r="AC64" i="4"/>
  <c r="AG64" i="4" s="1"/>
  <c r="AC63" i="4"/>
  <c r="AC62" i="4"/>
  <c r="AG62" i="4" s="1"/>
  <c r="AC61" i="4"/>
  <c r="AG61" i="4" s="1"/>
  <c r="AC60" i="4"/>
  <c r="AG60" i="4" s="1"/>
  <c r="AC59" i="4"/>
  <c r="AG59" i="4" s="1"/>
  <c r="AC58" i="4"/>
  <c r="AC57" i="4"/>
  <c r="AG57" i="4" s="1"/>
  <c r="AB68" i="4"/>
  <c r="AF68" i="4" s="1"/>
  <c r="AB67" i="4"/>
  <c r="AB66" i="4"/>
  <c r="AF66" i="4" s="1"/>
  <c r="AB65" i="4"/>
  <c r="AF65" i="4" s="1"/>
  <c r="AB64" i="4"/>
  <c r="AF64" i="4" s="1"/>
  <c r="AB63" i="4"/>
  <c r="AF63" i="4" s="1"/>
  <c r="AB62" i="4"/>
  <c r="AF62" i="4" s="1"/>
  <c r="AB61" i="4"/>
  <c r="AF61" i="4" s="1"/>
  <c r="AB60" i="4"/>
  <c r="AF60" i="4" s="1"/>
  <c r="AB59" i="4"/>
  <c r="AB58" i="4"/>
  <c r="AF58" i="4" s="1"/>
  <c r="AB57" i="4"/>
  <c r="AF57" i="4" s="1"/>
  <c r="AA68" i="4"/>
  <c r="AE68" i="4" s="1"/>
  <c r="AA67" i="4"/>
  <c r="AE67" i="4" s="1"/>
  <c r="AA66" i="4"/>
  <c r="AE66" i="4" s="1"/>
  <c r="AA65" i="4"/>
  <c r="AE65" i="4" s="1"/>
  <c r="AA64" i="4"/>
  <c r="AE64" i="4" s="1"/>
  <c r="AA63" i="4"/>
  <c r="AE63" i="4" s="1"/>
  <c r="AA62" i="4"/>
  <c r="AE62" i="4" s="1"/>
  <c r="AA61" i="4"/>
  <c r="AE61" i="4" s="1"/>
  <c r="AA60" i="4"/>
  <c r="AE60" i="4" s="1"/>
  <c r="AA59" i="4"/>
  <c r="AE59" i="4" s="1"/>
  <c r="AA58" i="4"/>
  <c r="AE58" i="4" s="1"/>
  <c r="AA57" i="4"/>
  <c r="AE57" i="4" s="1"/>
  <c r="AD56" i="4"/>
  <c r="AC56" i="4"/>
  <c r="AB56" i="4"/>
  <c r="AA56" i="4"/>
  <c r="AE6" i="3"/>
  <c r="AA54" i="3"/>
  <c r="AE54" i="3"/>
  <c r="AD54" i="3"/>
  <c r="AD6" i="3"/>
  <c r="AC54" i="3"/>
  <c r="AC6" i="3"/>
  <c r="AB54" i="3"/>
  <c r="AB6" i="3"/>
  <c r="AA6" i="3"/>
  <c r="Z6" i="3"/>
  <c r="Z7" i="3" s="1"/>
  <c r="AA7" i="3" s="1"/>
  <c r="AR10" i="16"/>
  <c r="AT10" i="16"/>
  <c r="AR10" i="15"/>
  <c r="AT10" i="15" s="1"/>
  <c r="AR10" i="14"/>
  <c r="AT10" i="14" s="1"/>
  <c r="AR10" i="6"/>
  <c r="AT10" i="6" s="1"/>
  <c r="AE7" i="3" l="1"/>
  <c r="AD7" i="3"/>
  <c r="AC7" i="3"/>
  <c r="AB7" i="3"/>
  <c r="A2" i="4"/>
  <c r="V40" i="7"/>
  <c r="B27" i="1" l="1"/>
  <c r="S6" i="3"/>
  <c r="B25" i="1"/>
  <c r="S12" i="3"/>
  <c r="S17" i="3" s="1"/>
  <c r="C13" i="1"/>
  <c r="S15" i="3" l="1"/>
  <c r="S18" i="3"/>
  <c r="S13" i="3"/>
  <c r="S14" i="3"/>
  <c r="AT24" i="3"/>
  <c r="AJ79" i="3"/>
  <c r="AJ78" i="3"/>
  <c r="AJ77" i="3"/>
  <c r="AJ76" i="3"/>
  <c r="AJ75" i="3"/>
  <c r="AJ74" i="3"/>
  <c r="AJ73" i="3"/>
  <c r="AJ72" i="3"/>
  <c r="AJ63" i="3"/>
  <c r="AJ62" i="3"/>
  <c r="AJ61" i="3"/>
  <c r="AJ60" i="3"/>
  <c r="AJ59" i="3"/>
  <c r="AJ58" i="3"/>
  <c r="AJ57" i="3"/>
  <c r="AJ56" i="3"/>
  <c r="AJ47" i="3"/>
  <c r="AJ46" i="3"/>
  <c r="AJ45" i="3"/>
  <c r="AJ44" i="3"/>
  <c r="AJ43" i="3"/>
  <c r="AJ42" i="3"/>
  <c r="AJ41" i="3"/>
  <c r="AJ40" i="3"/>
  <c r="AJ31" i="3"/>
  <c r="AJ30" i="3"/>
  <c r="AJ29" i="3"/>
  <c r="AJ28" i="3"/>
  <c r="AJ27" i="3"/>
  <c r="AJ26" i="3"/>
  <c r="AJ25" i="3"/>
  <c r="AJ24" i="3"/>
  <c r="E41" i="4"/>
  <c r="E45" i="4"/>
  <c r="E43" i="4"/>
  <c r="W58" i="4"/>
  <c r="W59" i="4"/>
  <c r="W60" i="4"/>
  <c r="W61" i="4"/>
  <c r="W62" i="4"/>
  <c r="W63" i="4"/>
  <c r="W64" i="4"/>
  <c r="W65" i="4"/>
  <c r="W66" i="4"/>
  <c r="W67" i="4"/>
  <c r="W68" i="4"/>
  <c r="W69" i="4"/>
  <c r="W70" i="4"/>
  <c r="W71" i="4"/>
  <c r="W72" i="4"/>
  <c r="W73" i="4"/>
  <c r="W74" i="4"/>
  <c r="W75" i="4"/>
  <c r="W76" i="4"/>
  <c r="W77" i="4"/>
  <c r="W78" i="4"/>
  <c r="W79" i="4"/>
  <c r="W80" i="4"/>
  <c r="X71" i="4" l="1"/>
  <c r="X72" i="4"/>
  <c r="X70" i="4"/>
  <c r="X69" i="4"/>
  <c r="X79" i="4"/>
  <c r="X59" i="4"/>
  <c r="X62" i="4"/>
  <c r="X60" i="4"/>
  <c r="X67" i="4"/>
  <c r="X58" i="4"/>
  <c r="X73" i="4"/>
  <c r="X61" i="4"/>
  <c r="X80" i="4"/>
  <c r="X68" i="4"/>
  <c r="X78" i="4"/>
  <c r="X66" i="4"/>
  <c r="X77" i="4"/>
  <c r="X65" i="4"/>
  <c r="X76" i="4"/>
  <c r="X64" i="4"/>
  <c r="X75" i="4"/>
  <c r="X63" i="4"/>
  <c r="X74" i="4"/>
  <c r="W57" i="4"/>
  <c r="X57" i="4" s="1"/>
  <c r="P46" i="4" s="1"/>
  <c r="P42" i="4" l="1"/>
  <c r="P40" i="4"/>
  <c r="P44" i="4"/>
  <c r="Q46" i="4"/>
  <c r="Q42" i="4"/>
  <c r="R40" i="4"/>
  <c r="R42" i="4"/>
  <c r="R44" i="4"/>
  <c r="R46" i="4"/>
  <c r="Q40" i="4"/>
  <c r="Q44" i="4"/>
  <c r="M46" i="4"/>
  <c r="H46" i="4" l="1"/>
  <c r="O44" i="4"/>
  <c r="N46" i="4"/>
  <c r="N44" i="4"/>
  <c r="O42" i="4"/>
  <c r="K42" i="4"/>
  <c r="N40" i="4"/>
  <c r="K44" i="4"/>
  <c r="O40" i="4"/>
  <c r="K46" i="4"/>
  <c r="I42" i="4"/>
  <c r="J46" i="4"/>
  <c r="N42" i="4"/>
  <c r="I44" i="4"/>
  <c r="J44" i="4"/>
  <c r="J40" i="4"/>
  <c r="L46" i="4"/>
  <c r="L44" i="4"/>
  <c r="I46" i="4"/>
  <c r="M44" i="4"/>
  <c r="H42" i="4"/>
  <c r="O46" i="4"/>
  <c r="I40" i="4"/>
  <c r="L40" i="4"/>
  <c r="G42" i="4"/>
  <c r="J42" i="4"/>
  <c r="L42" i="4"/>
  <c r="M42" i="4"/>
  <c r="M40" i="4"/>
  <c r="H44" i="4"/>
  <c r="H40" i="4"/>
  <c r="G46" i="4"/>
  <c r="K40" i="4"/>
  <c r="AA53" i="13"/>
  <c r="AB53" i="13"/>
  <c r="AC53" i="13"/>
  <c r="AA54" i="13"/>
  <c r="AB54" i="13"/>
  <c r="AC54" i="13"/>
  <c r="AA55" i="13"/>
  <c r="AB55" i="13"/>
  <c r="AC55" i="13"/>
  <c r="AA56" i="13"/>
  <c r="AB56" i="13"/>
  <c r="AC56" i="13"/>
  <c r="AA57" i="13"/>
  <c r="AB57" i="13"/>
  <c r="AC57" i="13"/>
  <c r="AA58" i="13"/>
  <c r="AB58" i="13"/>
  <c r="AC58" i="13"/>
  <c r="AA59" i="13"/>
  <c r="AB59" i="13"/>
  <c r="AC59" i="13"/>
  <c r="AA60" i="13"/>
  <c r="AB60" i="13"/>
  <c r="AC60" i="13"/>
  <c r="AA61" i="13"/>
  <c r="AB61" i="13"/>
  <c r="AC61" i="13"/>
  <c r="AA62" i="13"/>
  <c r="AB62" i="13"/>
  <c r="AC62" i="13"/>
  <c r="AA63" i="13"/>
  <c r="AB63" i="13"/>
  <c r="AC63" i="13"/>
  <c r="AC52" i="13"/>
  <c r="AB52" i="13"/>
  <c r="AA52" i="13"/>
  <c r="Z53" i="13"/>
  <c r="Z54" i="13"/>
  <c r="Z55" i="13"/>
  <c r="Z56" i="13"/>
  <c r="Z57" i="13"/>
  <c r="Z58" i="13"/>
  <c r="Z59" i="13"/>
  <c r="Z60" i="13"/>
  <c r="Z61" i="13"/>
  <c r="Z62" i="13"/>
  <c r="Z63" i="13"/>
  <c r="Z52" i="13"/>
  <c r="I27" i="1"/>
  <c r="A2" i="1"/>
  <c r="B40" i="13"/>
  <c r="B36" i="13"/>
  <c r="B32" i="13"/>
  <c r="B28" i="13"/>
  <c r="BD63" i="14"/>
  <c r="BD62" i="14"/>
  <c r="BD61" i="14"/>
  <c r="BD60" i="14"/>
  <c r="BD59" i="14"/>
  <c r="BD58" i="14"/>
  <c r="BD57" i="14"/>
  <c r="BD56" i="14"/>
  <c r="BD55" i="14"/>
  <c r="BD54" i="14"/>
  <c r="AX63" i="14"/>
  <c r="AX62" i="14"/>
  <c r="AX61" i="14"/>
  <c r="AX60" i="14"/>
  <c r="AX59" i="14"/>
  <c r="AX58" i="14"/>
  <c r="AX57" i="14"/>
  <c r="AX56" i="14"/>
  <c r="AX55" i="14"/>
  <c r="AX54" i="14"/>
  <c r="AU63" i="14"/>
  <c r="AU62" i="14"/>
  <c r="AU61" i="14"/>
  <c r="AU60" i="14"/>
  <c r="AU59" i="14"/>
  <c r="AU58" i="14"/>
  <c r="AU57" i="14"/>
  <c r="AU56" i="14"/>
  <c r="AU55" i="14"/>
  <c r="AU54" i="14"/>
  <c r="AO63" i="14"/>
  <c r="AO62" i="14"/>
  <c r="AO61" i="14"/>
  <c r="AO60" i="14"/>
  <c r="AO59" i="14"/>
  <c r="AO58" i="14"/>
  <c r="AO57" i="14"/>
  <c r="AO56" i="14"/>
  <c r="AO55" i="14"/>
  <c r="AO54" i="14"/>
  <c r="AO53" i="14"/>
  <c r="AU53" i="14"/>
  <c r="AX53" i="14"/>
  <c r="BD53" i="14"/>
  <c r="BD52" i="14"/>
  <c r="AX52" i="14"/>
  <c r="AU52" i="14"/>
  <c r="AO52" i="14"/>
  <c r="H20" i="13"/>
  <c r="IC9" i="3"/>
  <c r="IC8" i="3"/>
  <c r="IC7" i="3"/>
  <c r="AX63" i="16"/>
  <c r="AX62" i="16"/>
  <c r="AX61" i="16"/>
  <c r="AX60" i="16"/>
  <c r="AX59" i="16"/>
  <c r="AX58" i="16"/>
  <c r="AX57" i="16"/>
  <c r="AX56" i="16"/>
  <c r="AX55" i="16"/>
  <c r="AX54" i="16"/>
  <c r="AX53" i="16"/>
  <c r="AX52" i="16"/>
  <c r="AU63" i="16"/>
  <c r="AU62" i="16"/>
  <c r="AU61" i="16"/>
  <c r="AU60" i="16"/>
  <c r="AU59" i="16"/>
  <c r="AU58" i="16"/>
  <c r="AU57" i="16"/>
  <c r="AU56" i="16"/>
  <c r="AU55" i="16"/>
  <c r="AU54" i="16"/>
  <c r="AU53" i="16"/>
  <c r="AU52" i="16"/>
  <c r="AO63" i="16"/>
  <c r="AO62" i="16"/>
  <c r="AO61" i="16"/>
  <c r="AO60" i="16"/>
  <c r="AO59" i="16"/>
  <c r="AO58" i="16"/>
  <c r="AO57" i="16"/>
  <c r="AO56" i="16"/>
  <c r="AO55" i="16"/>
  <c r="AO54" i="16"/>
  <c r="AO53" i="16"/>
  <c r="AO52" i="16"/>
  <c r="AX63" i="15"/>
  <c r="AX62" i="15"/>
  <c r="AX61" i="15"/>
  <c r="AX60" i="15"/>
  <c r="AX59" i="15"/>
  <c r="AX58" i="15"/>
  <c r="AX57" i="15"/>
  <c r="AX56" i="15"/>
  <c r="AX55" i="15"/>
  <c r="AX54" i="15"/>
  <c r="AX53" i="15"/>
  <c r="AU63" i="15"/>
  <c r="AU62" i="15"/>
  <c r="AU61" i="15"/>
  <c r="AU60" i="15"/>
  <c r="AU59" i="15"/>
  <c r="AU58" i="15"/>
  <c r="AU57" i="15"/>
  <c r="AU56" i="15"/>
  <c r="AU55" i="15"/>
  <c r="AU54" i="15"/>
  <c r="AU53" i="15"/>
  <c r="AO63" i="15"/>
  <c r="AO62" i="15"/>
  <c r="AO61" i="15"/>
  <c r="AO60" i="15"/>
  <c r="AO59" i="15"/>
  <c r="AO58" i="15"/>
  <c r="AO57" i="15"/>
  <c r="AO56" i="15"/>
  <c r="AO55" i="15"/>
  <c r="AO54" i="15"/>
  <c r="AO53" i="15"/>
  <c r="AX52" i="15"/>
  <c r="AU52" i="15"/>
  <c r="AO52" i="15"/>
  <c r="AX63" i="6"/>
  <c r="AX62" i="6"/>
  <c r="AX61" i="6"/>
  <c r="AX60" i="6"/>
  <c r="AX59" i="6"/>
  <c r="AX58" i="6"/>
  <c r="AX57" i="6"/>
  <c r="AX56" i="6"/>
  <c r="AX55" i="6"/>
  <c r="AX54" i="6"/>
  <c r="AX53" i="6"/>
  <c r="AU63" i="6"/>
  <c r="AU62" i="6"/>
  <c r="AU61" i="6"/>
  <c r="AU60" i="6"/>
  <c r="AU59" i="6"/>
  <c r="AU58" i="6"/>
  <c r="AU57" i="6"/>
  <c r="AU56" i="6"/>
  <c r="AU55" i="6"/>
  <c r="AU54" i="6"/>
  <c r="AU53" i="6"/>
  <c r="AO63" i="6"/>
  <c r="AO62" i="6"/>
  <c r="AO61" i="6"/>
  <c r="AO60" i="6"/>
  <c r="AO59" i="6"/>
  <c r="AO58" i="6"/>
  <c r="AO57" i="6"/>
  <c r="AO56" i="6"/>
  <c r="AO55" i="6"/>
  <c r="AO54" i="6"/>
  <c r="AO53" i="6"/>
  <c r="AX52" i="6"/>
  <c r="AU52" i="6"/>
  <c r="AO52" i="6"/>
  <c r="D9" i="20"/>
  <c r="AA48" i="13" l="1"/>
  <c r="H48" i="13" s="1"/>
  <c r="F42" i="4"/>
  <c r="F46" i="4"/>
  <c r="AB48" i="13"/>
  <c r="N48" i="13" s="1"/>
  <c r="AC48" i="13"/>
  <c r="T48" i="13" s="1"/>
  <c r="Z48" i="13"/>
  <c r="B48" i="13" s="1"/>
  <c r="A1" i="13"/>
  <c r="D2" i="13" s="1"/>
  <c r="G40" i="4" l="1"/>
  <c r="F40" i="4" s="1"/>
  <c r="G44" i="4"/>
  <c r="F44" i="4" s="1"/>
  <c r="HU82" i="3"/>
  <c r="FX78" i="3"/>
  <c r="HU81" i="3"/>
  <c r="FX77" i="3"/>
  <c r="HU80" i="3"/>
  <c r="FX76" i="3"/>
  <c r="HU79" i="3"/>
  <c r="FX75" i="3"/>
  <c r="HU78" i="3"/>
  <c r="FX74" i="3"/>
  <c r="HU77" i="3"/>
  <c r="FX73" i="3"/>
  <c r="HU76" i="3"/>
  <c r="FX72" i="3"/>
  <c r="HU75" i="3"/>
  <c r="FX71" i="3"/>
  <c r="HU74" i="3"/>
  <c r="HU73" i="3"/>
  <c r="HU72" i="3"/>
  <c r="HU71" i="3"/>
  <c r="HU66" i="3"/>
  <c r="HU65" i="3"/>
  <c r="HU64" i="3"/>
  <c r="FX62" i="3"/>
  <c r="HU63" i="3"/>
  <c r="FX61" i="3"/>
  <c r="HU62" i="3"/>
  <c r="FX60" i="3"/>
  <c r="HU61" i="3"/>
  <c r="FX59" i="3"/>
  <c r="HU60" i="3"/>
  <c r="FX58" i="3"/>
  <c r="HU59" i="3"/>
  <c r="FX57" i="3"/>
  <c r="HU58" i="3"/>
  <c r="FX56" i="3"/>
  <c r="HU57" i="3"/>
  <c r="FX55" i="3"/>
  <c r="HU56" i="3"/>
  <c r="HU55" i="3"/>
  <c r="HU50" i="3"/>
  <c r="HU49" i="3"/>
  <c r="HU48" i="3"/>
  <c r="HU47" i="3"/>
  <c r="HU46" i="3"/>
  <c r="FX46" i="3"/>
  <c r="HU45" i="3"/>
  <c r="FX45" i="3"/>
  <c r="HU44" i="3"/>
  <c r="FX44" i="3"/>
  <c r="HU43" i="3"/>
  <c r="FX43" i="3"/>
  <c r="HU42" i="3"/>
  <c r="FX42" i="3"/>
  <c r="HU41" i="3"/>
  <c r="FX41" i="3"/>
  <c r="HU40" i="3"/>
  <c r="FX40" i="3"/>
  <c r="HU39" i="3"/>
  <c r="FX39" i="3"/>
  <c r="HU34" i="3"/>
  <c r="HU33" i="3"/>
  <c r="HU32" i="3"/>
  <c r="HU31" i="3"/>
  <c r="HU30" i="3"/>
  <c r="FX30" i="3"/>
  <c r="HU29" i="3"/>
  <c r="FX29" i="3"/>
  <c r="HU28" i="3"/>
  <c r="FX28" i="3"/>
  <c r="HU27" i="3"/>
  <c r="FX27" i="3"/>
  <c r="HU26" i="3"/>
  <c r="FX26" i="3"/>
  <c r="HU25" i="3"/>
  <c r="FX25" i="3"/>
  <c r="HU24" i="3"/>
  <c r="FX24" i="3"/>
  <c r="HU23" i="3"/>
  <c r="FX23" i="3"/>
  <c r="GI20" i="3"/>
  <c r="GI19" i="3" s="1"/>
  <c r="GH20" i="3"/>
  <c r="FQ82" i="3"/>
  <c r="FQ81" i="3"/>
  <c r="FQ80" i="3"/>
  <c r="FQ79" i="3"/>
  <c r="FQ78" i="3"/>
  <c r="FQ77" i="3"/>
  <c r="FQ76" i="3"/>
  <c r="FQ75" i="3"/>
  <c r="FQ74" i="3"/>
  <c r="FQ73" i="3"/>
  <c r="FQ72" i="3"/>
  <c r="FQ71" i="3"/>
  <c r="FQ66" i="3"/>
  <c r="FQ65" i="3"/>
  <c r="FQ64" i="3"/>
  <c r="FQ63" i="3"/>
  <c r="FQ62" i="3"/>
  <c r="FQ61" i="3"/>
  <c r="FQ60" i="3"/>
  <c r="FQ59" i="3"/>
  <c r="FQ58" i="3"/>
  <c r="FQ57" i="3"/>
  <c r="FQ56" i="3"/>
  <c r="FQ55" i="3"/>
  <c r="FP82" i="3"/>
  <c r="FP81" i="3"/>
  <c r="FP80" i="3"/>
  <c r="FP79" i="3"/>
  <c r="FP78" i="3"/>
  <c r="FP77" i="3"/>
  <c r="FP76" i="3"/>
  <c r="FP75" i="3"/>
  <c r="FP74" i="3"/>
  <c r="FP73" i="3"/>
  <c r="FP72" i="3"/>
  <c r="FP71" i="3"/>
  <c r="FP66" i="3"/>
  <c r="FP65" i="3"/>
  <c r="FP64" i="3"/>
  <c r="FP63" i="3"/>
  <c r="FP62" i="3"/>
  <c r="FP61" i="3"/>
  <c r="FP60" i="3"/>
  <c r="FP59" i="3"/>
  <c r="FP58" i="3"/>
  <c r="FP57" i="3"/>
  <c r="FP56" i="3"/>
  <c r="FP55" i="3"/>
  <c r="FQ50" i="3"/>
  <c r="FQ49" i="3"/>
  <c r="FQ48" i="3"/>
  <c r="FQ47" i="3"/>
  <c r="FQ46" i="3"/>
  <c r="FQ45" i="3"/>
  <c r="FQ44" i="3"/>
  <c r="FQ43" i="3"/>
  <c r="FQ42" i="3"/>
  <c r="FQ41" i="3"/>
  <c r="FQ40" i="3"/>
  <c r="FQ39" i="3"/>
  <c r="FP50" i="3"/>
  <c r="FP49" i="3"/>
  <c r="FP48" i="3"/>
  <c r="FP47" i="3"/>
  <c r="FP46" i="3"/>
  <c r="FP45" i="3"/>
  <c r="FP44" i="3"/>
  <c r="FP43" i="3"/>
  <c r="FP42" i="3"/>
  <c r="FP41" i="3"/>
  <c r="FP40" i="3"/>
  <c r="FP39" i="3"/>
  <c r="DT78" i="3"/>
  <c r="DT77" i="3"/>
  <c r="DT76" i="3"/>
  <c r="DT75" i="3"/>
  <c r="DT74" i="3"/>
  <c r="DT73" i="3"/>
  <c r="DT72" i="3"/>
  <c r="DT71" i="3"/>
  <c r="DT62" i="3"/>
  <c r="DT61" i="3"/>
  <c r="DT60" i="3"/>
  <c r="DT59" i="3"/>
  <c r="DT58" i="3"/>
  <c r="DT57" i="3"/>
  <c r="DT56" i="3"/>
  <c r="DT55" i="3"/>
  <c r="DX46" i="3"/>
  <c r="DY62" i="3" s="1"/>
  <c r="DX45" i="3"/>
  <c r="DY61" i="3" s="1"/>
  <c r="DX44" i="3"/>
  <c r="DY60" i="3" s="1"/>
  <c r="DX43" i="3"/>
  <c r="DY59" i="3" s="1"/>
  <c r="DX42" i="3"/>
  <c r="DY58" i="3" s="1"/>
  <c r="DX41" i="3"/>
  <c r="DY57" i="3" s="1"/>
  <c r="DX40" i="3"/>
  <c r="DY56" i="3" s="1"/>
  <c r="DX39" i="3"/>
  <c r="DY55" i="3" s="1"/>
  <c r="DZ71" i="3" s="1"/>
  <c r="DT40" i="3"/>
  <c r="DT41" i="3"/>
  <c r="DT42" i="3"/>
  <c r="DT43" i="3"/>
  <c r="DT44" i="3"/>
  <c r="DT45" i="3"/>
  <c r="DT46" i="3"/>
  <c r="DT39" i="3"/>
  <c r="FP24" i="3"/>
  <c r="FP25" i="3"/>
  <c r="FP26" i="3"/>
  <c r="FP27" i="3"/>
  <c r="FP28" i="3"/>
  <c r="FP29" i="3"/>
  <c r="FP30" i="3"/>
  <c r="FP31" i="3"/>
  <c r="FP32" i="3"/>
  <c r="FP33" i="3"/>
  <c r="FP34" i="3"/>
  <c r="FP23" i="3"/>
  <c r="ED20" i="3"/>
  <c r="FQ24" i="3"/>
  <c r="FQ25" i="3"/>
  <c r="FQ26" i="3"/>
  <c r="FQ27" i="3"/>
  <c r="FQ28" i="3"/>
  <c r="FQ29" i="3"/>
  <c r="FQ30" i="3"/>
  <c r="FQ31" i="3"/>
  <c r="FQ32" i="3"/>
  <c r="FQ33" i="3"/>
  <c r="FQ34" i="3"/>
  <c r="FQ23" i="3"/>
  <c r="EE20" i="3"/>
  <c r="EE19" i="3" s="1"/>
  <c r="EE18" i="3" s="1"/>
  <c r="EE17" i="3" s="1"/>
  <c r="EE16" i="3" s="1"/>
  <c r="EE15" i="3" s="1"/>
  <c r="EE14" i="3" s="1"/>
  <c r="EE13" i="3" s="1"/>
  <c r="EE12" i="3" s="1"/>
  <c r="EE11" i="3" s="1"/>
  <c r="EE10" i="3" s="1"/>
  <c r="EE9" i="3" s="1"/>
  <c r="EE8" i="3" s="1"/>
  <c r="DX24" i="3"/>
  <c r="DY24" i="3" s="1"/>
  <c r="DZ24" i="3" s="1"/>
  <c r="DX25" i="3"/>
  <c r="DY25" i="3" s="1"/>
  <c r="DZ25" i="3" s="1"/>
  <c r="DX26" i="3"/>
  <c r="DY26" i="3" s="1"/>
  <c r="DZ26" i="3" s="1"/>
  <c r="DX27" i="3"/>
  <c r="DY27" i="3" s="1"/>
  <c r="DZ27" i="3" s="1"/>
  <c r="DX28" i="3"/>
  <c r="DY28" i="3" s="1"/>
  <c r="DZ28" i="3" s="1"/>
  <c r="DX29" i="3"/>
  <c r="DY29" i="3" s="1"/>
  <c r="DZ29" i="3" s="1"/>
  <c r="DX30" i="3"/>
  <c r="DY30" i="3" s="1"/>
  <c r="DZ30" i="3" s="1"/>
  <c r="DT24" i="3"/>
  <c r="DT25" i="3"/>
  <c r="DT26" i="3"/>
  <c r="DT27" i="3"/>
  <c r="DT28" i="3"/>
  <c r="DT29" i="3"/>
  <c r="DT30" i="3"/>
  <c r="DT23" i="3"/>
  <c r="DD70" i="3"/>
  <c r="DC70" i="3"/>
  <c r="DB70" i="3"/>
  <c r="DA70" i="3"/>
  <c r="CZ70" i="3"/>
  <c r="CY70" i="3"/>
  <c r="CX70" i="3"/>
  <c r="CW70" i="3"/>
  <c r="DN54" i="3"/>
  <c r="DM54" i="3"/>
  <c r="DL54" i="3"/>
  <c r="DK54" i="3"/>
  <c r="DJ54" i="3"/>
  <c r="DI54" i="3"/>
  <c r="DH54" i="3"/>
  <c r="DG54" i="3"/>
  <c r="DD54" i="3"/>
  <c r="DC54" i="3"/>
  <c r="DB54" i="3"/>
  <c r="DA54" i="3"/>
  <c r="CZ54" i="3"/>
  <c r="CY54" i="3"/>
  <c r="CX54" i="3"/>
  <c r="CW54" i="3"/>
  <c r="DN38" i="3"/>
  <c r="DM38" i="3"/>
  <c r="DL38" i="3"/>
  <c r="DK38" i="3"/>
  <c r="DJ38" i="3"/>
  <c r="DI38" i="3"/>
  <c r="DH38" i="3"/>
  <c r="DG38" i="3"/>
  <c r="DD38" i="3"/>
  <c r="DC38" i="3"/>
  <c r="DB38" i="3"/>
  <c r="DA38" i="3"/>
  <c r="CZ38" i="3"/>
  <c r="CY38" i="3"/>
  <c r="CX38" i="3"/>
  <c r="CW38" i="3"/>
  <c r="DN22" i="3"/>
  <c r="DM22" i="3"/>
  <c r="DL22" i="3"/>
  <c r="DK22" i="3"/>
  <c r="DJ22" i="3"/>
  <c r="DI22" i="3"/>
  <c r="DH22" i="3"/>
  <c r="DG22" i="3"/>
  <c r="DD22" i="3"/>
  <c r="DC22" i="3"/>
  <c r="DB22" i="3"/>
  <c r="DA22" i="3"/>
  <c r="CZ22" i="3"/>
  <c r="CY22" i="3"/>
  <c r="CX22" i="3"/>
  <c r="CW22" i="3"/>
  <c r="DN6" i="3"/>
  <c r="DM6" i="3"/>
  <c r="DL6" i="3"/>
  <c r="DK6" i="3"/>
  <c r="DJ6" i="3"/>
  <c r="DI6" i="3"/>
  <c r="DH6" i="3"/>
  <c r="DG6" i="3"/>
  <c r="BU54" i="3"/>
  <c r="BT54" i="3"/>
  <c r="BS54" i="3"/>
  <c r="BR54" i="3"/>
  <c r="BQ54" i="3"/>
  <c r="BP54" i="3"/>
  <c r="BO54" i="3"/>
  <c r="BN54" i="3"/>
  <c r="BU38" i="3"/>
  <c r="BT38" i="3"/>
  <c r="BS38" i="3"/>
  <c r="BR38" i="3"/>
  <c r="BQ38" i="3"/>
  <c r="BP38" i="3"/>
  <c r="BO38" i="3"/>
  <c r="BN38" i="3"/>
  <c r="BU22" i="3"/>
  <c r="BT22" i="3"/>
  <c r="BS22" i="3"/>
  <c r="BR22" i="3"/>
  <c r="BQ22" i="3"/>
  <c r="BP22" i="3"/>
  <c r="BO22" i="3"/>
  <c r="BN22" i="3"/>
  <c r="BK70" i="3"/>
  <c r="BJ70" i="3"/>
  <c r="BI70" i="3"/>
  <c r="BH70" i="3"/>
  <c r="BG70" i="3"/>
  <c r="BF70" i="3"/>
  <c r="BE70" i="3"/>
  <c r="BD70" i="3"/>
  <c r="BK54" i="3"/>
  <c r="BJ54" i="3"/>
  <c r="BI54" i="3"/>
  <c r="BH54" i="3"/>
  <c r="BG54" i="3"/>
  <c r="BF54" i="3"/>
  <c r="BE54" i="3"/>
  <c r="BD54" i="3"/>
  <c r="BK38" i="3"/>
  <c r="BJ38" i="3"/>
  <c r="BI38" i="3"/>
  <c r="BH38" i="3"/>
  <c r="BG38" i="3"/>
  <c r="BF38" i="3"/>
  <c r="BE38" i="3"/>
  <c r="BD38" i="3"/>
  <c r="BD22" i="3"/>
  <c r="BK22" i="3"/>
  <c r="BJ22" i="3"/>
  <c r="BI22" i="3"/>
  <c r="BH22" i="3"/>
  <c r="BG22" i="3"/>
  <c r="BF22" i="3"/>
  <c r="BE22" i="3"/>
  <c r="BU6" i="3"/>
  <c r="BT6" i="3"/>
  <c r="BS6" i="3"/>
  <c r="BR6" i="3"/>
  <c r="BQ6" i="3"/>
  <c r="BP6" i="3"/>
  <c r="BO6" i="3"/>
  <c r="BN6" i="3"/>
  <c r="AP79" i="3"/>
  <c r="AP78" i="3"/>
  <c r="AP77" i="3"/>
  <c r="AP76" i="3"/>
  <c r="AP75" i="3"/>
  <c r="AP74" i="3"/>
  <c r="AP73" i="3"/>
  <c r="AP72" i="3"/>
  <c r="AN79" i="3"/>
  <c r="AN78" i="3"/>
  <c r="AN77" i="3"/>
  <c r="AN76" i="3"/>
  <c r="AN75" i="3"/>
  <c r="AN74" i="3"/>
  <c r="AN73" i="3"/>
  <c r="AN72" i="3"/>
  <c r="AP63" i="3"/>
  <c r="AP62" i="3"/>
  <c r="AP61" i="3"/>
  <c r="AP60" i="3"/>
  <c r="AP59" i="3"/>
  <c r="AP58" i="3"/>
  <c r="AP57" i="3"/>
  <c r="AP56" i="3"/>
  <c r="AN63" i="3"/>
  <c r="AN62" i="3"/>
  <c r="AN61" i="3"/>
  <c r="AN60" i="3"/>
  <c r="AN59" i="3"/>
  <c r="AN58" i="3"/>
  <c r="AN57" i="3"/>
  <c r="AN56" i="3"/>
  <c r="AP47" i="3"/>
  <c r="AP46" i="3"/>
  <c r="AP45" i="3"/>
  <c r="AP44" i="3"/>
  <c r="AP43" i="3"/>
  <c r="AP42" i="3"/>
  <c r="AP41" i="3"/>
  <c r="AP40" i="3"/>
  <c r="AN47" i="3"/>
  <c r="AN46" i="3"/>
  <c r="AN45" i="3"/>
  <c r="AN44" i="3"/>
  <c r="AN43" i="3"/>
  <c r="AN42" i="3"/>
  <c r="AN41" i="3"/>
  <c r="AN40" i="3"/>
  <c r="AP31" i="3"/>
  <c r="AP30" i="3"/>
  <c r="AP29" i="3"/>
  <c r="AP28" i="3"/>
  <c r="AP27" i="3"/>
  <c r="AP26" i="3"/>
  <c r="AP25" i="3"/>
  <c r="AP24" i="3"/>
  <c r="AN31" i="3"/>
  <c r="AN30" i="3"/>
  <c r="AN29" i="3"/>
  <c r="AN28" i="3"/>
  <c r="AN27" i="3"/>
  <c r="AN26" i="3"/>
  <c r="AN25" i="3"/>
  <c r="AN24" i="3"/>
  <c r="AG20" i="3"/>
  <c r="BX23" i="3" s="1"/>
  <c r="AI24" i="3"/>
  <c r="AI25" i="3"/>
  <c r="AI26" i="3"/>
  <c r="AI27" i="3"/>
  <c r="AI28" i="3"/>
  <c r="AI29" i="3"/>
  <c r="AI30" i="3"/>
  <c r="AI31" i="3"/>
  <c r="AI40" i="3"/>
  <c r="AI41" i="3"/>
  <c r="AI42" i="3"/>
  <c r="AI43" i="3"/>
  <c r="AI44" i="3"/>
  <c r="AI45" i="3"/>
  <c r="AI46" i="3"/>
  <c r="AI47" i="3"/>
  <c r="AI56" i="3"/>
  <c r="AI57" i="3"/>
  <c r="AI58" i="3"/>
  <c r="AI59" i="3"/>
  <c r="AI60" i="3"/>
  <c r="AI61" i="3"/>
  <c r="AI62" i="3"/>
  <c r="AI63" i="3"/>
  <c r="AI72" i="3"/>
  <c r="AI73" i="3"/>
  <c r="AI74" i="3"/>
  <c r="AI75" i="3"/>
  <c r="AI76" i="3"/>
  <c r="AI77" i="3"/>
  <c r="AI78" i="3"/>
  <c r="AI79" i="3"/>
  <c r="GH21" i="3" l="1"/>
  <c r="GH19" i="3"/>
  <c r="GI18" i="3"/>
  <c r="GI21" i="3"/>
  <c r="DY40" i="3"/>
  <c r="DZ40" i="3" s="1"/>
  <c r="ED21" i="3"/>
  <c r="DY41" i="3"/>
  <c r="DZ41" i="3" s="1"/>
  <c r="DY42" i="3"/>
  <c r="DZ42" i="3" s="1"/>
  <c r="DY43" i="3"/>
  <c r="DZ43" i="3" s="1"/>
  <c r="DY44" i="3"/>
  <c r="DZ44" i="3" s="1"/>
  <c r="DZ72" i="3"/>
  <c r="DZ56" i="3"/>
  <c r="DY45" i="3"/>
  <c r="DZ45" i="3" s="1"/>
  <c r="DZ73" i="3"/>
  <c r="DZ57" i="3"/>
  <c r="DY46" i="3"/>
  <c r="DZ46" i="3" s="1"/>
  <c r="DY39" i="3"/>
  <c r="DZ39" i="3" s="1"/>
  <c r="DZ74" i="3"/>
  <c r="DZ58" i="3"/>
  <c r="DZ75" i="3"/>
  <c r="DZ59" i="3"/>
  <c r="DZ76" i="3"/>
  <c r="DZ60" i="3"/>
  <c r="DZ77" i="3"/>
  <c r="DZ61" i="3"/>
  <c r="DZ55" i="3"/>
  <c r="DZ78" i="3"/>
  <c r="DZ62" i="3"/>
  <c r="ED19" i="3"/>
  <c r="FO22" i="3"/>
  <c r="DT19" i="3"/>
  <c r="EE7" i="3"/>
  <c r="EE21" i="3"/>
  <c r="BC21" i="3"/>
  <c r="AX23" i="3"/>
  <c r="AS88" i="7"/>
  <c r="AS64" i="7"/>
  <c r="AS40" i="7"/>
  <c r="AS16" i="7"/>
  <c r="V88" i="7"/>
  <c r="V64" i="7"/>
  <c r="V16" i="7"/>
  <c r="E11" i="7"/>
  <c r="X9" i="7"/>
  <c r="AJ24" i="7" s="1"/>
  <c r="B9" i="7"/>
  <c r="AN48" i="16"/>
  <c r="AN16" i="16"/>
  <c r="AN8" i="16"/>
  <c r="DW63" i="16"/>
  <c r="DX63" i="16" s="1"/>
  <c r="DH63" i="16"/>
  <c r="DG63" i="16"/>
  <c r="DF63" i="16"/>
  <c r="DE63" i="16"/>
  <c r="BD63" i="16"/>
  <c r="BF63" i="16" s="1"/>
  <c r="AZ63" i="16"/>
  <c r="AW63" i="16"/>
  <c r="AQ63" i="16"/>
  <c r="DW62" i="16"/>
  <c r="DX62" i="16" s="1"/>
  <c r="DH62" i="16"/>
  <c r="DG62" i="16"/>
  <c r="DF62" i="16"/>
  <c r="DE62" i="16"/>
  <c r="BD62" i="16"/>
  <c r="BF62" i="16" s="1"/>
  <c r="AZ62" i="16"/>
  <c r="AW62" i="16"/>
  <c r="AQ62" i="16"/>
  <c r="DW61" i="16"/>
  <c r="DX61" i="16" s="1"/>
  <c r="DH61" i="16"/>
  <c r="DG61" i="16"/>
  <c r="DF61" i="16"/>
  <c r="DE61" i="16"/>
  <c r="BD61" i="16"/>
  <c r="BF61" i="16" s="1"/>
  <c r="AZ61" i="16"/>
  <c r="AW61" i="16"/>
  <c r="AQ61" i="16"/>
  <c r="DW60" i="16"/>
  <c r="DX60" i="16" s="1"/>
  <c r="DH60" i="16"/>
  <c r="DG60" i="16"/>
  <c r="DF60" i="16"/>
  <c r="DE60" i="16"/>
  <c r="BD60" i="16"/>
  <c r="BF60" i="16" s="1"/>
  <c r="AZ60" i="16"/>
  <c r="AW60" i="16"/>
  <c r="AQ60" i="16"/>
  <c r="DW59" i="16"/>
  <c r="DX59" i="16" s="1"/>
  <c r="DH59" i="16"/>
  <c r="DG59" i="16"/>
  <c r="DF59" i="16"/>
  <c r="DE59" i="16"/>
  <c r="BD59" i="16"/>
  <c r="BF59" i="16" s="1"/>
  <c r="AZ59" i="16"/>
  <c r="AW59" i="16"/>
  <c r="AQ59" i="16"/>
  <c r="DW58" i="16"/>
  <c r="DX58" i="16" s="1"/>
  <c r="DH58" i="16"/>
  <c r="DG58" i="16"/>
  <c r="DF58" i="16"/>
  <c r="DE58" i="16"/>
  <c r="BD58" i="16"/>
  <c r="BF58" i="16" s="1"/>
  <c r="AZ58" i="16"/>
  <c r="AW58" i="16"/>
  <c r="AQ58" i="16"/>
  <c r="DH57" i="16"/>
  <c r="DG57" i="16"/>
  <c r="DF57" i="16"/>
  <c r="DE57" i="16"/>
  <c r="BD57" i="16"/>
  <c r="BF57" i="16" s="1"/>
  <c r="AZ57" i="16"/>
  <c r="AW57" i="16"/>
  <c r="AQ57" i="16"/>
  <c r="DW56" i="16"/>
  <c r="DX56" i="16" s="1"/>
  <c r="DH56" i="16"/>
  <c r="DG56" i="16"/>
  <c r="DF56" i="16"/>
  <c r="DE56" i="16"/>
  <c r="BD56" i="16"/>
  <c r="BF56" i="16" s="1"/>
  <c r="AZ56" i="16"/>
  <c r="AW56" i="16"/>
  <c r="AQ56" i="16"/>
  <c r="DW55" i="16"/>
  <c r="DX55" i="16" s="1"/>
  <c r="DH55" i="16"/>
  <c r="DG55" i="16"/>
  <c r="DF55" i="16"/>
  <c r="DE55" i="16"/>
  <c r="BD55" i="16"/>
  <c r="BF55" i="16" s="1"/>
  <c r="AZ55" i="16"/>
  <c r="AW55" i="16"/>
  <c r="AQ55" i="16"/>
  <c r="DW54" i="16"/>
  <c r="DX54" i="16" s="1"/>
  <c r="DH54" i="16"/>
  <c r="DG54" i="16"/>
  <c r="DF54" i="16"/>
  <c r="DE54" i="16"/>
  <c r="BD54" i="16"/>
  <c r="BF54" i="16" s="1"/>
  <c r="AZ54" i="16"/>
  <c r="AW54" i="16"/>
  <c r="AQ54" i="16"/>
  <c r="DW53" i="16"/>
  <c r="DX53" i="16" s="1"/>
  <c r="DH53" i="16"/>
  <c r="DG53" i="16"/>
  <c r="DF53" i="16"/>
  <c r="DE53" i="16"/>
  <c r="BD53" i="16"/>
  <c r="BF53" i="16" s="1"/>
  <c r="AZ53" i="16"/>
  <c r="AW53" i="16"/>
  <c r="AQ53" i="16"/>
  <c r="DH52" i="16"/>
  <c r="DG52" i="16"/>
  <c r="DF52" i="16"/>
  <c r="DE52" i="16"/>
  <c r="BD52" i="16"/>
  <c r="BF52" i="16" s="1"/>
  <c r="AZ52" i="16"/>
  <c r="AW52" i="16"/>
  <c r="AQ52" i="16"/>
  <c r="DW45" i="16"/>
  <c r="DX45" i="16" s="1"/>
  <c r="DU45" i="16"/>
  <c r="DT45" i="16"/>
  <c r="DS45" i="16"/>
  <c r="DR45" i="16"/>
  <c r="DQ45" i="16"/>
  <c r="DP45" i="16"/>
  <c r="DO45" i="16"/>
  <c r="DN45" i="16"/>
  <c r="DM45" i="16"/>
  <c r="DL45" i="16"/>
  <c r="DK45" i="16"/>
  <c r="DJ45" i="16"/>
  <c r="DI45" i="16"/>
  <c r="DH45" i="16"/>
  <c r="DG45" i="16"/>
  <c r="DF45" i="16"/>
  <c r="DE45" i="16"/>
  <c r="CU45" i="16"/>
  <c r="CW45" i="16" s="1"/>
  <c r="CI79" i="3" s="1"/>
  <c r="CR45" i="16"/>
  <c r="CT45" i="16" s="1"/>
  <c r="CG79" i="3" s="1"/>
  <c r="CN45" i="16"/>
  <c r="CP45" i="16" s="1"/>
  <c r="CK45" i="16"/>
  <c r="CM45" i="16" s="1"/>
  <c r="CF45" i="16"/>
  <c r="CH45" i="16" s="1"/>
  <c r="CB45" i="16"/>
  <c r="CD45" i="16" s="1"/>
  <c r="BY45" i="16"/>
  <c r="CA45" i="16" s="1"/>
  <c r="BV45" i="16"/>
  <c r="BX45" i="16" s="1"/>
  <c r="BS45" i="16"/>
  <c r="BU45" i="16" s="1"/>
  <c r="BP45" i="16"/>
  <c r="BR45" i="16" s="1"/>
  <c r="BJ45" i="16"/>
  <c r="BL45" i="16" s="1"/>
  <c r="BG45" i="16"/>
  <c r="BI45" i="16" s="1"/>
  <c r="BD45" i="16"/>
  <c r="BF45" i="16" s="1"/>
  <c r="BA45" i="16"/>
  <c r="BC45" i="16" s="1"/>
  <c r="AX45" i="16"/>
  <c r="AZ45" i="16" s="1"/>
  <c r="AU45" i="16"/>
  <c r="AW45" i="16" s="1"/>
  <c r="AR45" i="16"/>
  <c r="AO45" i="16"/>
  <c r="AQ45" i="16" s="1"/>
  <c r="CM79" i="3" s="1"/>
  <c r="AN45" i="16"/>
  <c r="DW44" i="16"/>
  <c r="DX44" i="16" s="1"/>
  <c r="DU44" i="16"/>
  <c r="DT44" i="16"/>
  <c r="DS44" i="16"/>
  <c r="DR44" i="16"/>
  <c r="DQ44" i="16"/>
  <c r="DP44" i="16"/>
  <c r="DO44" i="16"/>
  <c r="DN44" i="16"/>
  <c r="DM44" i="16"/>
  <c r="DL44" i="16"/>
  <c r="DK44" i="16"/>
  <c r="DJ44" i="16"/>
  <c r="DI44" i="16"/>
  <c r="DH44" i="16"/>
  <c r="DG44" i="16"/>
  <c r="DF44" i="16"/>
  <c r="DE44" i="16"/>
  <c r="CU44" i="16"/>
  <c r="CW44" i="16" s="1"/>
  <c r="CI78" i="3" s="1"/>
  <c r="CR44" i="16"/>
  <c r="CT44" i="16" s="1"/>
  <c r="CG78" i="3" s="1"/>
  <c r="CN44" i="16"/>
  <c r="CP44" i="16" s="1"/>
  <c r="CK44" i="16"/>
  <c r="CM44" i="16" s="1"/>
  <c r="CF44" i="16"/>
  <c r="CH44" i="16" s="1"/>
  <c r="CB44" i="16"/>
  <c r="CD44" i="16" s="1"/>
  <c r="BY44" i="16"/>
  <c r="CA44" i="16" s="1"/>
  <c r="BV44" i="16"/>
  <c r="BX44" i="16" s="1"/>
  <c r="BS44" i="16"/>
  <c r="BU44" i="16" s="1"/>
  <c r="BP44" i="16"/>
  <c r="BR44" i="16" s="1"/>
  <c r="BJ44" i="16"/>
  <c r="BL44" i="16" s="1"/>
  <c r="BG44" i="16"/>
  <c r="BI44" i="16" s="1"/>
  <c r="BD44" i="16"/>
  <c r="BF44" i="16" s="1"/>
  <c r="BA44" i="16"/>
  <c r="BC44" i="16" s="1"/>
  <c r="AX44" i="16"/>
  <c r="AZ44" i="16" s="1"/>
  <c r="AU44" i="16"/>
  <c r="AW44" i="16" s="1"/>
  <c r="AR44" i="16"/>
  <c r="AO44" i="16"/>
  <c r="AQ44" i="16" s="1"/>
  <c r="CM78" i="3" s="1"/>
  <c r="AN44" i="16"/>
  <c r="DW43" i="16"/>
  <c r="DX43" i="16" s="1"/>
  <c r="DU43" i="16"/>
  <c r="DT43" i="16"/>
  <c r="DS43" i="16"/>
  <c r="DR43" i="16"/>
  <c r="DQ43" i="16"/>
  <c r="DP43" i="16"/>
  <c r="DO43" i="16"/>
  <c r="DN43" i="16"/>
  <c r="DM43" i="16"/>
  <c r="DL43" i="16"/>
  <c r="DK43" i="16"/>
  <c r="DJ43" i="16"/>
  <c r="DI43" i="16"/>
  <c r="DH43" i="16"/>
  <c r="DG43" i="16"/>
  <c r="DF43" i="16"/>
  <c r="DE43" i="16"/>
  <c r="CU43" i="16"/>
  <c r="CW43" i="16" s="1"/>
  <c r="CI77" i="3" s="1"/>
  <c r="CR43" i="16"/>
  <c r="CT43" i="16" s="1"/>
  <c r="CG77" i="3" s="1"/>
  <c r="CN43" i="16"/>
  <c r="CP43" i="16" s="1"/>
  <c r="CK43" i="16"/>
  <c r="CM43" i="16" s="1"/>
  <c r="CF43" i="16"/>
  <c r="CH43" i="16" s="1"/>
  <c r="CB43" i="16"/>
  <c r="CD43" i="16" s="1"/>
  <c r="BY43" i="16"/>
  <c r="CA43" i="16" s="1"/>
  <c r="BV43" i="16"/>
  <c r="BX43" i="16" s="1"/>
  <c r="BS43" i="16"/>
  <c r="BU43" i="16" s="1"/>
  <c r="BP43" i="16"/>
  <c r="BR43" i="16" s="1"/>
  <c r="BJ43" i="16"/>
  <c r="BL43" i="16" s="1"/>
  <c r="BG43" i="16"/>
  <c r="BI43" i="16" s="1"/>
  <c r="BD43" i="16"/>
  <c r="BF43" i="16" s="1"/>
  <c r="BA43" i="16"/>
  <c r="BC43" i="16" s="1"/>
  <c r="AX43" i="16"/>
  <c r="AZ43" i="16" s="1"/>
  <c r="AU43" i="16"/>
  <c r="AW43" i="16" s="1"/>
  <c r="AR43" i="16"/>
  <c r="AO43" i="16"/>
  <c r="AQ43" i="16" s="1"/>
  <c r="CM77" i="3" s="1"/>
  <c r="AN43" i="16"/>
  <c r="DW42" i="16"/>
  <c r="DX42" i="16" s="1"/>
  <c r="DU42" i="16"/>
  <c r="DT42" i="16"/>
  <c r="DS42" i="16"/>
  <c r="DR42" i="16"/>
  <c r="DQ42" i="16"/>
  <c r="DP42" i="16"/>
  <c r="DO42" i="16"/>
  <c r="DN42" i="16"/>
  <c r="DM42" i="16"/>
  <c r="DL42" i="16"/>
  <c r="DK42" i="16"/>
  <c r="DJ42" i="16"/>
  <c r="DI42" i="16"/>
  <c r="DH42" i="16"/>
  <c r="DG42" i="16"/>
  <c r="DF42" i="16"/>
  <c r="DE42" i="16"/>
  <c r="CU42" i="16"/>
  <c r="CW42" i="16" s="1"/>
  <c r="CI76" i="3" s="1"/>
  <c r="CR42" i="16"/>
  <c r="CT42" i="16" s="1"/>
  <c r="CG76" i="3" s="1"/>
  <c r="CN42" i="16"/>
  <c r="CP42" i="16" s="1"/>
  <c r="CK42" i="16"/>
  <c r="CM42" i="16" s="1"/>
  <c r="CF42" i="16"/>
  <c r="CH42" i="16" s="1"/>
  <c r="CB42" i="16"/>
  <c r="CD42" i="16" s="1"/>
  <c r="BY42" i="16"/>
  <c r="CA42" i="16" s="1"/>
  <c r="BV42" i="16"/>
  <c r="BX42" i="16" s="1"/>
  <c r="BS42" i="16"/>
  <c r="BU42" i="16" s="1"/>
  <c r="BP42" i="16"/>
  <c r="BR42" i="16" s="1"/>
  <c r="BJ42" i="16"/>
  <c r="BL42" i="16" s="1"/>
  <c r="BG42" i="16"/>
  <c r="BI42" i="16" s="1"/>
  <c r="BD42" i="16"/>
  <c r="BF42" i="16" s="1"/>
  <c r="BA42" i="16"/>
  <c r="BC42" i="16" s="1"/>
  <c r="AX42" i="16"/>
  <c r="AZ42" i="16" s="1"/>
  <c r="AU42" i="16"/>
  <c r="AW42" i="16" s="1"/>
  <c r="AR42" i="16"/>
  <c r="AO42" i="16"/>
  <c r="AQ42" i="16" s="1"/>
  <c r="CM76" i="3" s="1"/>
  <c r="AN42" i="16"/>
  <c r="DU41" i="16"/>
  <c r="DT41" i="16"/>
  <c r="DS41" i="16"/>
  <c r="DR41" i="16"/>
  <c r="DQ41" i="16"/>
  <c r="DP41" i="16"/>
  <c r="DO41" i="16"/>
  <c r="DN41" i="16"/>
  <c r="DM41" i="16"/>
  <c r="DL41" i="16"/>
  <c r="DK41" i="16"/>
  <c r="DJ41" i="16"/>
  <c r="DI41" i="16"/>
  <c r="DH41" i="16"/>
  <c r="DG41" i="16"/>
  <c r="DF41" i="16"/>
  <c r="DE41" i="16"/>
  <c r="CU41" i="16"/>
  <c r="CW41" i="16" s="1"/>
  <c r="CI75" i="3" s="1"/>
  <c r="CR41" i="16"/>
  <c r="CT41" i="16" s="1"/>
  <c r="CG75" i="3" s="1"/>
  <c r="CN41" i="16"/>
  <c r="CP41" i="16" s="1"/>
  <c r="CK41" i="16"/>
  <c r="CM41" i="16" s="1"/>
  <c r="CF41" i="16"/>
  <c r="CH41" i="16" s="1"/>
  <c r="CB41" i="16"/>
  <c r="CD41" i="16" s="1"/>
  <c r="BY41" i="16"/>
  <c r="CA41" i="16" s="1"/>
  <c r="BV41" i="16"/>
  <c r="BX41" i="16" s="1"/>
  <c r="BS41" i="16"/>
  <c r="BU41" i="16" s="1"/>
  <c r="BP41" i="16"/>
  <c r="BR41" i="16" s="1"/>
  <c r="BJ41" i="16"/>
  <c r="BL41" i="16" s="1"/>
  <c r="BG41" i="16"/>
  <c r="BI41" i="16" s="1"/>
  <c r="BD41" i="16"/>
  <c r="BF41" i="16" s="1"/>
  <c r="BA41" i="16"/>
  <c r="BC41" i="16" s="1"/>
  <c r="AX41" i="16"/>
  <c r="AZ41" i="16" s="1"/>
  <c r="AU41" i="16"/>
  <c r="AW41" i="16" s="1"/>
  <c r="AR41" i="16"/>
  <c r="AO41" i="16"/>
  <c r="AQ41" i="16" s="1"/>
  <c r="CM75" i="3" s="1"/>
  <c r="AN41" i="16"/>
  <c r="DW40" i="16"/>
  <c r="DX40" i="16" s="1"/>
  <c r="DU40" i="16"/>
  <c r="DT40" i="16"/>
  <c r="DS40" i="16"/>
  <c r="DR40" i="16"/>
  <c r="DQ40" i="16"/>
  <c r="DP40" i="16"/>
  <c r="DO40" i="16"/>
  <c r="DN40" i="16"/>
  <c r="DM40" i="16"/>
  <c r="DL40" i="16"/>
  <c r="DK40" i="16"/>
  <c r="DJ40" i="16"/>
  <c r="DI40" i="16"/>
  <c r="DH40" i="16"/>
  <c r="DG40" i="16"/>
  <c r="DF40" i="16"/>
  <c r="DE40" i="16"/>
  <c r="CU40" i="16"/>
  <c r="CW40" i="16" s="1"/>
  <c r="CI74" i="3" s="1"/>
  <c r="CR40" i="16"/>
  <c r="CT40" i="16" s="1"/>
  <c r="CG74" i="3" s="1"/>
  <c r="CN40" i="16"/>
  <c r="CP40" i="16" s="1"/>
  <c r="CK40" i="16"/>
  <c r="CM40" i="16" s="1"/>
  <c r="CF40" i="16"/>
  <c r="CH40" i="16" s="1"/>
  <c r="CB40" i="16"/>
  <c r="CD40" i="16" s="1"/>
  <c r="BY40" i="16"/>
  <c r="CA40" i="16" s="1"/>
  <c r="BV40" i="16"/>
  <c r="BX40" i="16" s="1"/>
  <c r="BS40" i="16"/>
  <c r="BU40" i="16" s="1"/>
  <c r="BP40" i="16"/>
  <c r="BR40" i="16" s="1"/>
  <c r="BJ40" i="16"/>
  <c r="BL40" i="16" s="1"/>
  <c r="BG40" i="16"/>
  <c r="BI40" i="16" s="1"/>
  <c r="BD40" i="16"/>
  <c r="BF40" i="16" s="1"/>
  <c r="BA40" i="16"/>
  <c r="BC40" i="16" s="1"/>
  <c r="AX40" i="16"/>
  <c r="AZ40" i="16" s="1"/>
  <c r="AU40" i="16"/>
  <c r="AW40" i="16" s="1"/>
  <c r="AR40" i="16"/>
  <c r="AO40" i="16"/>
  <c r="AQ40" i="16" s="1"/>
  <c r="CM74" i="3" s="1"/>
  <c r="AN40" i="16"/>
  <c r="DW39" i="16"/>
  <c r="DX39" i="16" s="1"/>
  <c r="DU39" i="16"/>
  <c r="DT39" i="16"/>
  <c r="DS39" i="16"/>
  <c r="DR39" i="16"/>
  <c r="DQ39" i="16"/>
  <c r="DP39" i="16"/>
  <c r="DO39" i="16"/>
  <c r="DN39" i="16"/>
  <c r="DM39" i="16"/>
  <c r="DL39" i="16"/>
  <c r="DK39" i="16"/>
  <c r="DJ39" i="16"/>
  <c r="DI39" i="16"/>
  <c r="DH39" i="16"/>
  <c r="DG39" i="16"/>
  <c r="DF39" i="16"/>
  <c r="DE39" i="16"/>
  <c r="CU39" i="16"/>
  <c r="CW39" i="16" s="1"/>
  <c r="CI73" i="3" s="1"/>
  <c r="CR39" i="16"/>
  <c r="CT39" i="16" s="1"/>
  <c r="CG73" i="3" s="1"/>
  <c r="CN39" i="16"/>
  <c r="CP39" i="16" s="1"/>
  <c r="CK39" i="16"/>
  <c r="CM39" i="16" s="1"/>
  <c r="CF39" i="16"/>
  <c r="CH39" i="16" s="1"/>
  <c r="CB39" i="16"/>
  <c r="CD39" i="16" s="1"/>
  <c r="BY39" i="16"/>
  <c r="CA39" i="16" s="1"/>
  <c r="BV39" i="16"/>
  <c r="BX39" i="16" s="1"/>
  <c r="BS39" i="16"/>
  <c r="BU39" i="16" s="1"/>
  <c r="BP39" i="16"/>
  <c r="BR39" i="16" s="1"/>
  <c r="BJ39" i="16"/>
  <c r="BL39" i="16" s="1"/>
  <c r="BG39" i="16"/>
  <c r="BI39" i="16" s="1"/>
  <c r="BD39" i="16"/>
  <c r="BF39" i="16" s="1"/>
  <c r="BA39" i="16"/>
  <c r="BC39" i="16" s="1"/>
  <c r="AX39" i="16"/>
  <c r="AZ39" i="16" s="1"/>
  <c r="AU39" i="16"/>
  <c r="AW39" i="16" s="1"/>
  <c r="AR39" i="16"/>
  <c r="AO39" i="16"/>
  <c r="AQ39" i="16" s="1"/>
  <c r="CM73" i="3" s="1"/>
  <c r="AN39" i="16"/>
  <c r="DU38" i="16"/>
  <c r="DT38" i="16"/>
  <c r="DS38" i="16"/>
  <c r="DR38" i="16"/>
  <c r="DQ38" i="16"/>
  <c r="DP38" i="16"/>
  <c r="DO38" i="16"/>
  <c r="DN38" i="16"/>
  <c r="DM38" i="16"/>
  <c r="DL38" i="16"/>
  <c r="DK38" i="16"/>
  <c r="DJ38" i="16"/>
  <c r="DI38" i="16"/>
  <c r="DH38" i="16"/>
  <c r="DG38" i="16"/>
  <c r="DF38" i="16"/>
  <c r="DE38" i="16"/>
  <c r="CU38" i="16"/>
  <c r="CW38" i="16" s="1"/>
  <c r="CI72" i="3" s="1"/>
  <c r="CR38" i="16"/>
  <c r="CT38" i="16" s="1"/>
  <c r="CG72" i="3" s="1"/>
  <c r="CN38" i="16"/>
  <c r="CP38" i="16" s="1"/>
  <c r="CK38" i="16"/>
  <c r="CM38" i="16" s="1"/>
  <c r="CF38" i="16"/>
  <c r="CH38" i="16" s="1"/>
  <c r="CB38" i="16"/>
  <c r="CD38" i="16" s="1"/>
  <c r="BY38" i="16"/>
  <c r="CA38" i="16" s="1"/>
  <c r="BV38" i="16"/>
  <c r="BX38" i="16" s="1"/>
  <c r="BS38" i="16"/>
  <c r="BU38" i="16" s="1"/>
  <c r="BP38" i="16"/>
  <c r="BR38" i="16" s="1"/>
  <c r="BJ38" i="16"/>
  <c r="BL38" i="16" s="1"/>
  <c r="BG38" i="16"/>
  <c r="BI38" i="16" s="1"/>
  <c r="BD38" i="16"/>
  <c r="BF38" i="16" s="1"/>
  <c r="BA38" i="16"/>
  <c r="BC38" i="16" s="1"/>
  <c r="AX38" i="16"/>
  <c r="AZ38" i="16" s="1"/>
  <c r="AU38" i="16"/>
  <c r="AW38" i="16" s="1"/>
  <c r="AR38" i="16"/>
  <c r="AT38" i="16" s="1"/>
  <c r="CN72" i="3" s="1"/>
  <c r="FZ71" i="3" s="1"/>
  <c r="AO38" i="16"/>
  <c r="AQ38" i="16" s="1"/>
  <c r="CM72" i="3" s="1"/>
  <c r="AN38" i="16"/>
  <c r="DW31" i="16"/>
  <c r="DX31" i="16" s="1"/>
  <c r="DU31" i="16"/>
  <c r="DT31" i="16"/>
  <c r="DS31" i="16"/>
  <c r="DR31" i="16"/>
  <c r="DQ31" i="16"/>
  <c r="DP31" i="16"/>
  <c r="DO31" i="16"/>
  <c r="DN31" i="16"/>
  <c r="DM31" i="16"/>
  <c r="DL31" i="16"/>
  <c r="DK31" i="16"/>
  <c r="DJ31" i="16"/>
  <c r="DI31" i="16"/>
  <c r="DH31" i="16"/>
  <c r="DG31" i="16"/>
  <c r="DF31" i="16"/>
  <c r="DE31" i="16"/>
  <c r="CU31" i="16"/>
  <c r="CW31" i="16" s="1"/>
  <c r="AD94" i="7" s="1"/>
  <c r="CR31" i="16"/>
  <c r="CT31" i="16" s="1"/>
  <c r="AA94" i="7" s="1"/>
  <c r="CN31" i="16"/>
  <c r="CP31" i="16" s="1"/>
  <c r="AC94" i="7" s="1"/>
  <c r="CK31" i="16"/>
  <c r="CM31" i="16" s="1"/>
  <c r="HW82" i="3" s="1"/>
  <c r="CF31" i="16"/>
  <c r="CH31" i="16" s="1"/>
  <c r="CB31" i="16"/>
  <c r="CD31" i="16" s="1"/>
  <c r="BY31" i="16"/>
  <c r="CA31" i="16" s="1"/>
  <c r="BV31" i="16"/>
  <c r="BX31" i="16" s="1"/>
  <c r="BS31" i="16"/>
  <c r="BU31" i="16" s="1"/>
  <c r="BP31" i="16"/>
  <c r="BR31" i="16" s="1"/>
  <c r="BJ31" i="16"/>
  <c r="BL31" i="16" s="1"/>
  <c r="BG31" i="16"/>
  <c r="BI31" i="16" s="1"/>
  <c r="BD31" i="16"/>
  <c r="BF31" i="16" s="1"/>
  <c r="BA31" i="16"/>
  <c r="BC31" i="16" s="1"/>
  <c r="AX31" i="16"/>
  <c r="AZ31" i="16" s="1"/>
  <c r="AU31" i="16"/>
  <c r="AW31" i="16" s="1"/>
  <c r="AR31" i="16"/>
  <c r="AT31" i="16" s="1"/>
  <c r="DW30" i="16"/>
  <c r="DX30" i="16" s="1"/>
  <c r="DU30" i="16"/>
  <c r="DT30" i="16"/>
  <c r="DS30" i="16"/>
  <c r="DR30" i="16"/>
  <c r="DQ30" i="16"/>
  <c r="DP30" i="16"/>
  <c r="DO30" i="16"/>
  <c r="DN30" i="16"/>
  <c r="DM30" i="16"/>
  <c r="DL30" i="16"/>
  <c r="DK30" i="16"/>
  <c r="DJ30" i="16"/>
  <c r="DI30" i="16"/>
  <c r="DH30" i="16"/>
  <c r="DG30" i="16"/>
  <c r="DF30" i="16"/>
  <c r="DE30" i="16"/>
  <c r="CU30" i="16"/>
  <c r="CW30" i="16" s="1"/>
  <c r="AD93" i="7" s="1"/>
  <c r="CR30" i="16"/>
  <c r="CT30" i="16" s="1"/>
  <c r="AA93" i="7" s="1"/>
  <c r="CN30" i="16"/>
  <c r="CP30" i="16" s="1"/>
  <c r="AC93" i="7" s="1"/>
  <c r="CK30" i="16"/>
  <c r="CM30" i="16" s="1"/>
  <c r="HW81" i="3" s="1"/>
  <c r="CF30" i="16"/>
  <c r="CH30" i="16" s="1"/>
  <c r="CB30" i="16"/>
  <c r="CD30" i="16" s="1"/>
  <c r="BY30" i="16"/>
  <c r="CA30" i="16" s="1"/>
  <c r="BV30" i="16"/>
  <c r="BX30" i="16" s="1"/>
  <c r="BS30" i="16"/>
  <c r="BU30" i="16" s="1"/>
  <c r="BP30" i="16"/>
  <c r="BR30" i="16" s="1"/>
  <c r="BJ30" i="16"/>
  <c r="BL30" i="16" s="1"/>
  <c r="BG30" i="16"/>
  <c r="BI30" i="16" s="1"/>
  <c r="BD30" i="16"/>
  <c r="BF30" i="16" s="1"/>
  <c r="BA30" i="16"/>
  <c r="BC30" i="16" s="1"/>
  <c r="AX30" i="16"/>
  <c r="AZ30" i="16" s="1"/>
  <c r="AU30" i="16"/>
  <c r="AW30" i="16" s="1"/>
  <c r="AR30" i="16"/>
  <c r="AT30" i="16" s="1"/>
  <c r="DW29" i="16"/>
  <c r="DX29" i="16" s="1"/>
  <c r="DU29" i="16"/>
  <c r="DT29" i="16"/>
  <c r="DS29" i="16"/>
  <c r="DR29" i="16"/>
  <c r="DQ29" i="16"/>
  <c r="DP29" i="16"/>
  <c r="DO29" i="16"/>
  <c r="DN29" i="16"/>
  <c r="DM29" i="16"/>
  <c r="DL29" i="16"/>
  <c r="DK29" i="16"/>
  <c r="DJ29" i="16"/>
  <c r="DI29" i="16"/>
  <c r="DH29" i="16"/>
  <c r="DG29" i="16"/>
  <c r="DF29" i="16"/>
  <c r="DE29" i="16"/>
  <c r="CU29" i="16"/>
  <c r="CW29" i="16" s="1"/>
  <c r="AD92" i="7" s="1"/>
  <c r="CR29" i="16"/>
  <c r="CT29" i="16" s="1"/>
  <c r="AA92" i="7" s="1"/>
  <c r="CN29" i="16"/>
  <c r="CP29" i="16" s="1"/>
  <c r="AC92" i="7" s="1"/>
  <c r="CK29" i="16"/>
  <c r="CM29" i="16" s="1"/>
  <c r="HW80" i="3" s="1"/>
  <c r="CF29" i="16"/>
  <c r="CH29" i="16" s="1"/>
  <c r="CB29" i="16"/>
  <c r="CD29" i="16" s="1"/>
  <c r="BY29" i="16"/>
  <c r="CA29" i="16" s="1"/>
  <c r="BV29" i="16"/>
  <c r="BX29" i="16" s="1"/>
  <c r="BS29" i="16"/>
  <c r="BU29" i="16" s="1"/>
  <c r="BP29" i="16"/>
  <c r="BR29" i="16" s="1"/>
  <c r="BJ29" i="16"/>
  <c r="BL29" i="16" s="1"/>
  <c r="BG29" i="16"/>
  <c r="BI29" i="16" s="1"/>
  <c r="BD29" i="16"/>
  <c r="BF29" i="16" s="1"/>
  <c r="BA29" i="16"/>
  <c r="BC29" i="16" s="1"/>
  <c r="AX29" i="16"/>
  <c r="AZ29" i="16" s="1"/>
  <c r="AU29" i="16"/>
  <c r="AW29" i="16" s="1"/>
  <c r="AR29" i="16"/>
  <c r="AT29" i="16" s="1"/>
  <c r="DU28" i="16"/>
  <c r="DT28" i="16"/>
  <c r="DS28" i="16"/>
  <c r="DR28" i="16"/>
  <c r="DQ28" i="16"/>
  <c r="DP28" i="16"/>
  <c r="DO28" i="16"/>
  <c r="DN28" i="16"/>
  <c r="DM28" i="16"/>
  <c r="DL28" i="16"/>
  <c r="DK28" i="16"/>
  <c r="DJ28" i="16"/>
  <c r="DI28" i="16"/>
  <c r="DH28" i="16"/>
  <c r="DG28" i="16"/>
  <c r="DF28" i="16"/>
  <c r="DE28" i="16"/>
  <c r="CU28" i="16"/>
  <c r="CW28" i="16" s="1"/>
  <c r="AD91" i="7" s="1"/>
  <c r="CR28" i="16"/>
  <c r="CT28" i="16" s="1"/>
  <c r="AA91" i="7" s="1"/>
  <c r="CN28" i="16"/>
  <c r="CP28" i="16" s="1"/>
  <c r="AC91" i="7" s="1"/>
  <c r="CK28" i="16"/>
  <c r="CM28" i="16" s="1"/>
  <c r="HW79" i="3" s="1"/>
  <c r="CF28" i="16"/>
  <c r="CH28" i="16" s="1"/>
  <c r="CB28" i="16"/>
  <c r="CD28" i="16" s="1"/>
  <c r="BY28" i="16"/>
  <c r="CA28" i="16" s="1"/>
  <c r="BV28" i="16"/>
  <c r="BX28" i="16" s="1"/>
  <c r="BS28" i="16"/>
  <c r="BU28" i="16" s="1"/>
  <c r="BP28" i="16"/>
  <c r="BR28" i="16" s="1"/>
  <c r="BJ28" i="16"/>
  <c r="BL28" i="16" s="1"/>
  <c r="BG28" i="16"/>
  <c r="BI28" i="16" s="1"/>
  <c r="BD28" i="16"/>
  <c r="BF28" i="16" s="1"/>
  <c r="BA28" i="16"/>
  <c r="BC28" i="16" s="1"/>
  <c r="AX28" i="16"/>
  <c r="AZ28" i="16" s="1"/>
  <c r="AU28" i="16"/>
  <c r="AW28" i="16" s="1"/>
  <c r="AR28" i="16"/>
  <c r="AT28" i="16" s="1"/>
  <c r="DW27" i="16"/>
  <c r="DX27" i="16" s="1"/>
  <c r="DU27" i="16"/>
  <c r="DT27" i="16"/>
  <c r="DS27" i="16"/>
  <c r="DR27" i="16"/>
  <c r="DQ27" i="16"/>
  <c r="DP27" i="16"/>
  <c r="DO27" i="16"/>
  <c r="DN27" i="16"/>
  <c r="DM27" i="16"/>
  <c r="DL27" i="16"/>
  <c r="DK27" i="16"/>
  <c r="DJ27" i="16"/>
  <c r="DI27" i="16"/>
  <c r="DH27" i="16"/>
  <c r="DG27" i="16"/>
  <c r="DF27" i="16"/>
  <c r="DE27" i="16"/>
  <c r="CU27" i="16"/>
  <c r="CW27" i="16" s="1"/>
  <c r="AD90" i="7" s="1"/>
  <c r="CR27" i="16"/>
  <c r="CT27" i="16" s="1"/>
  <c r="AA90" i="7" s="1"/>
  <c r="CN27" i="16"/>
  <c r="CP27" i="16" s="1"/>
  <c r="AC90" i="7" s="1"/>
  <c r="CK27" i="16"/>
  <c r="CM27" i="16" s="1"/>
  <c r="HW78" i="3" s="1"/>
  <c r="CF27" i="16"/>
  <c r="CH27" i="16" s="1"/>
  <c r="CB27" i="16"/>
  <c r="CD27" i="16" s="1"/>
  <c r="BY27" i="16"/>
  <c r="CA27" i="16" s="1"/>
  <c r="BV27" i="16"/>
  <c r="BX27" i="16" s="1"/>
  <c r="BS27" i="16"/>
  <c r="BU27" i="16" s="1"/>
  <c r="BP27" i="16"/>
  <c r="BR27" i="16" s="1"/>
  <c r="BJ27" i="16"/>
  <c r="BL27" i="16" s="1"/>
  <c r="BG27" i="16"/>
  <c r="BI27" i="16" s="1"/>
  <c r="BD27" i="16"/>
  <c r="BF27" i="16" s="1"/>
  <c r="BA27" i="16"/>
  <c r="BC27" i="16" s="1"/>
  <c r="AX27" i="16"/>
  <c r="AZ27" i="16" s="1"/>
  <c r="AU27" i="16"/>
  <c r="AW27" i="16" s="1"/>
  <c r="AR27" i="16"/>
  <c r="AT27" i="16" s="1"/>
  <c r="DW26" i="16"/>
  <c r="DX26" i="16" s="1"/>
  <c r="DU26" i="16"/>
  <c r="DT26" i="16"/>
  <c r="DS26" i="16"/>
  <c r="DR26" i="16"/>
  <c r="DQ26" i="16"/>
  <c r="DP26" i="16"/>
  <c r="DO26" i="16"/>
  <c r="DN26" i="16"/>
  <c r="DM26" i="16"/>
  <c r="DL26" i="16"/>
  <c r="DK26" i="16"/>
  <c r="DJ26" i="16"/>
  <c r="DI26" i="16"/>
  <c r="DH26" i="16"/>
  <c r="DG26" i="16"/>
  <c r="DF26" i="16"/>
  <c r="DE26" i="16"/>
  <c r="CU26" i="16"/>
  <c r="CW26" i="16" s="1"/>
  <c r="AD89" i="7" s="1"/>
  <c r="CR26" i="16"/>
  <c r="CT26" i="16" s="1"/>
  <c r="AA89" i="7" s="1"/>
  <c r="CN26" i="16"/>
  <c r="CP26" i="16" s="1"/>
  <c r="AC89" i="7" s="1"/>
  <c r="CK26" i="16"/>
  <c r="CM26" i="16" s="1"/>
  <c r="HW77" i="3" s="1"/>
  <c r="CF26" i="16"/>
  <c r="CH26" i="16" s="1"/>
  <c r="CB26" i="16"/>
  <c r="CD26" i="16" s="1"/>
  <c r="BY26" i="16"/>
  <c r="CA26" i="16" s="1"/>
  <c r="BV26" i="16"/>
  <c r="BX26" i="16" s="1"/>
  <c r="BS26" i="16"/>
  <c r="BU26" i="16" s="1"/>
  <c r="BP26" i="16"/>
  <c r="BR26" i="16" s="1"/>
  <c r="BJ26" i="16"/>
  <c r="BL26" i="16" s="1"/>
  <c r="BG26" i="16"/>
  <c r="BI26" i="16" s="1"/>
  <c r="BD26" i="16"/>
  <c r="BF26" i="16" s="1"/>
  <c r="BA26" i="16"/>
  <c r="BC26" i="16" s="1"/>
  <c r="AX26" i="16"/>
  <c r="AZ26" i="16" s="1"/>
  <c r="AU26" i="16"/>
  <c r="AW26" i="16" s="1"/>
  <c r="AR26" i="16"/>
  <c r="AT26" i="16" s="1"/>
  <c r="DW25" i="16"/>
  <c r="DX25" i="16" s="1"/>
  <c r="DU25" i="16"/>
  <c r="DT25" i="16"/>
  <c r="DS25" i="16"/>
  <c r="DR25" i="16"/>
  <c r="DQ25" i="16"/>
  <c r="DP25" i="16"/>
  <c r="DO25" i="16"/>
  <c r="DN25" i="16"/>
  <c r="DM25" i="16"/>
  <c r="DL25" i="16"/>
  <c r="DK25" i="16"/>
  <c r="DJ25" i="16"/>
  <c r="DI25" i="16"/>
  <c r="DH25" i="16"/>
  <c r="DG25" i="16"/>
  <c r="DF25" i="16"/>
  <c r="DE25" i="16"/>
  <c r="CU25" i="16"/>
  <c r="CW25" i="16" s="1"/>
  <c r="AD88" i="7" s="1"/>
  <c r="CR25" i="16"/>
  <c r="CT25" i="16" s="1"/>
  <c r="AA88" i="7" s="1"/>
  <c r="CN25" i="16"/>
  <c r="CP25" i="16" s="1"/>
  <c r="AC88" i="7" s="1"/>
  <c r="CK25" i="16"/>
  <c r="CM25" i="16" s="1"/>
  <c r="HW76" i="3" s="1"/>
  <c r="CF25" i="16"/>
  <c r="CH25" i="16" s="1"/>
  <c r="CB25" i="16"/>
  <c r="CD25" i="16" s="1"/>
  <c r="BY25" i="16"/>
  <c r="CA25" i="16" s="1"/>
  <c r="BV25" i="16"/>
  <c r="BX25" i="16" s="1"/>
  <c r="BS25" i="16"/>
  <c r="BU25" i="16" s="1"/>
  <c r="BP25" i="16"/>
  <c r="BR25" i="16" s="1"/>
  <c r="BJ25" i="16"/>
  <c r="BL25" i="16" s="1"/>
  <c r="BG25" i="16"/>
  <c r="BI25" i="16" s="1"/>
  <c r="BD25" i="16"/>
  <c r="BF25" i="16" s="1"/>
  <c r="BA25" i="16"/>
  <c r="BC25" i="16" s="1"/>
  <c r="AX25" i="16"/>
  <c r="AZ25" i="16" s="1"/>
  <c r="AU25" i="16"/>
  <c r="AW25" i="16" s="1"/>
  <c r="AR25" i="16"/>
  <c r="AT25" i="16" s="1"/>
  <c r="DW24" i="16"/>
  <c r="DX24" i="16" s="1"/>
  <c r="DU24" i="16"/>
  <c r="DT24" i="16"/>
  <c r="DS24" i="16"/>
  <c r="DR24" i="16"/>
  <c r="DQ24" i="16"/>
  <c r="DP24" i="16"/>
  <c r="DO24" i="16"/>
  <c r="DN24" i="16"/>
  <c r="DM24" i="16"/>
  <c r="DL24" i="16"/>
  <c r="DK24" i="16"/>
  <c r="DJ24" i="16"/>
  <c r="DI24" i="16"/>
  <c r="DH24" i="16"/>
  <c r="DG24" i="16"/>
  <c r="DF24" i="16"/>
  <c r="DE24" i="16"/>
  <c r="CU24" i="16"/>
  <c r="CW24" i="16" s="1"/>
  <c r="AD87" i="7" s="1"/>
  <c r="CR24" i="16"/>
  <c r="CT24" i="16" s="1"/>
  <c r="AA87" i="7" s="1"/>
  <c r="CN24" i="16"/>
  <c r="CP24" i="16" s="1"/>
  <c r="AC87" i="7" s="1"/>
  <c r="CK24" i="16"/>
  <c r="CM24" i="16" s="1"/>
  <c r="HW75" i="3" s="1"/>
  <c r="CF24" i="16"/>
  <c r="CH24" i="16" s="1"/>
  <c r="CB24" i="16"/>
  <c r="CD24" i="16" s="1"/>
  <c r="BY24" i="16"/>
  <c r="CA24" i="16" s="1"/>
  <c r="BV24" i="16"/>
  <c r="BX24" i="16" s="1"/>
  <c r="BS24" i="16"/>
  <c r="BU24" i="16" s="1"/>
  <c r="BP24" i="16"/>
  <c r="BR24" i="16" s="1"/>
  <c r="BJ24" i="16"/>
  <c r="BL24" i="16" s="1"/>
  <c r="BG24" i="16"/>
  <c r="BI24" i="16" s="1"/>
  <c r="BD24" i="16"/>
  <c r="BF24" i="16" s="1"/>
  <c r="BA24" i="16"/>
  <c r="BC24" i="16" s="1"/>
  <c r="AX24" i="16"/>
  <c r="AZ24" i="16" s="1"/>
  <c r="AU24" i="16"/>
  <c r="AW24" i="16" s="1"/>
  <c r="AR24" i="16"/>
  <c r="AT24" i="16" s="1"/>
  <c r="DW23" i="16"/>
  <c r="DX23" i="16" s="1"/>
  <c r="DU23" i="16"/>
  <c r="DT23" i="16"/>
  <c r="DS23" i="16"/>
  <c r="DR23" i="16"/>
  <c r="DQ23" i="16"/>
  <c r="DP23" i="16"/>
  <c r="DO23" i="16"/>
  <c r="DN23" i="16"/>
  <c r="DM23" i="16"/>
  <c r="DL23" i="16"/>
  <c r="DK23" i="16"/>
  <c r="DJ23" i="16"/>
  <c r="DI23" i="16"/>
  <c r="DH23" i="16"/>
  <c r="DG23" i="16"/>
  <c r="DF23" i="16"/>
  <c r="DE23" i="16"/>
  <c r="CU23" i="16"/>
  <c r="CW23" i="16" s="1"/>
  <c r="AD86" i="7" s="1"/>
  <c r="CR23" i="16"/>
  <c r="CT23" i="16" s="1"/>
  <c r="AA86" i="7" s="1"/>
  <c r="CN23" i="16"/>
  <c r="CP23" i="16" s="1"/>
  <c r="AC86" i="7" s="1"/>
  <c r="CK23" i="16"/>
  <c r="CM23" i="16" s="1"/>
  <c r="HW74" i="3" s="1"/>
  <c r="CF23" i="16"/>
  <c r="CH23" i="16" s="1"/>
  <c r="CB23" i="16"/>
  <c r="CD23" i="16" s="1"/>
  <c r="BY23" i="16"/>
  <c r="CA23" i="16" s="1"/>
  <c r="BV23" i="16"/>
  <c r="BX23" i="16" s="1"/>
  <c r="BS23" i="16"/>
  <c r="BU23" i="16" s="1"/>
  <c r="BP23" i="16"/>
  <c r="BR23" i="16" s="1"/>
  <c r="BJ23" i="16"/>
  <c r="BL23" i="16" s="1"/>
  <c r="BG23" i="16"/>
  <c r="BI23" i="16" s="1"/>
  <c r="BD23" i="16"/>
  <c r="BF23" i="16" s="1"/>
  <c r="BA23" i="16"/>
  <c r="BC23" i="16" s="1"/>
  <c r="AX23" i="16"/>
  <c r="AZ23" i="16" s="1"/>
  <c r="AU23" i="16"/>
  <c r="AW23" i="16" s="1"/>
  <c r="AR23" i="16"/>
  <c r="AT23" i="16" s="1"/>
  <c r="DW22" i="16"/>
  <c r="DX22" i="16" s="1"/>
  <c r="DU22" i="16"/>
  <c r="DT22" i="16"/>
  <c r="DS22" i="16"/>
  <c r="DR22" i="16"/>
  <c r="DQ22" i="16"/>
  <c r="DP22" i="16"/>
  <c r="DO22" i="16"/>
  <c r="DN22" i="16"/>
  <c r="DM22" i="16"/>
  <c r="DL22" i="16"/>
  <c r="DK22" i="16"/>
  <c r="DJ22" i="16"/>
  <c r="DI22" i="16"/>
  <c r="DH22" i="16"/>
  <c r="DG22" i="16"/>
  <c r="DF22" i="16"/>
  <c r="DE22" i="16"/>
  <c r="CU22" i="16"/>
  <c r="CW22" i="16" s="1"/>
  <c r="AD85" i="7" s="1"/>
  <c r="CR22" i="16"/>
  <c r="CT22" i="16" s="1"/>
  <c r="AA85" i="7" s="1"/>
  <c r="CN22" i="16"/>
  <c r="CP22" i="16" s="1"/>
  <c r="AC85" i="7" s="1"/>
  <c r="CK22" i="16"/>
  <c r="CM22" i="16" s="1"/>
  <c r="HW73" i="3" s="1"/>
  <c r="CF22" i="16"/>
  <c r="CH22" i="16" s="1"/>
  <c r="CB22" i="16"/>
  <c r="CD22" i="16" s="1"/>
  <c r="BY22" i="16"/>
  <c r="CA22" i="16" s="1"/>
  <c r="BV22" i="16"/>
  <c r="BX22" i="16" s="1"/>
  <c r="BS22" i="16"/>
  <c r="BU22" i="16" s="1"/>
  <c r="BP22" i="16"/>
  <c r="BR22" i="16" s="1"/>
  <c r="BJ22" i="16"/>
  <c r="BL22" i="16" s="1"/>
  <c r="BG22" i="16"/>
  <c r="BI22" i="16" s="1"/>
  <c r="BD22" i="16"/>
  <c r="BF22" i="16" s="1"/>
  <c r="BA22" i="16"/>
  <c r="BC22" i="16" s="1"/>
  <c r="AX22" i="16"/>
  <c r="AZ22" i="16" s="1"/>
  <c r="AU22" i="16"/>
  <c r="AW22" i="16" s="1"/>
  <c r="AR22" i="16"/>
  <c r="AT22" i="16" s="1"/>
  <c r="DW21" i="16"/>
  <c r="DX21" i="16" s="1"/>
  <c r="DU21" i="16"/>
  <c r="DT21" i="16"/>
  <c r="DS21" i="16"/>
  <c r="DR21" i="16"/>
  <c r="DQ21" i="16"/>
  <c r="DP21" i="16"/>
  <c r="DO21" i="16"/>
  <c r="DN21" i="16"/>
  <c r="DM21" i="16"/>
  <c r="DL21" i="16"/>
  <c r="DK21" i="16"/>
  <c r="DJ21" i="16"/>
  <c r="DI21" i="16"/>
  <c r="DH21" i="16"/>
  <c r="DG21" i="16"/>
  <c r="DF21" i="16"/>
  <c r="DE21" i="16"/>
  <c r="CU21" i="16"/>
  <c r="CW21" i="16" s="1"/>
  <c r="AD84" i="7" s="1"/>
  <c r="CR21" i="16"/>
  <c r="CT21" i="16" s="1"/>
  <c r="AA84" i="7" s="1"/>
  <c r="CN21" i="16"/>
  <c r="CP21" i="16" s="1"/>
  <c r="AC84" i="7" s="1"/>
  <c r="CK21" i="16"/>
  <c r="CM21" i="16" s="1"/>
  <c r="HW72" i="3" s="1"/>
  <c r="CF21" i="16"/>
  <c r="CH21" i="16" s="1"/>
  <c r="CB21" i="16"/>
  <c r="CD21" i="16" s="1"/>
  <c r="BY21" i="16"/>
  <c r="CA21" i="16" s="1"/>
  <c r="BV21" i="16"/>
  <c r="BX21" i="16" s="1"/>
  <c r="BS21" i="16"/>
  <c r="BU21" i="16" s="1"/>
  <c r="BP21" i="16"/>
  <c r="BR21" i="16" s="1"/>
  <c r="BJ21" i="16"/>
  <c r="BL21" i="16" s="1"/>
  <c r="BG21" i="16"/>
  <c r="BI21" i="16" s="1"/>
  <c r="BD21" i="16"/>
  <c r="BF21" i="16" s="1"/>
  <c r="BA21" i="16"/>
  <c r="BC21" i="16" s="1"/>
  <c r="AX21" i="16"/>
  <c r="AZ21" i="16" s="1"/>
  <c r="AU21" i="16"/>
  <c r="AW21" i="16" s="1"/>
  <c r="AR21" i="16"/>
  <c r="AT21" i="16" s="1"/>
  <c r="DU20" i="16"/>
  <c r="DT20" i="16"/>
  <c r="DS20" i="16"/>
  <c r="DR20" i="16"/>
  <c r="DQ20" i="16"/>
  <c r="DP20" i="16"/>
  <c r="DO20" i="16"/>
  <c r="DN20" i="16"/>
  <c r="DM20" i="16"/>
  <c r="DL20" i="16"/>
  <c r="DK20" i="16"/>
  <c r="DJ20" i="16"/>
  <c r="DI20" i="16"/>
  <c r="DH20" i="16"/>
  <c r="DG20" i="16"/>
  <c r="DF20" i="16"/>
  <c r="DE20" i="16"/>
  <c r="CU20" i="16"/>
  <c r="CW20" i="16" s="1"/>
  <c r="AD83" i="7" s="1"/>
  <c r="CR20" i="16"/>
  <c r="CT20" i="16" s="1"/>
  <c r="AA83" i="7" s="1"/>
  <c r="CN20" i="16"/>
  <c r="CP20" i="16" s="1"/>
  <c r="AC83" i="7" s="1"/>
  <c r="CK20" i="16"/>
  <c r="CM20" i="16" s="1"/>
  <c r="HW71" i="3" s="1"/>
  <c r="CF20" i="16"/>
  <c r="CH20" i="16" s="1"/>
  <c r="CB20" i="16"/>
  <c r="CD20" i="16" s="1"/>
  <c r="BY20" i="16"/>
  <c r="CA20" i="16" s="1"/>
  <c r="BV20" i="16"/>
  <c r="BX20" i="16" s="1"/>
  <c r="BS20" i="16"/>
  <c r="BU20" i="16" s="1"/>
  <c r="BP20" i="16"/>
  <c r="BR20" i="16" s="1"/>
  <c r="BJ20" i="16"/>
  <c r="BL20" i="16" s="1"/>
  <c r="BG20" i="16"/>
  <c r="BI20" i="16" s="1"/>
  <c r="BD20" i="16"/>
  <c r="BF20" i="16" s="1"/>
  <c r="BA20" i="16"/>
  <c r="BC20" i="16" s="1"/>
  <c r="AX20" i="16"/>
  <c r="AZ20" i="16" s="1"/>
  <c r="AU20" i="16"/>
  <c r="AW20" i="16" s="1"/>
  <c r="AR20" i="16"/>
  <c r="AT20" i="16" s="1"/>
  <c r="DW15" i="16"/>
  <c r="DX15" i="16" s="1"/>
  <c r="DE14" i="16"/>
  <c r="DD14" i="16" s="1"/>
  <c r="AR14" i="16"/>
  <c r="AT14" i="16" s="1"/>
  <c r="DW13" i="16"/>
  <c r="DX13" i="16" s="1"/>
  <c r="DE13" i="16"/>
  <c r="DD13" i="16" s="1"/>
  <c r="AR13" i="16"/>
  <c r="AT13" i="16" s="1"/>
  <c r="DE12" i="16"/>
  <c r="DD12" i="16" s="1"/>
  <c r="AR12" i="16"/>
  <c r="AT12" i="16" s="1"/>
  <c r="DW11" i="16"/>
  <c r="DX11" i="16" s="1"/>
  <c r="DE11" i="16"/>
  <c r="DD11" i="16" s="1"/>
  <c r="AR11" i="16"/>
  <c r="DW9" i="16"/>
  <c r="DE9" i="16"/>
  <c r="DD9" i="16" s="1"/>
  <c r="AR9" i="16"/>
  <c r="AT9" i="16" s="1"/>
  <c r="C48" i="15"/>
  <c r="C48" i="16"/>
  <c r="AN48" i="15"/>
  <c r="AN16" i="15"/>
  <c r="AN8" i="15"/>
  <c r="DW63" i="15"/>
  <c r="DX63" i="15" s="1"/>
  <c r="DH63" i="15"/>
  <c r="DG63" i="15"/>
  <c r="DF63" i="15"/>
  <c r="DE63" i="15"/>
  <c r="BD63" i="15"/>
  <c r="BF63" i="15" s="1"/>
  <c r="AZ63" i="15"/>
  <c r="AW63" i="15"/>
  <c r="AQ63" i="15"/>
  <c r="DW62" i="15"/>
  <c r="DX62" i="15" s="1"/>
  <c r="DH62" i="15"/>
  <c r="DG62" i="15"/>
  <c r="DF62" i="15"/>
  <c r="DE62" i="15"/>
  <c r="BD62" i="15"/>
  <c r="BF62" i="15" s="1"/>
  <c r="AZ62" i="15"/>
  <c r="AW62" i="15"/>
  <c r="AQ62" i="15"/>
  <c r="DW61" i="15"/>
  <c r="DX61" i="15" s="1"/>
  <c r="DH61" i="15"/>
  <c r="DG61" i="15"/>
  <c r="DF61" i="15"/>
  <c r="DE61" i="15"/>
  <c r="BD61" i="15"/>
  <c r="BF61" i="15" s="1"/>
  <c r="AZ61" i="15"/>
  <c r="AW61" i="15"/>
  <c r="AQ61" i="15"/>
  <c r="DW60" i="15"/>
  <c r="DX60" i="15" s="1"/>
  <c r="DH60" i="15"/>
  <c r="DG60" i="15"/>
  <c r="DF60" i="15"/>
  <c r="DE60" i="15"/>
  <c r="BD60" i="15"/>
  <c r="BF60" i="15" s="1"/>
  <c r="AZ60" i="15"/>
  <c r="AW60" i="15"/>
  <c r="AQ60" i="15"/>
  <c r="DW59" i="15"/>
  <c r="DX59" i="15" s="1"/>
  <c r="DH59" i="15"/>
  <c r="DG59" i="15"/>
  <c r="DF59" i="15"/>
  <c r="DE59" i="15"/>
  <c r="BD59" i="15"/>
  <c r="BF59" i="15" s="1"/>
  <c r="AZ59" i="15"/>
  <c r="AW59" i="15"/>
  <c r="AQ59" i="15"/>
  <c r="DW58" i="15"/>
  <c r="DX58" i="15" s="1"/>
  <c r="DH58" i="15"/>
  <c r="DG58" i="15"/>
  <c r="DF58" i="15"/>
  <c r="DE58" i="15"/>
  <c r="BD58" i="15"/>
  <c r="BF58" i="15" s="1"/>
  <c r="AZ58" i="15"/>
  <c r="AW58" i="15"/>
  <c r="AQ58" i="15"/>
  <c r="DH57" i="15"/>
  <c r="DG57" i="15"/>
  <c r="DF57" i="15"/>
  <c r="DE57" i="15"/>
  <c r="BD57" i="15"/>
  <c r="BF57" i="15" s="1"/>
  <c r="AZ57" i="15"/>
  <c r="AW57" i="15"/>
  <c r="AQ57" i="15"/>
  <c r="DW56" i="15"/>
  <c r="DX56" i="15" s="1"/>
  <c r="DH56" i="15"/>
  <c r="DG56" i="15"/>
  <c r="DF56" i="15"/>
  <c r="DE56" i="15"/>
  <c r="BD56" i="15"/>
  <c r="BF56" i="15" s="1"/>
  <c r="AZ56" i="15"/>
  <c r="AW56" i="15"/>
  <c r="AQ56" i="15"/>
  <c r="DW55" i="15"/>
  <c r="DX55" i="15" s="1"/>
  <c r="DH55" i="15"/>
  <c r="DG55" i="15"/>
  <c r="DF55" i="15"/>
  <c r="DE55" i="15"/>
  <c r="BD55" i="15"/>
  <c r="BF55" i="15" s="1"/>
  <c r="AZ55" i="15"/>
  <c r="AW55" i="15"/>
  <c r="AQ55" i="15"/>
  <c r="DW54" i="15"/>
  <c r="DX54" i="15" s="1"/>
  <c r="DH54" i="15"/>
  <c r="DG54" i="15"/>
  <c r="DF54" i="15"/>
  <c r="DE54" i="15"/>
  <c r="BD54" i="15"/>
  <c r="BF54" i="15" s="1"/>
  <c r="AZ54" i="15"/>
  <c r="AW54" i="15"/>
  <c r="AQ54" i="15"/>
  <c r="DW53" i="15"/>
  <c r="DX53" i="15" s="1"/>
  <c r="DH53" i="15"/>
  <c r="DG53" i="15"/>
  <c r="DF53" i="15"/>
  <c r="DE53" i="15"/>
  <c r="BD53" i="15"/>
  <c r="BF53" i="15" s="1"/>
  <c r="AZ53" i="15"/>
  <c r="AW53" i="15"/>
  <c r="AQ53" i="15"/>
  <c r="DH52" i="15"/>
  <c r="DG52" i="15"/>
  <c r="DF52" i="15"/>
  <c r="DE52" i="15"/>
  <c r="BD52" i="15"/>
  <c r="BF52" i="15" s="1"/>
  <c r="AZ52" i="15"/>
  <c r="AW52" i="15"/>
  <c r="AQ52" i="15"/>
  <c r="DW45" i="15"/>
  <c r="DX45" i="15" s="1"/>
  <c r="DU45" i="15"/>
  <c r="DT45" i="15"/>
  <c r="DS45" i="15"/>
  <c r="DR45" i="15"/>
  <c r="DQ45" i="15"/>
  <c r="DP45" i="15"/>
  <c r="DO45" i="15"/>
  <c r="DN45" i="15"/>
  <c r="DM45" i="15"/>
  <c r="DL45" i="15"/>
  <c r="DK45" i="15"/>
  <c r="DJ45" i="15"/>
  <c r="DI45" i="15"/>
  <c r="DH45" i="15"/>
  <c r="DG45" i="15"/>
  <c r="DF45" i="15"/>
  <c r="DE45" i="15"/>
  <c r="CU45" i="15"/>
  <c r="CW45" i="15" s="1"/>
  <c r="CI63" i="3" s="1"/>
  <c r="CR45" i="15"/>
  <c r="CT45" i="15" s="1"/>
  <c r="CG63" i="3" s="1"/>
  <c r="CN45" i="15"/>
  <c r="CP45" i="15" s="1"/>
  <c r="CK45" i="15"/>
  <c r="CM45" i="15" s="1"/>
  <c r="CF45" i="15"/>
  <c r="CH45" i="15" s="1"/>
  <c r="CB45" i="15"/>
  <c r="CD45" i="15" s="1"/>
  <c r="BY45" i="15"/>
  <c r="CA45" i="15" s="1"/>
  <c r="BV45" i="15"/>
  <c r="BX45" i="15" s="1"/>
  <c r="BS45" i="15"/>
  <c r="BU45" i="15" s="1"/>
  <c r="BP45" i="15"/>
  <c r="BR45" i="15" s="1"/>
  <c r="BJ45" i="15"/>
  <c r="BL45" i="15" s="1"/>
  <c r="BG45" i="15"/>
  <c r="BI45" i="15" s="1"/>
  <c r="BD45" i="15"/>
  <c r="BF45" i="15" s="1"/>
  <c r="BA45" i="15"/>
  <c r="BC45" i="15" s="1"/>
  <c r="AX45" i="15"/>
  <c r="AZ45" i="15" s="1"/>
  <c r="AU45" i="15"/>
  <c r="AW45" i="15" s="1"/>
  <c r="AR45" i="15"/>
  <c r="AO45" i="15"/>
  <c r="AQ45" i="15" s="1"/>
  <c r="CM63" i="3" s="1"/>
  <c r="AN45" i="15"/>
  <c r="DW44" i="15"/>
  <c r="DX44" i="15" s="1"/>
  <c r="DU44" i="15"/>
  <c r="DT44" i="15"/>
  <c r="DS44" i="15"/>
  <c r="DR44" i="15"/>
  <c r="DQ44" i="15"/>
  <c r="DP44" i="15"/>
  <c r="DO44" i="15"/>
  <c r="DN44" i="15"/>
  <c r="DM44" i="15"/>
  <c r="DL44" i="15"/>
  <c r="DK44" i="15"/>
  <c r="DJ44" i="15"/>
  <c r="DI44" i="15"/>
  <c r="DH44" i="15"/>
  <c r="DG44" i="15"/>
  <c r="DF44" i="15"/>
  <c r="DE44" i="15"/>
  <c r="CU44" i="15"/>
  <c r="CW44" i="15" s="1"/>
  <c r="CI62" i="3" s="1"/>
  <c r="CR44" i="15"/>
  <c r="CT44" i="15" s="1"/>
  <c r="CG62" i="3" s="1"/>
  <c r="CN44" i="15"/>
  <c r="CP44" i="15" s="1"/>
  <c r="CK44" i="15"/>
  <c r="CM44" i="15" s="1"/>
  <c r="CF44" i="15"/>
  <c r="CH44" i="15" s="1"/>
  <c r="CB44" i="15"/>
  <c r="CD44" i="15" s="1"/>
  <c r="BY44" i="15"/>
  <c r="CA44" i="15" s="1"/>
  <c r="BV44" i="15"/>
  <c r="BX44" i="15" s="1"/>
  <c r="BS44" i="15"/>
  <c r="BU44" i="15" s="1"/>
  <c r="BP44" i="15"/>
  <c r="BR44" i="15" s="1"/>
  <c r="BJ44" i="15"/>
  <c r="BL44" i="15" s="1"/>
  <c r="BG44" i="15"/>
  <c r="BI44" i="15" s="1"/>
  <c r="BD44" i="15"/>
  <c r="BF44" i="15" s="1"/>
  <c r="BA44" i="15"/>
  <c r="BC44" i="15" s="1"/>
  <c r="AX44" i="15"/>
  <c r="AZ44" i="15" s="1"/>
  <c r="AU44" i="15"/>
  <c r="AW44" i="15" s="1"/>
  <c r="AR44" i="15"/>
  <c r="AO44" i="15"/>
  <c r="AQ44" i="15" s="1"/>
  <c r="CM62" i="3" s="1"/>
  <c r="AN44" i="15"/>
  <c r="DW43" i="15"/>
  <c r="DX43" i="15" s="1"/>
  <c r="DU43" i="15"/>
  <c r="DT43" i="15"/>
  <c r="DS43" i="15"/>
  <c r="DR43" i="15"/>
  <c r="DQ43" i="15"/>
  <c r="DP43" i="15"/>
  <c r="DO43" i="15"/>
  <c r="DN43" i="15"/>
  <c r="DM43" i="15"/>
  <c r="DL43" i="15"/>
  <c r="DK43" i="15"/>
  <c r="DJ43" i="15"/>
  <c r="DI43" i="15"/>
  <c r="DH43" i="15"/>
  <c r="DG43" i="15"/>
  <c r="DF43" i="15"/>
  <c r="DE43" i="15"/>
  <c r="CU43" i="15"/>
  <c r="CW43" i="15" s="1"/>
  <c r="CI61" i="3" s="1"/>
  <c r="CR43" i="15"/>
  <c r="CT43" i="15" s="1"/>
  <c r="CG61" i="3" s="1"/>
  <c r="CN43" i="15"/>
  <c r="CP43" i="15" s="1"/>
  <c r="CK43" i="15"/>
  <c r="CM43" i="15" s="1"/>
  <c r="CF43" i="15"/>
  <c r="CH43" i="15" s="1"/>
  <c r="CB43" i="15"/>
  <c r="CD43" i="15" s="1"/>
  <c r="BY43" i="15"/>
  <c r="CA43" i="15" s="1"/>
  <c r="BV43" i="15"/>
  <c r="BX43" i="15" s="1"/>
  <c r="BS43" i="15"/>
  <c r="BU43" i="15" s="1"/>
  <c r="BP43" i="15"/>
  <c r="BR43" i="15" s="1"/>
  <c r="BJ43" i="15"/>
  <c r="BL43" i="15" s="1"/>
  <c r="BG43" i="15"/>
  <c r="BI43" i="15" s="1"/>
  <c r="BD43" i="15"/>
  <c r="BF43" i="15" s="1"/>
  <c r="BA43" i="15"/>
  <c r="BC43" i="15" s="1"/>
  <c r="AX43" i="15"/>
  <c r="AZ43" i="15" s="1"/>
  <c r="AU43" i="15"/>
  <c r="AW43" i="15" s="1"/>
  <c r="AR43" i="15"/>
  <c r="AO43" i="15"/>
  <c r="AQ43" i="15" s="1"/>
  <c r="CM61" i="3" s="1"/>
  <c r="AN43" i="15"/>
  <c r="DW42" i="15"/>
  <c r="DX42" i="15" s="1"/>
  <c r="DU42" i="15"/>
  <c r="DT42" i="15"/>
  <c r="DS42" i="15"/>
  <c r="DR42" i="15"/>
  <c r="DQ42" i="15"/>
  <c r="DP42" i="15"/>
  <c r="DO42" i="15"/>
  <c r="DN42" i="15"/>
  <c r="DM42" i="15"/>
  <c r="DL42" i="15"/>
  <c r="DK42" i="15"/>
  <c r="DJ42" i="15"/>
  <c r="DI42" i="15"/>
  <c r="DH42" i="15"/>
  <c r="DG42" i="15"/>
  <c r="DF42" i="15"/>
  <c r="DE42" i="15"/>
  <c r="CU42" i="15"/>
  <c r="CW42" i="15" s="1"/>
  <c r="CI60" i="3" s="1"/>
  <c r="CR42" i="15"/>
  <c r="CT42" i="15" s="1"/>
  <c r="CG60" i="3" s="1"/>
  <c r="CN42" i="15"/>
  <c r="CP42" i="15" s="1"/>
  <c r="CK42" i="15"/>
  <c r="CM42" i="15" s="1"/>
  <c r="CF42" i="15"/>
  <c r="CH42" i="15" s="1"/>
  <c r="CB42" i="15"/>
  <c r="CD42" i="15" s="1"/>
  <c r="BY42" i="15"/>
  <c r="CA42" i="15" s="1"/>
  <c r="BV42" i="15"/>
  <c r="BX42" i="15" s="1"/>
  <c r="BS42" i="15"/>
  <c r="BU42" i="15" s="1"/>
  <c r="BP42" i="15"/>
  <c r="BR42" i="15" s="1"/>
  <c r="BJ42" i="15"/>
  <c r="BL42" i="15" s="1"/>
  <c r="BG42" i="15"/>
  <c r="BI42" i="15" s="1"/>
  <c r="BD42" i="15"/>
  <c r="BF42" i="15" s="1"/>
  <c r="BA42" i="15"/>
  <c r="BC42" i="15" s="1"/>
  <c r="AX42" i="15"/>
  <c r="AZ42" i="15" s="1"/>
  <c r="AU42" i="15"/>
  <c r="AW42" i="15" s="1"/>
  <c r="AR42" i="15"/>
  <c r="AO42" i="15"/>
  <c r="AQ42" i="15" s="1"/>
  <c r="CM60" i="3" s="1"/>
  <c r="AN42" i="15"/>
  <c r="DU41" i="15"/>
  <c r="DT41" i="15"/>
  <c r="DS41" i="15"/>
  <c r="DR41" i="15"/>
  <c r="DQ41" i="15"/>
  <c r="DP41" i="15"/>
  <c r="DO41" i="15"/>
  <c r="DN41" i="15"/>
  <c r="DM41" i="15"/>
  <c r="DL41" i="15"/>
  <c r="DK41" i="15"/>
  <c r="DJ41" i="15"/>
  <c r="DI41" i="15"/>
  <c r="DH41" i="15"/>
  <c r="DG41" i="15"/>
  <c r="DF41" i="15"/>
  <c r="DE41" i="15"/>
  <c r="CU41" i="15"/>
  <c r="CW41" i="15" s="1"/>
  <c r="CI59" i="3" s="1"/>
  <c r="CR41" i="15"/>
  <c r="CT41" i="15" s="1"/>
  <c r="CG59" i="3" s="1"/>
  <c r="CN41" i="15"/>
  <c r="CP41" i="15" s="1"/>
  <c r="CK41" i="15"/>
  <c r="CM41" i="15" s="1"/>
  <c r="CF41" i="15"/>
  <c r="CH41" i="15" s="1"/>
  <c r="CB41" i="15"/>
  <c r="CD41" i="15" s="1"/>
  <c r="BY41" i="15"/>
  <c r="CA41" i="15" s="1"/>
  <c r="BV41" i="15"/>
  <c r="BX41" i="15" s="1"/>
  <c r="BS41" i="15"/>
  <c r="BU41" i="15" s="1"/>
  <c r="BP41" i="15"/>
  <c r="BR41" i="15" s="1"/>
  <c r="BJ41" i="15"/>
  <c r="BL41" i="15" s="1"/>
  <c r="BG41" i="15"/>
  <c r="BI41" i="15" s="1"/>
  <c r="BD41" i="15"/>
  <c r="BF41" i="15" s="1"/>
  <c r="BA41" i="15"/>
  <c r="BC41" i="15" s="1"/>
  <c r="AX41" i="15"/>
  <c r="AZ41" i="15" s="1"/>
  <c r="AU41" i="15"/>
  <c r="AW41" i="15" s="1"/>
  <c r="AR41" i="15"/>
  <c r="AO41" i="15"/>
  <c r="AQ41" i="15" s="1"/>
  <c r="CM59" i="3" s="1"/>
  <c r="AN41" i="15"/>
  <c r="DW40" i="15"/>
  <c r="DX40" i="15" s="1"/>
  <c r="DU40" i="15"/>
  <c r="DT40" i="15"/>
  <c r="DS40" i="15"/>
  <c r="DR40" i="15"/>
  <c r="DQ40" i="15"/>
  <c r="DP40" i="15"/>
  <c r="DO40" i="15"/>
  <c r="DN40" i="15"/>
  <c r="DM40" i="15"/>
  <c r="DL40" i="15"/>
  <c r="DK40" i="15"/>
  <c r="DJ40" i="15"/>
  <c r="DI40" i="15"/>
  <c r="DH40" i="15"/>
  <c r="DG40" i="15"/>
  <c r="DF40" i="15"/>
  <c r="DE40" i="15"/>
  <c r="CU40" i="15"/>
  <c r="CW40" i="15" s="1"/>
  <c r="CI58" i="3" s="1"/>
  <c r="CR40" i="15"/>
  <c r="CT40" i="15" s="1"/>
  <c r="CG58" i="3" s="1"/>
  <c r="CN40" i="15"/>
  <c r="CP40" i="15" s="1"/>
  <c r="CK40" i="15"/>
  <c r="CM40" i="15" s="1"/>
  <c r="CF40" i="15"/>
  <c r="CH40" i="15" s="1"/>
  <c r="CB40" i="15"/>
  <c r="CD40" i="15" s="1"/>
  <c r="BY40" i="15"/>
  <c r="CA40" i="15" s="1"/>
  <c r="BV40" i="15"/>
  <c r="BX40" i="15" s="1"/>
  <c r="BS40" i="15"/>
  <c r="BU40" i="15" s="1"/>
  <c r="BP40" i="15"/>
  <c r="BR40" i="15" s="1"/>
  <c r="BJ40" i="15"/>
  <c r="BL40" i="15" s="1"/>
  <c r="BG40" i="15"/>
  <c r="BI40" i="15" s="1"/>
  <c r="BD40" i="15"/>
  <c r="BF40" i="15" s="1"/>
  <c r="BA40" i="15"/>
  <c r="BC40" i="15" s="1"/>
  <c r="AX40" i="15"/>
  <c r="AZ40" i="15" s="1"/>
  <c r="AU40" i="15"/>
  <c r="AW40" i="15" s="1"/>
  <c r="AR40" i="15"/>
  <c r="AO40" i="15"/>
  <c r="AQ40" i="15" s="1"/>
  <c r="CM58" i="3" s="1"/>
  <c r="AN40" i="15"/>
  <c r="DW39" i="15"/>
  <c r="DX39" i="15" s="1"/>
  <c r="DU39" i="15"/>
  <c r="DT39" i="15"/>
  <c r="DS39" i="15"/>
  <c r="DR39" i="15"/>
  <c r="DQ39" i="15"/>
  <c r="DP39" i="15"/>
  <c r="DO39" i="15"/>
  <c r="DN39" i="15"/>
  <c r="DM39" i="15"/>
  <c r="DL39" i="15"/>
  <c r="DK39" i="15"/>
  <c r="DJ39" i="15"/>
  <c r="DI39" i="15"/>
  <c r="DH39" i="15"/>
  <c r="DG39" i="15"/>
  <c r="DF39" i="15"/>
  <c r="DE39" i="15"/>
  <c r="CU39" i="15"/>
  <c r="CW39" i="15" s="1"/>
  <c r="CI57" i="3" s="1"/>
  <c r="CR39" i="15"/>
  <c r="CT39" i="15" s="1"/>
  <c r="CG57" i="3" s="1"/>
  <c r="CN39" i="15"/>
  <c r="CP39" i="15" s="1"/>
  <c r="CK39" i="15"/>
  <c r="CM39" i="15" s="1"/>
  <c r="CH39" i="15"/>
  <c r="CF39" i="15"/>
  <c r="CB39" i="15"/>
  <c r="CD39" i="15" s="1"/>
  <c r="BY39" i="15"/>
  <c r="CA39" i="15" s="1"/>
  <c r="BV39" i="15"/>
  <c r="BX39" i="15" s="1"/>
  <c r="BS39" i="15"/>
  <c r="BU39" i="15" s="1"/>
  <c r="BP39" i="15"/>
  <c r="BR39" i="15" s="1"/>
  <c r="BJ39" i="15"/>
  <c r="BL39" i="15" s="1"/>
  <c r="BG39" i="15"/>
  <c r="BI39" i="15" s="1"/>
  <c r="BD39" i="15"/>
  <c r="BF39" i="15" s="1"/>
  <c r="BA39" i="15"/>
  <c r="BC39" i="15" s="1"/>
  <c r="AX39" i="15"/>
  <c r="AZ39" i="15" s="1"/>
  <c r="AU39" i="15"/>
  <c r="AW39" i="15" s="1"/>
  <c r="AR39" i="15"/>
  <c r="AT39" i="15" s="1"/>
  <c r="CN57" i="3" s="1"/>
  <c r="FZ56" i="3" s="1"/>
  <c r="AO39" i="15"/>
  <c r="AQ39" i="15" s="1"/>
  <c r="CM57" i="3" s="1"/>
  <c r="AN39" i="15"/>
  <c r="DU38" i="15"/>
  <c r="DT38" i="15"/>
  <c r="DS38" i="15"/>
  <c r="DR38" i="15"/>
  <c r="DQ38" i="15"/>
  <c r="DP38" i="15"/>
  <c r="DO38" i="15"/>
  <c r="DN38" i="15"/>
  <c r="DM38" i="15"/>
  <c r="DL38" i="15"/>
  <c r="DK38" i="15"/>
  <c r="DJ38" i="15"/>
  <c r="DI38" i="15"/>
  <c r="DH38" i="15"/>
  <c r="DG38" i="15"/>
  <c r="DF38" i="15"/>
  <c r="DE38" i="15"/>
  <c r="CU38" i="15"/>
  <c r="CW38" i="15" s="1"/>
  <c r="CI56" i="3" s="1"/>
  <c r="CR38" i="15"/>
  <c r="CT38" i="15" s="1"/>
  <c r="CG56" i="3" s="1"/>
  <c r="CN38" i="15"/>
  <c r="CP38" i="15" s="1"/>
  <c r="CK38" i="15"/>
  <c r="CM38" i="15" s="1"/>
  <c r="CF38" i="15"/>
  <c r="CH38" i="15" s="1"/>
  <c r="CB38" i="15"/>
  <c r="CD38" i="15" s="1"/>
  <c r="BY38" i="15"/>
  <c r="CA38" i="15" s="1"/>
  <c r="BV38" i="15"/>
  <c r="BX38" i="15" s="1"/>
  <c r="BS38" i="15"/>
  <c r="BU38" i="15" s="1"/>
  <c r="BP38" i="15"/>
  <c r="BR38" i="15" s="1"/>
  <c r="BJ38" i="15"/>
  <c r="BL38" i="15" s="1"/>
  <c r="BG38" i="15"/>
  <c r="BI38" i="15" s="1"/>
  <c r="BD38" i="15"/>
  <c r="BF38" i="15" s="1"/>
  <c r="BA38" i="15"/>
  <c r="BC38" i="15" s="1"/>
  <c r="AX38" i="15"/>
  <c r="AZ38" i="15" s="1"/>
  <c r="AU38" i="15"/>
  <c r="AW38" i="15" s="1"/>
  <c r="AR38" i="15"/>
  <c r="AT38" i="15" s="1"/>
  <c r="CN56" i="3" s="1"/>
  <c r="FZ55" i="3" s="1"/>
  <c r="AO38" i="15"/>
  <c r="AQ38" i="15" s="1"/>
  <c r="CM56" i="3" s="1"/>
  <c r="AN38" i="15"/>
  <c r="DW31" i="15"/>
  <c r="DX31" i="15" s="1"/>
  <c r="DU31" i="15"/>
  <c r="DT31" i="15"/>
  <c r="DS31" i="15"/>
  <c r="DR31" i="15"/>
  <c r="DQ31" i="15"/>
  <c r="DP31" i="15"/>
  <c r="DO31" i="15"/>
  <c r="DN31" i="15"/>
  <c r="DM31" i="15"/>
  <c r="DL31" i="15"/>
  <c r="DK31" i="15"/>
  <c r="DJ31" i="15"/>
  <c r="DI31" i="15"/>
  <c r="DH31" i="15"/>
  <c r="DG31" i="15"/>
  <c r="DF31" i="15"/>
  <c r="DE31" i="15"/>
  <c r="CU31" i="15"/>
  <c r="CW31" i="15" s="1"/>
  <c r="AD70" i="7" s="1"/>
  <c r="CR31" i="15"/>
  <c r="CT31" i="15" s="1"/>
  <c r="AA70" i="7" s="1"/>
  <c r="CN31" i="15"/>
  <c r="CP31" i="15" s="1"/>
  <c r="AC70" i="7" s="1"/>
  <c r="CK31" i="15"/>
  <c r="CM31" i="15" s="1"/>
  <c r="HW66" i="3" s="1"/>
  <c r="CF31" i="15"/>
  <c r="CH31" i="15" s="1"/>
  <c r="CB31" i="15"/>
  <c r="CD31" i="15" s="1"/>
  <c r="BY31" i="15"/>
  <c r="CA31" i="15" s="1"/>
  <c r="BV31" i="15"/>
  <c r="BX31" i="15" s="1"/>
  <c r="BS31" i="15"/>
  <c r="BU31" i="15" s="1"/>
  <c r="BP31" i="15"/>
  <c r="BR31" i="15" s="1"/>
  <c r="BJ31" i="15"/>
  <c r="BL31" i="15" s="1"/>
  <c r="BG31" i="15"/>
  <c r="BI31" i="15" s="1"/>
  <c r="BD31" i="15"/>
  <c r="BF31" i="15" s="1"/>
  <c r="BA31" i="15"/>
  <c r="BC31" i="15" s="1"/>
  <c r="AX31" i="15"/>
  <c r="AZ31" i="15" s="1"/>
  <c r="AU31" i="15"/>
  <c r="AW31" i="15" s="1"/>
  <c r="AR31" i="15"/>
  <c r="AT31" i="15" s="1"/>
  <c r="DW30" i="15"/>
  <c r="DX30" i="15" s="1"/>
  <c r="DU30" i="15"/>
  <c r="DT30" i="15"/>
  <c r="DS30" i="15"/>
  <c r="DR30" i="15"/>
  <c r="DQ30" i="15"/>
  <c r="DP30" i="15"/>
  <c r="DO30" i="15"/>
  <c r="DN30" i="15"/>
  <c r="DM30" i="15"/>
  <c r="DL30" i="15"/>
  <c r="DK30" i="15"/>
  <c r="DJ30" i="15"/>
  <c r="DI30" i="15"/>
  <c r="DH30" i="15"/>
  <c r="DG30" i="15"/>
  <c r="DF30" i="15"/>
  <c r="DE30" i="15"/>
  <c r="CU30" i="15"/>
  <c r="CW30" i="15" s="1"/>
  <c r="AD69" i="7" s="1"/>
  <c r="CR30" i="15"/>
  <c r="CT30" i="15" s="1"/>
  <c r="AA69" i="7" s="1"/>
  <c r="CN30" i="15"/>
  <c r="CP30" i="15" s="1"/>
  <c r="AC69" i="7" s="1"/>
  <c r="CK30" i="15"/>
  <c r="CM30" i="15" s="1"/>
  <c r="HW65" i="3" s="1"/>
  <c r="CF30" i="15"/>
  <c r="CH30" i="15" s="1"/>
  <c r="CB30" i="15"/>
  <c r="CD30" i="15" s="1"/>
  <c r="BY30" i="15"/>
  <c r="CA30" i="15" s="1"/>
  <c r="BV30" i="15"/>
  <c r="BX30" i="15" s="1"/>
  <c r="BS30" i="15"/>
  <c r="BU30" i="15" s="1"/>
  <c r="BP30" i="15"/>
  <c r="BR30" i="15" s="1"/>
  <c r="BJ30" i="15"/>
  <c r="BL30" i="15" s="1"/>
  <c r="BG30" i="15"/>
  <c r="BI30" i="15" s="1"/>
  <c r="BD30" i="15"/>
  <c r="BF30" i="15" s="1"/>
  <c r="BA30" i="15"/>
  <c r="BC30" i="15" s="1"/>
  <c r="AX30" i="15"/>
  <c r="AZ30" i="15" s="1"/>
  <c r="AU30" i="15"/>
  <c r="AW30" i="15" s="1"/>
  <c r="AR30" i="15"/>
  <c r="AT30" i="15" s="1"/>
  <c r="DW29" i="15"/>
  <c r="DX29" i="15" s="1"/>
  <c r="DU29" i="15"/>
  <c r="DT29" i="15"/>
  <c r="DS29" i="15"/>
  <c r="DR29" i="15"/>
  <c r="DQ29" i="15"/>
  <c r="DP29" i="15"/>
  <c r="DO29" i="15"/>
  <c r="DN29" i="15"/>
  <c r="DM29" i="15"/>
  <c r="DL29" i="15"/>
  <c r="DK29" i="15"/>
  <c r="DJ29" i="15"/>
  <c r="DI29" i="15"/>
  <c r="DH29" i="15"/>
  <c r="DG29" i="15"/>
  <c r="DF29" i="15"/>
  <c r="DE29" i="15"/>
  <c r="CU29" i="15"/>
  <c r="CW29" i="15" s="1"/>
  <c r="AD68" i="7" s="1"/>
  <c r="CR29" i="15"/>
  <c r="CT29" i="15" s="1"/>
  <c r="AA68" i="7" s="1"/>
  <c r="CN29" i="15"/>
  <c r="CP29" i="15" s="1"/>
  <c r="AC68" i="7" s="1"/>
  <c r="CK29" i="15"/>
  <c r="CM29" i="15" s="1"/>
  <c r="HW64" i="3" s="1"/>
  <c r="CF29" i="15"/>
  <c r="CH29" i="15" s="1"/>
  <c r="CB29" i="15"/>
  <c r="CD29" i="15" s="1"/>
  <c r="BY29" i="15"/>
  <c r="CA29" i="15" s="1"/>
  <c r="BV29" i="15"/>
  <c r="BX29" i="15" s="1"/>
  <c r="BS29" i="15"/>
  <c r="BU29" i="15" s="1"/>
  <c r="BP29" i="15"/>
  <c r="BR29" i="15" s="1"/>
  <c r="BJ29" i="15"/>
  <c r="BL29" i="15" s="1"/>
  <c r="BG29" i="15"/>
  <c r="BI29" i="15" s="1"/>
  <c r="BD29" i="15"/>
  <c r="BF29" i="15" s="1"/>
  <c r="BA29" i="15"/>
  <c r="BC29" i="15" s="1"/>
  <c r="AX29" i="15"/>
  <c r="AZ29" i="15" s="1"/>
  <c r="AU29" i="15"/>
  <c r="AW29" i="15" s="1"/>
  <c r="AR29" i="15"/>
  <c r="AT29" i="15" s="1"/>
  <c r="DU28" i="15"/>
  <c r="DT28" i="15"/>
  <c r="DS28" i="15"/>
  <c r="DR28" i="15"/>
  <c r="DQ28" i="15"/>
  <c r="DP28" i="15"/>
  <c r="DO28" i="15"/>
  <c r="DN28" i="15"/>
  <c r="DM28" i="15"/>
  <c r="DL28" i="15"/>
  <c r="DK28" i="15"/>
  <c r="DJ28" i="15"/>
  <c r="DI28" i="15"/>
  <c r="DH28" i="15"/>
  <c r="DG28" i="15"/>
  <c r="DF28" i="15"/>
  <c r="DE28" i="15"/>
  <c r="CU28" i="15"/>
  <c r="CW28" i="15" s="1"/>
  <c r="AD67" i="7" s="1"/>
  <c r="CR28" i="15"/>
  <c r="CT28" i="15" s="1"/>
  <c r="AA67" i="7" s="1"/>
  <c r="CN28" i="15"/>
  <c r="CP28" i="15" s="1"/>
  <c r="AC67" i="7" s="1"/>
  <c r="CK28" i="15"/>
  <c r="CM28" i="15" s="1"/>
  <c r="HW63" i="3" s="1"/>
  <c r="CF28" i="15"/>
  <c r="CH28" i="15" s="1"/>
  <c r="CB28" i="15"/>
  <c r="CD28" i="15" s="1"/>
  <c r="BY28" i="15"/>
  <c r="CA28" i="15" s="1"/>
  <c r="BV28" i="15"/>
  <c r="BX28" i="15" s="1"/>
  <c r="BS28" i="15"/>
  <c r="BU28" i="15" s="1"/>
  <c r="BP28" i="15"/>
  <c r="BR28" i="15" s="1"/>
  <c r="BJ28" i="15"/>
  <c r="BL28" i="15" s="1"/>
  <c r="BG28" i="15"/>
  <c r="BI28" i="15" s="1"/>
  <c r="BD28" i="15"/>
  <c r="BF28" i="15" s="1"/>
  <c r="BA28" i="15"/>
  <c r="BC28" i="15" s="1"/>
  <c r="AX28" i="15"/>
  <c r="AZ28" i="15" s="1"/>
  <c r="AU28" i="15"/>
  <c r="AW28" i="15" s="1"/>
  <c r="AR28" i="15"/>
  <c r="AT28" i="15" s="1"/>
  <c r="DW27" i="15"/>
  <c r="DX27" i="15" s="1"/>
  <c r="DU27" i="15"/>
  <c r="DT27" i="15"/>
  <c r="DS27" i="15"/>
  <c r="DR27" i="15"/>
  <c r="DQ27" i="15"/>
  <c r="DP27" i="15"/>
  <c r="DO27" i="15"/>
  <c r="DN27" i="15"/>
  <c r="DM27" i="15"/>
  <c r="DL27" i="15"/>
  <c r="DK27" i="15"/>
  <c r="DJ27" i="15"/>
  <c r="DI27" i="15"/>
  <c r="DH27" i="15"/>
  <c r="DG27" i="15"/>
  <c r="DF27" i="15"/>
  <c r="DE27" i="15"/>
  <c r="CU27" i="15"/>
  <c r="CW27" i="15" s="1"/>
  <c r="AD66" i="7" s="1"/>
  <c r="CR27" i="15"/>
  <c r="CT27" i="15" s="1"/>
  <c r="AA66" i="7" s="1"/>
  <c r="CN27" i="15"/>
  <c r="CP27" i="15" s="1"/>
  <c r="AC66" i="7" s="1"/>
  <c r="CK27" i="15"/>
  <c r="CM27" i="15" s="1"/>
  <c r="HW62" i="3" s="1"/>
  <c r="CF27" i="15"/>
  <c r="CH27" i="15" s="1"/>
  <c r="CB27" i="15"/>
  <c r="CD27" i="15" s="1"/>
  <c r="BY27" i="15"/>
  <c r="CA27" i="15" s="1"/>
  <c r="BV27" i="15"/>
  <c r="BX27" i="15" s="1"/>
  <c r="BS27" i="15"/>
  <c r="BU27" i="15" s="1"/>
  <c r="BP27" i="15"/>
  <c r="BR27" i="15" s="1"/>
  <c r="BJ27" i="15"/>
  <c r="BL27" i="15" s="1"/>
  <c r="BG27" i="15"/>
  <c r="BI27" i="15" s="1"/>
  <c r="BD27" i="15"/>
  <c r="BF27" i="15" s="1"/>
  <c r="BA27" i="15"/>
  <c r="BC27" i="15" s="1"/>
  <c r="AX27" i="15"/>
  <c r="AZ27" i="15" s="1"/>
  <c r="AU27" i="15"/>
  <c r="AW27" i="15" s="1"/>
  <c r="AR27" i="15"/>
  <c r="AT27" i="15" s="1"/>
  <c r="DW26" i="15"/>
  <c r="DX26" i="15" s="1"/>
  <c r="DU26" i="15"/>
  <c r="DT26" i="15"/>
  <c r="DS26" i="15"/>
  <c r="DR26" i="15"/>
  <c r="DQ26" i="15"/>
  <c r="DP26" i="15"/>
  <c r="DO26" i="15"/>
  <c r="DN26" i="15"/>
  <c r="DM26" i="15"/>
  <c r="DL26" i="15"/>
  <c r="DK26" i="15"/>
  <c r="DJ26" i="15"/>
  <c r="DI26" i="15"/>
  <c r="DH26" i="15"/>
  <c r="DG26" i="15"/>
  <c r="DF26" i="15"/>
  <c r="DE26" i="15"/>
  <c r="CU26" i="15"/>
  <c r="CW26" i="15" s="1"/>
  <c r="AD65" i="7" s="1"/>
  <c r="CR26" i="15"/>
  <c r="CT26" i="15" s="1"/>
  <c r="AA65" i="7" s="1"/>
  <c r="CN26" i="15"/>
  <c r="CP26" i="15" s="1"/>
  <c r="AC65" i="7" s="1"/>
  <c r="CK26" i="15"/>
  <c r="CM26" i="15" s="1"/>
  <c r="HW61" i="3" s="1"/>
  <c r="CF26" i="15"/>
  <c r="CH26" i="15" s="1"/>
  <c r="CB26" i="15"/>
  <c r="CD26" i="15" s="1"/>
  <c r="BY26" i="15"/>
  <c r="CA26" i="15" s="1"/>
  <c r="BV26" i="15"/>
  <c r="BX26" i="15" s="1"/>
  <c r="BS26" i="15"/>
  <c r="BU26" i="15" s="1"/>
  <c r="BP26" i="15"/>
  <c r="BR26" i="15" s="1"/>
  <c r="BJ26" i="15"/>
  <c r="BL26" i="15" s="1"/>
  <c r="BG26" i="15"/>
  <c r="BI26" i="15" s="1"/>
  <c r="BD26" i="15"/>
  <c r="BF26" i="15" s="1"/>
  <c r="BA26" i="15"/>
  <c r="BC26" i="15" s="1"/>
  <c r="AX26" i="15"/>
  <c r="AZ26" i="15" s="1"/>
  <c r="AU26" i="15"/>
  <c r="AW26" i="15" s="1"/>
  <c r="AR26" i="15"/>
  <c r="AT26" i="15" s="1"/>
  <c r="DW25" i="15"/>
  <c r="DX25" i="15" s="1"/>
  <c r="DU25" i="15"/>
  <c r="DT25" i="15"/>
  <c r="DS25" i="15"/>
  <c r="DR25" i="15"/>
  <c r="DQ25" i="15"/>
  <c r="DP25" i="15"/>
  <c r="DO25" i="15"/>
  <c r="DN25" i="15"/>
  <c r="DM25" i="15"/>
  <c r="DL25" i="15"/>
  <c r="DK25" i="15"/>
  <c r="DJ25" i="15"/>
  <c r="DI25" i="15"/>
  <c r="DH25" i="15"/>
  <c r="DG25" i="15"/>
  <c r="DF25" i="15"/>
  <c r="DE25" i="15"/>
  <c r="CU25" i="15"/>
  <c r="CW25" i="15" s="1"/>
  <c r="AD64" i="7" s="1"/>
  <c r="CR25" i="15"/>
  <c r="CT25" i="15" s="1"/>
  <c r="AA64" i="7" s="1"/>
  <c r="CN25" i="15"/>
  <c r="CP25" i="15" s="1"/>
  <c r="AC64" i="7" s="1"/>
  <c r="CK25" i="15"/>
  <c r="CM25" i="15" s="1"/>
  <c r="HW60" i="3" s="1"/>
  <c r="CF25" i="15"/>
  <c r="CH25" i="15" s="1"/>
  <c r="CB25" i="15"/>
  <c r="CD25" i="15" s="1"/>
  <c r="BY25" i="15"/>
  <c r="CA25" i="15" s="1"/>
  <c r="BV25" i="15"/>
  <c r="BX25" i="15" s="1"/>
  <c r="BS25" i="15"/>
  <c r="BU25" i="15" s="1"/>
  <c r="BP25" i="15"/>
  <c r="BR25" i="15" s="1"/>
  <c r="BJ25" i="15"/>
  <c r="BL25" i="15" s="1"/>
  <c r="BG25" i="15"/>
  <c r="BI25" i="15" s="1"/>
  <c r="BD25" i="15"/>
  <c r="BF25" i="15" s="1"/>
  <c r="BA25" i="15"/>
  <c r="BC25" i="15" s="1"/>
  <c r="AX25" i="15"/>
  <c r="AZ25" i="15" s="1"/>
  <c r="AU25" i="15"/>
  <c r="AW25" i="15" s="1"/>
  <c r="AR25" i="15"/>
  <c r="AT25" i="15" s="1"/>
  <c r="DW24" i="15"/>
  <c r="DX24" i="15" s="1"/>
  <c r="DU24" i="15"/>
  <c r="DT24" i="15"/>
  <c r="DS24" i="15"/>
  <c r="DR24" i="15"/>
  <c r="DQ24" i="15"/>
  <c r="DP24" i="15"/>
  <c r="DO24" i="15"/>
  <c r="DN24" i="15"/>
  <c r="DM24" i="15"/>
  <c r="DL24" i="15"/>
  <c r="DK24" i="15"/>
  <c r="DJ24" i="15"/>
  <c r="DI24" i="15"/>
  <c r="DH24" i="15"/>
  <c r="DG24" i="15"/>
  <c r="DF24" i="15"/>
  <c r="DE24" i="15"/>
  <c r="CU24" i="15"/>
  <c r="CW24" i="15" s="1"/>
  <c r="AD63" i="7" s="1"/>
  <c r="CR24" i="15"/>
  <c r="CT24" i="15" s="1"/>
  <c r="AA63" i="7" s="1"/>
  <c r="CN24" i="15"/>
  <c r="CP24" i="15" s="1"/>
  <c r="AC63" i="7" s="1"/>
  <c r="CK24" i="15"/>
  <c r="CM24" i="15" s="1"/>
  <c r="HW59" i="3" s="1"/>
  <c r="CF24" i="15"/>
  <c r="CH24" i="15" s="1"/>
  <c r="CB24" i="15"/>
  <c r="CD24" i="15" s="1"/>
  <c r="BY24" i="15"/>
  <c r="CA24" i="15" s="1"/>
  <c r="BV24" i="15"/>
  <c r="BX24" i="15" s="1"/>
  <c r="BS24" i="15"/>
  <c r="BU24" i="15" s="1"/>
  <c r="BP24" i="15"/>
  <c r="BR24" i="15" s="1"/>
  <c r="BJ24" i="15"/>
  <c r="BL24" i="15" s="1"/>
  <c r="BG24" i="15"/>
  <c r="BI24" i="15" s="1"/>
  <c r="BD24" i="15"/>
  <c r="BF24" i="15" s="1"/>
  <c r="BA24" i="15"/>
  <c r="BC24" i="15" s="1"/>
  <c r="AX24" i="15"/>
  <c r="AZ24" i="15" s="1"/>
  <c r="AU24" i="15"/>
  <c r="AW24" i="15" s="1"/>
  <c r="AR24" i="15"/>
  <c r="AT24" i="15" s="1"/>
  <c r="DW23" i="15"/>
  <c r="DX23" i="15" s="1"/>
  <c r="DU23" i="15"/>
  <c r="DT23" i="15"/>
  <c r="DS23" i="15"/>
  <c r="DR23" i="15"/>
  <c r="DQ23" i="15"/>
  <c r="DP23" i="15"/>
  <c r="DO23" i="15"/>
  <c r="DN23" i="15"/>
  <c r="DM23" i="15"/>
  <c r="DL23" i="15"/>
  <c r="DK23" i="15"/>
  <c r="DJ23" i="15"/>
  <c r="DI23" i="15"/>
  <c r="DH23" i="15"/>
  <c r="DG23" i="15"/>
  <c r="DF23" i="15"/>
  <c r="DE23" i="15"/>
  <c r="CU23" i="15"/>
  <c r="CW23" i="15" s="1"/>
  <c r="AD62" i="7" s="1"/>
  <c r="CR23" i="15"/>
  <c r="CT23" i="15" s="1"/>
  <c r="AA62" i="7" s="1"/>
  <c r="CN23" i="15"/>
  <c r="CP23" i="15" s="1"/>
  <c r="AC62" i="7" s="1"/>
  <c r="CK23" i="15"/>
  <c r="CM23" i="15" s="1"/>
  <c r="HW58" i="3" s="1"/>
  <c r="CF23" i="15"/>
  <c r="CH23" i="15" s="1"/>
  <c r="CB23" i="15"/>
  <c r="CD23" i="15" s="1"/>
  <c r="BY23" i="15"/>
  <c r="CA23" i="15" s="1"/>
  <c r="BV23" i="15"/>
  <c r="BX23" i="15" s="1"/>
  <c r="BS23" i="15"/>
  <c r="BU23" i="15" s="1"/>
  <c r="BP23" i="15"/>
  <c r="BR23" i="15" s="1"/>
  <c r="BJ23" i="15"/>
  <c r="BL23" i="15" s="1"/>
  <c r="BG23" i="15"/>
  <c r="BI23" i="15" s="1"/>
  <c r="BD23" i="15"/>
  <c r="BF23" i="15" s="1"/>
  <c r="BA23" i="15"/>
  <c r="BC23" i="15" s="1"/>
  <c r="AX23" i="15"/>
  <c r="AZ23" i="15" s="1"/>
  <c r="AU23" i="15"/>
  <c r="AW23" i="15" s="1"/>
  <c r="AR23" i="15"/>
  <c r="AT23" i="15" s="1"/>
  <c r="DW22" i="15"/>
  <c r="DX22" i="15" s="1"/>
  <c r="DU22" i="15"/>
  <c r="DT22" i="15"/>
  <c r="DS22" i="15"/>
  <c r="DR22" i="15"/>
  <c r="DQ22" i="15"/>
  <c r="DP22" i="15"/>
  <c r="DO22" i="15"/>
  <c r="DN22" i="15"/>
  <c r="DM22" i="15"/>
  <c r="DL22" i="15"/>
  <c r="DK22" i="15"/>
  <c r="DJ22" i="15"/>
  <c r="DI22" i="15"/>
  <c r="DH22" i="15"/>
  <c r="DG22" i="15"/>
  <c r="DF22" i="15"/>
  <c r="DE22" i="15"/>
  <c r="CU22" i="15"/>
  <c r="CW22" i="15" s="1"/>
  <c r="AD61" i="7" s="1"/>
  <c r="CR22" i="15"/>
  <c r="CT22" i="15" s="1"/>
  <c r="AA61" i="7" s="1"/>
  <c r="CN22" i="15"/>
  <c r="CP22" i="15" s="1"/>
  <c r="AC61" i="7" s="1"/>
  <c r="CK22" i="15"/>
  <c r="CM22" i="15" s="1"/>
  <c r="HW57" i="3" s="1"/>
  <c r="CF22" i="15"/>
  <c r="CH22" i="15" s="1"/>
  <c r="CB22" i="15"/>
  <c r="CD22" i="15" s="1"/>
  <c r="BY22" i="15"/>
  <c r="CA22" i="15" s="1"/>
  <c r="BV22" i="15"/>
  <c r="BX22" i="15" s="1"/>
  <c r="BS22" i="15"/>
  <c r="BU22" i="15" s="1"/>
  <c r="BP22" i="15"/>
  <c r="BR22" i="15" s="1"/>
  <c r="BJ22" i="15"/>
  <c r="BL22" i="15" s="1"/>
  <c r="BG22" i="15"/>
  <c r="BI22" i="15" s="1"/>
  <c r="BD22" i="15"/>
  <c r="BF22" i="15" s="1"/>
  <c r="BA22" i="15"/>
  <c r="BC22" i="15" s="1"/>
  <c r="AX22" i="15"/>
  <c r="AZ22" i="15" s="1"/>
  <c r="AU22" i="15"/>
  <c r="AW22" i="15" s="1"/>
  <c r="AR22" i="15"/>
  <c r="AT22" i="15" s="1"/>
  <c r="DW21" i="15"/>
  <c r="DX21" i="15" s="1"/>
  <c r="DU21" i="15"/>
  <c r="DT21" i="15"/>
  <c r="DS21" i="15"/>
  <c r="DR21" i="15"/>
  <c r="DQ21" i="15"/>
  <c r="DP21" i="15"/>
  <c r="DO21" i="15"/>
  <c r="DN21" i="15"/>
  <c r="DM21" i="15"/>
  <c r="DL21" i="15"/>
  <c r="DK21" i="15"/>
  <c r="DJ21" i="15"/>
  <c r="DI21" i="15"/>
  <c r="DH21" i="15"/>
  <c r="DG21" i="15"/>
  <c r="DF21" i="15"/>
  <c r="DE21" i="15"/>
  <c r="CU21" i="15"/>
  <c r="CW21" i="15" s="1"/>
  <c r="AD60" i="7" s="1"/>
  <c r="CR21" i="15"/>
  <c r="CT21" i="15" s="1"/>
  <c r="AA60" i="7" s="1"/>
  <c r="CN21" i="15"/>
  <c r="CP21" i="15" s="1"/>
  <c r="AC60" i="7" s="1"/>
  <c r="CK21" i="15"/>
  <c r="CM21" i="15" s="1"/>
  <c r="HW56" i="3" s="1"/>
  <c r="CF21" i="15"/>
  <c r="CH21" i="15" s="1"/>
  <c r="CB21" i="15"/>
  <c r="CD21" i="15" s="1"/>
  <c r="BY21" i="15"/>
  <c r="CA21" i="15" s="1"/>
  <c r="BV21" i="15"/>
  <c r="BX21" i="15" s="1"/>
  <c r="BS21" i="15"/>
  <c r="BU21" i="15" s="1"/>
  <c r="BP21" i="15"/>
  <c r="BR21" i="15" s="1"/>
  <c r="BJ21" i="15"/>
  <c r="BL21" i="15" s="1"/>
  <c r="BG21" i="15"/>
  <c r="BI21" i="15" s="1"/>
  <c r="BD21" i="15"/>
  <c r="BF21" i="15" s="1"/>
  <c r="BA21" i="15"/>
  <c r="BC21" i="15" s="1"/>
  <c r="AX21" i="15"/>
  <c r="AZ21" i="15" s="1"/>
  <c r="AU21" i="15"/>
  <c r="AW21" i="15" s="1"/>
  <c r="AR21" i="15"/>
  <c r="AT21" i="15" s="1"/>
  <c r="DU20" i="15"/>
  <c r="DT20" i="15"/>
  <c r="DS20" i="15"/>
  <c r="DR20" i="15"/>
  <c r="DQ20" i="15"/>
  <c r="DP20" i="15"/>
  <c r="DO20" i="15"/>
  <c r="DN20" i="15"/>
  <c r="DM20" i="15"/>
  <c r="DL20" i="15"/>
  <c r="DK20" i="15"/>
  <c r="DJ20" i="15"/>
  <c r="DI20" i="15"/>
  <c r="DH20" i="15"/>
  <c r="DG20" i="15"/>
  <c r="DF20" i="15"/>
  <c r="DE20" i="15"/>
  <c r="CU20" i="15"/>
  <c r="CW20" i="15" s="1"/>
  <c r="AD59" i="7" s="1"/>
  <c r="CR20" i="15"/>
  <c r="CT20" i="15" s="1"/>
  <c r="AA59" i="7" s="1"/>
  <c r="CN20" i="15"/>
  <c r="CP20" i="15" s="1"/>
  <c r="AC59" i="7" s="1"/>
  <c r="CK20" i="15"/>
  <c r="CM20" i="15" s="1"/>
  <c r="HW55" i="3" s="1"/>
  <c r="CF20" i="15"/>
  <c r="CH20" i="15" s="1"/>
  <c r="CB20" i="15"/>
  <c r="CD20" i="15" s="1"/>
  <c r="BY20" i="15"/>
  <c r="CA20" i="15" s="1"/>
  <c r="BV20" i="15"/>
  <c r="BX20" i="15" s="1"/>
  <c r="BS20" i="15"/>
  <c r="BU20" i="15" s="1"/>
  <c r="BP20" i="15"/>
  <c r="BR20" i="15" s="1"/>
  <c r="BJ20" i="15"/>
  <c r="BL20" i="15" s="1"/>
  <c r="BG20" i="15"/>
  <c r="BI20" i="15" s="1"/>
  <c r="BD20" i="15"/>
  <c r="BF20" i="15" s="1"/>
  <c r="BA20" i="15"/>
  <c r="BC20" i="15" s="1"/>
  <c r="AX20" i="15"/>
  <c r="AZ20" i="15" s="1"/>
  <c r="AU20" i="15"/>
  <c r="AW20" i="15" s="1"/>
  <c r="AR20" i="15"/>
  <c r="AT20" i="15" s="1"/>
  <c r="DW15" i="15"/>
  <c r="DX15" i="15" s="1"/>
  <c r="DW14" i="15"/>
  <c r="DX14" i="15" s="1"/>
  <c r="DE14" i="15"/>
  <c r="DD14" i="15" s="1"/>
  <c r="AR14" i="15"/>
  <c r="AT14" i="15" s="1"/>
  <c r="DW13" i="15"/>
  <c r="DX13" i="15" s="1"/>
  <c r="DE13" i="15"/>
  <c r="DD13" i="15" s="1"/>
  <c r="AR13" i="15"/>
  <c r="AT13" i="15" s="1"/>
  <c r="DE12" i="15"/>
  <c r="DD12" i="15" s="1"/>
  <c r="AR12" i="15"/>
  <c r="AT12" i="15" s="1"/>
  <c r="DW11" i="15"/>
  <c r="DX11" i="15" s="1"/>
  <c r="DE11" i="15"/>
  <c r="DD11" i="15" s="1"/>
  <c r="AR11" i="15"/>
  <c r="AT11" i="15" s="1"/>
  <c r="DW9" i="15"/>
  <c r="DE9" i="15"/>
  <c r="DD9" i="15" s="1"/>
  <c r="AR9" i="15"/>
  <c r="AT9" i="15" s="1"/>
  <c r="DD57" i="15" l="1"/>
  <c r="BG57" i="15" s="1"/>
  <c r="FY57" i="3"/>
  <c r="FY59" i="3"/>
  <c r="FY55" i="3"/>
  <c r="CO56" i="3"/>
  <c r="FY56" i="3"/>
  <c r="CO57" i="3"/>
  <c r="FY60" i="3"/>
  <c r="FY62" i="3"/>
  <c r="FY58" i="3"/>
  <c r="FY61" i="3"/>
  <c r="FY73" i="3"/>
  <c r="FY78" i="3"/>
  <c r="FY74" i="3"/>
  <c r="FY71" i="3"/>
  <c r="CO72" i="3"/>
  <c r="FY72" i="3"/>
  <c r="FY76" i="3"/>
  <c r="FY75" i="3"/>
  <c r="FY77" i="3"/>
  <c r="DD61" i="16"/>
  <c r="BG61" i="16" s="1"/>
  <c r="CE28" i="16"/>
  <c r="BM25" i="16"/>
  <c r="Z88" i="7" s="1"/>
  <c r="DD52" i="16"/>
  <c r="BG52" i="16" s="1"/>
  <c r="DD63" i="16"/>
  <c r="BG63" i="16" s="1"/>
  <c r="CH73" i="3"/>
  <c r="CC73" i="3"/>
  <c r="CH72" i="3"/>
  <c r="CC72" i="3"/>
  <c r="CH76" i="3"/>
  <c r="CC76" i="3"/>
  <c r="DD56" i="16"/>
  <c r="BG56" i="16" s="1"/>
  <c r="BM42" i="16"/>
  <c r="CF76" i="3" s="1"/>
  <c r="CH79" i="3"/>
  <c r="CC79" i="3"/>
  <c r="DD42" i="16"/>
  <c r="CX42" i="16" s="1"/>
  <c r="CH77" i="3"/>
  <c r="CC77" i="3"/>
  <c r="CE42" i="16"/>
  <c r="CH75" i="3"/>
  <c r="CC75" i="3"/>
  <c r="DD54" i="16"/>
  <c r="BG54" i="16" s="1"/>
  <c r="DD23" i="16"/>
  <c r="CX23" i="16" s="1"/>
  <c r="CH74" i="3"/>
  <c r="CC74" i="3"/>
  <c r="CH78" i="3"/>
  <c r="CC78" i="3"/>
  <c r="CE29" i="15"/>
  <c r="DD56" i="15"/>
  <c r="BG56" i="15" s="1"/>
  <c r="DD63" i="15"/>
  <c r="BG63" i="15" s="1"/>
  <c r="DD54" i="15"/>
  <c r="BG54" i="15" s="1"/>
  <c r="CH61" i="3"/>
  <c r="CC61" i="3"/>
  <c r="DD27" i="15"/>
  <c r="CX27" i="15" s="1"/>
  <c r="CH57" i="3"/>
  <c r="CC57" i="3"/>
  <c r="DD58" i="15"/>
  <c r="BG58" i="15" s="1"/>
  <c r="BM27" i="15"/>
  <c r="BN27" i="15" s="1"/>
  <c r="BM28" i="15"/>
  <c r="Z67" i="7" s="1"/>
  <c r="CH62" i="3"/>
  <c r="CC62" i="3"/>
  <c r="CH56" i="3"/>
  <c r="CC56" i="3"/>
  <c r="CH63" i="3"/>
  <c r="CC63" i="3"/>
  <c r="CH59" i="3"/>
  <c r="CC59" i="3"/>
  <c r="CE44" i="15"/>
  <c r="DD60" i="15"/>
  <c r="BG60" i="15" s="1"/>
  <c r="CH58" i="3"/>
  <c r="CC58" i="3"/>
  <c r="CH60" i="3"/>
  <c r="CC60" i="3"/>
  <c r="CE25" i="16"/>
  <c r="AH92" i="7"/>
  <c r="HV80" i="3"/>
  <c r="CE39" i="16"/>
  <c r="DD45" i="16"/>
  <c r="CX45" i="16" s="1"/>
  <c r="HV78" i="3"/>
  <c r="AH90" i="7"/>
  <c r="DD40" i="16"/>
  <c r="CX40" i="16" s="1"/>
  <c r="AR15" i="16"/>
  <c r="DD25" i="16"/>
  <c r="CX25" i="16" s="1"/>
  <c r="AH86" i="7"/>
  <c r="HV74" i="3"/>
  <c r="DD31" i="16"/>
  <c r="CX31" i="16" s="1"/>
  <c r="DD55" i="16"/>
  <c r="BG55" i="16" s="1"/>
  <c r="DD60" i="16"/>
  <c r="BG60" i="16" s="1"/>
  <c r="AH94" i="7"/>
  <c r="HV82" i="3"/>
  <c r="AH91" i="7"/>
  <c r="HV79" i="3"/>
  <c r="HV77" i="3"/>
  <c r="AH89" i="7"/>
  <c r="BM44" i="16"/>
  <c r="BN44" i="16" s="1"/>
  <c r="CA78" i="3" s="1"/>
  <c r="BM28" i="16"/>
  <c r="Z91" i="7" s="1"/>
  <c r="DD41" i="16"/>
  <c r="CX41" i="16" s="1"/>
  <c r="AH85" i="7"/>
  <c r="HV73" i="3"/>
  <c r="DD58" i="16"/>
  <c r="BG58" i="16" s="1"/>
  <c r="DD59" i="16"/>
  <c r="BG59" i="16" s="1"/>
  <c r="DD24" i="16"/>
  <c r="CX24" i="16" s="1"/>
  <c r="AH93" i="7"/>
  <c r="HV81" i="3"/>
  <c r="AH87" i="7"/>
  <c r="HV75" i="3"/>
  <c r="DD22" i="16"/>
  <c r="CX22" i="16" s="1"/>
  <c r="CE23" i="16"/>
  <c r="DD27" i="16"/>
  <c r="CX27" i="16" s="1"/>
  <c r="DD30" i="16"/>
  <c r="CX30" i="16" s="1"/>
  <c r="CE27" i="16"/>
  <c r="DD43" i="16"/>
  <c r="CX43" i="16" s="1"/>
  <c r="HV76" i="3"/>
  <c r="AH88" i="7"/>
  <c r="DD62" i="16"/>
  <c r="BG62" i="16" s="1"/>
  <c r="DD28" i="16"/>
  <c r="CX28" i="16" s="1"/>
  <c r="DD44" i="16"/>
  <c r="CX44" i="16" s="1"/>
  <c r="DD57" i="16"/>
  <c r="BG57" i="16" s="1"/>
  <c r="BM23" i="16"/>
  <c r="DD26" i="16"/>
  <c r="CX26" i="16" s="1"/>
  <c r="DD29" i="16"/>
  <c r="CX29" i="16" s="1"/>
  <c r="CE44" i="16"/>
  <c r="AH70" i="7"/>
  <c r="HV66" i="3"/>
  <c r="HV64" i="3"/>
  <c r="AH68" i="7"/>
  <c r="BM39" i="15"/>
  <c r="CF57" i="3" s="1"/>
  <c r="BM31" i="15"/>
  <c r="CE25" i="15"/>
  <c r="BM40" i="15"/>
  <c r="BN40" i="15" s="1"/>
  <c r="CA58" i="3" s="1"/>
  <c r="DD55" i="15"/>
  <c r="BG55" i="15" s="1"/>
  <c r="HV61" i="3"/>
  <c r="AH65" i="7"/>
  <c r="DD42" i="15"/>
  <c r="CX42" i="15" s="1"/>
  <c r="DD53" i="15"/>
  <c r="BG53" i="15" s="1"/>
  <c r="DD62" i="15"/>
  <c r="BG62" i="15" s="1"/>
  <c r="AH69" i="7"/>
  <c r="HV65" i="3"/>
  <c r="BM25" i="15"/>
  <c r="BN25" i="15" s="1"/>
  <c r="CE31" i="15"/>
  <c r="HV60" i="3"/>
  <c r="AH64" i="7"/>
  <c r="DD40" i="15"/>
  <c r="CX40" i="15" s="1"/>
  <c r="DD23" i="15"/>
  <c r="CX23" i="15" s="1"/>
  <c r="DD29" i="15"/>
  <c r="CX29" i="15" s="1"/>
  <c r="DD61" i="15"/>
  <c r="BG61" i="15" s="1"/>
  <c r="HV59" i="3"/>
  <c r="AH63" i="7"/>
  <c r="AH67" i="7"/>
  <c r="HV63" i="3"/>
  <c r="CE22" i="15"/>
  <c r="CE30" i="15"/>
  <c r="DD25" i="15"/>
  <c r="CX25" i="15" s="1"/>
  <c r="DD24" i="15"/>
  <c r="CX24" i="15" s="1"/>
  <c r="CE28" i="15"/>
  <c r="DD28" i="15"/>
  <c r="CX28" i="15" s="1"/>
  <c r="DD31" i="15"/>
  <c r="CX31" i="15" s="1"/>
  <c r="DD43" i="15"/>
  <c r="CX43" i="15" s="1"/>
  <c r="DD26" i="15"/>
  <c r="CX26" i="15" s="1"/>
  <c r="HV58" i="3"/>
  <c r="AH62" i="7"/>
  <c r="HV62" i="3"/>
  <c r="AH66" i="7"/>
  <c r="BM23" i="15"/>
  <c r="Z62" i="7" s="1"/>
  <c r="CE45" i="15"/>
  <c r="HV57" i="3"/>
  <c r="AH61" i="7"/>
  <c r="DD59" i="15"/>
  <c r="BG59" i="15" s="1"/>
  <c r="DD22" i="15"/>
  <c r="CX22" i="15" s="1"/>
  <c r="BM30" i="15"/>
  <c r="Z69" i="7" s="1"/>
  <c r="DD30" i="15"/>
  <c r="CX30" i="15" s="1"/>
  <c r="CE45" i="16"/>
  <c r="GB58" i="3"/>
  <c r="CB59" i="3"/>
  <c r="GB60" i="3"/>
  <c r="CB61" i="3"/>
  <c r="GB61" i="3"/>
  <c r="CB62" i="3"/>
  <c r="GB59" i="3"/>
  <c r="CB60" i="3"/>
  <c r="GB57" i="3"/>
  <c r="CB58" i="3"/>
  <c r="GB62" i="3"/>
  <c r="CB63" i="3"/>
  <c r="HV56" i="3"/>
  <c r="AH60" i="7"/>
  <c r="AH59" i="7"/>
  <c r="HV55" i="3"/>
  <c r="DD52" i="15"/>
  <c r="BG52" i="15" s="1"/>
  <c r="CB57" i="3"/>
  <c r="GB56" i="3"/>
  <c r="CB56" i="3"/>
  <c r="GB55" i="3"/>
  <c r="DD38" i="15"/>
  <c r="CX38" i="15" s="1"/>
  <c r="CE39" i="15"/>
  <c r="CE38" i="15"/>
  <c r="BM38" i="15"/>
  <c r="CF56" i="3" s="1"/>
  <c r="CP57" i="3"/>
  <c r="GA56" i="3" s="1"/>
  <c r="CP56" i="3"/>
  <c r="GA55" i="3" s="1"/>
  <c r="CE20" i="15"/>
  <c r="CE21" i="15"/>
  <c r="BM21" i="15"/>
  <c r="BN21" i="15" s="1"/>
  <c r="BM20" i="15"/>
  <c r="BN20" i="15" s="1"/>
  <c r="DD21" i="15"/>
  <c r="CX21" i="15" s="1"/>
  <c r="DD20" i="15"/>
  <c r="CX20" i="15" s="1"/>
  <c r="CB75" i="3"/>
  <c r="GB74" i="3"/>
  <c r="GC74" i="3" s="1"/>
  <c r="GB78" i="3"/>
  <c r="GC78" i="3" s="1"/>
  <c r="CB79" i="3"/>
  <c r="CB76" i="3"/>
  <c r="GB75" i="3"/>
  <c r="GC75" i="3" s="1"/>
  <c r="CB78" i="3"/>
  <c r="GB77" i="3"/>
  <c r="GC77" i="3" s="1"/>
  <c r="CB74" i="3"/>
  <c r="GB73" i="3"/>
  <c r="GC73" i="3" s="1"/>
  <c r="CB77" i="3"/>
  <c r="GB76" i="3"/>
  <c r="GC76" i="3" s="1"/>
  <c r="HV72" i="3"/>
  <c r="AH84" i="7"/>
  <c r="DD53" i="16"/>
  <c r="BG53" i="16" s="1"/>
  <c r="HV71" i="3"/>
  <c r="AH83" i="7"/>
  <c r="GB72" i="3"/>
  <c r="GC72" i="3" s="1"/>
  <c r="CB73" i="3"/>
  <c r="GB71" i="3"/>
  <c r="GC71" i="3" s="1"/>
  <c r="CB72" i="3"/>
  <c r="CE38" i="16"/>
  <c r="CP72" i="3"/>
  <c r="GA71" i="3" s="1"/>
  <c r="CE21" i="16"/>
  <c r="CE20" i="16"/>
  <c r="DD21" i="16"/>
  <c r="CX21" i="16" s="1"/>
  <c r="BM21" i="16"/>
  <c r="Z84" i="7" s="1"/>
  <c r="BM20" i="16"/>
  <c r="BN20" i="16" s="1"/>
  <c r="DD20" i="16"/>
  <c r="CX20" i="16" s="1"/>
  <c r="GH22" i="3"/>
  <c r="GH18" i="3"/>
  <c r="GI17" i="3"/>
  <c r="GI22" i="3"/>
  <c r="ED22" i="3"/>
  <c r="ED18" i="3"/>
  <c r="EE22" i="3"/>
  <c r="DD39" i="15"/>
  <c r="CX39" i="15" s="1"/>
  <c r="DD41" i="15"/>
  <c r="CX41" i="15" s="1"/>
  <c r="DD44" i="15"/>
  <c r="CX44" i="15" s="1"/>
  <c r="BM45" i="15"/>
  <c r="BN45" i="15" s="1"/>
  <c r="CA63" i="3" s="1"/>
  <c r="DD45" i="15"/>
  <c r="CX45" i="15" s="1"/>
  <c r="BM39" i="16"/>
  <c r="CF73" i="3" s="1"/>
  <c r="DD39" i="16"/>
  <c r="CX39" i="16" s="1"/>
  <c r="BM38" i="16"/>
  <c r="DD38" i="16"/>
  <c r="CX38" i="16" s="1"/>
  <c r="AT45" i="16"/>
  <c r="CN79" i="3" s="1"/>
  <c r="FZ78" i="3" s="1"/>
  <c r="HP20" i="3" s="1"/>
  <c r="AT42" i="16"/>
  <c r="CN76" i="3" s="1"/>
  <c r="FZ75" i="3" s="1"/>
  <c r="AT44" i="16"/>
  <c r="CN78" i="3" s="1"/>
  <c r="FZ77" i="3" s="1"/>
  <c r="AT41" i="16"/>
  <c r="CN75" i="3" s="1"/>
  <c r="FZ74" i="3" s="1"/>
  <c r="HL20" i="3" s="1"/>
  <c r="AT39" i="16"/>
  <c r="CN73" i="3" s="1"/>
  <c r="FZ72" i="3" s="1"/>
  <c r="AT43" i="16"/>
  <c r="CN77" i="3" s="1"/>
  <c r="AT40" i="16"/>
  <c r="CN74" i="3" s="1"/>
  <c r="CO74" i="3" s="1"/>
  <c r="AT41" i="15"/>
  <c r="CN59" i="3" s="1"/>
  <c r="CO59" i="3" s="1"/>
  <c r="AT44" i="15"/>
  <c r="CN62" i="3" s="1"/>
  <c r="FZ61" i="3" s="1"/>
  <c r="AT43" i="15"/>
  <c r="CN61" i="3" s="1"/>
  <c r="FZ60" i="3" s="1"/>
  <c r="HF20" i="3" s="1"/>
  <c r="AT40" i="15"/>
  <c r="CN58" i="3" s="1"/>
  <c r="FZ57" i="3" s="1"/>
  <c r="HC20" i="3" s="1"/>
  <c r="AT42" i="15"/>
  <c r="CN60" i="3" s="1"/>
  <c r="FZ59" i="3" s="1"/>
  <c r="AT45" i="15"/>
  <c r="CN63" i="3" s="1"/>
  <c r="FZ62" i="3" s="1"/>
  <c r="Y9" i="7"/>
  <c r="X57" i="7"/>
  <c r="X81" i="7"/>
  <c r="X33" i="7"/>
  <c r="BM29" i="16"/>
  <c r="BN29" i="16" s="1"/>
  <c r="CE40" i="16"/>
  <c r="BM41" i="16"/>
  <c r="BN41" i="16" s="1"/>
  <c r="CA75" i="3" s="1"/>
  <c r="BM26" i="16"/>
  <c r="Z89" i="7" s="1"/>
  <c r="BM22" i="16"/>
  <c r="BM27" i="16"/>
  <c r="BN27" i="16" s="1"/>
  <c r="CE30" i="16"/>
  <c r="CE31" i="16"/>
  <c r="BM43" i="16"/>
  <c r="BN43" i="16" s="1"/>
  <c r="CA77" i="3" s="1"/>
  <c r="CE24" i="16"/>
  <c r="BM40" i="16"/>
  <c r="CE41" i="16"/>
  <c r="CE29" i="16"/>
  <c r="BM30" i="16"/>
  <c r="Z93" i="7" s="1"/>
  <c r="BM31" i="16"/>
  <c r="CE26" i="16"/>
  <c r="BM45" i="16"/>
  <c r="CE22" i="16"/>
  <c r="BM24" i="16"/>
  <c r="BN24" i="16" s="1"/>
  <c r="CE43" i="16"/>
  <c r="AT11" i="16"/>
  <c r="AT15" i="16" s="1"/>
  <c r="DW12" i="16"/>
  <c r="DX9" i="16"/>
  <c r="CE42" i="15"/>
  <c r="BM43" i="15"/>
  <c r="BN43" i="15" s="1"/>
  <c r="CA61" i="3" s="1"/>
  <c r="BM26" i="15"/>
  <c r="BN26" i="15" s="1"/>
  <c r="BM24" i="15"/>
  <c r="Z63" i="7" s="1"/>
  <c r="AT15" i="15"/>
  <c r="AR52" i="15" s="1"/>
  <c r="BA52" i="15" s="1"/>
  <c r="HX55" i="3" s="1"/>
  <c r="CE41" i="15"/>
  <c r="BM42" i="15"/>
  <c r="CE23" i="15"/>
  <c r="BM29" i="15"/>
  <c r="CQ29" i="15" s="1"/>
  <c r="CE43" i="15"/>
  <c r="CE40" i="15"/>
  <c r="BM44" i="15"/>
  <c r="CE24" i="15"/>
  <c r="CE26" i="15"/>
  <c r="CE27" i="15"/>
  <c r="BM41" i="15"/>
  <c r="BM22" i="15"/>
  <c r="Z61" i="7" s="1"/>
  <c r="AR15" i="15"/>
  <c r="DW12" i="15"/>
  <c r="DX12" i="15" s="1"/>
  <c r="DX9" i="15"/>
  <c r="AN48" i="14"/>
  <c r="C48" i="14"/>
  <c r="AN48" i="6"/>
  <c r="C48" i="6"/>
  <c r="AO45" i="6"/>
  <c r="AO44" i="6"/>
  <c r="AO43" i="6"/>
  <c r="AO42" i="6"/>
  <c r="AO41" i="6"/>
  <c r="AO40" i="6"/>
  <c r="AO39" i="6"/>
  <c r="AO38" i="6"/>
  <c r="AO45" i="14"/>
  <c r="AQ45" i="14" s="1"/>
  <c r="CM47" i="3" s="1"/>
  <c r="AO44" i="14"/>
  <c r="AQ44" i="14" s="1"/>
  <c r="CM46" i="3" s="1"/>
  <c r="AO43" i="14"/>
  <c r="AQ43" i="14" s="1"/>
  <c r="CM45" i="3" s="1"/>
  <c r="AO42" i="14"/>
  <c r="AQ42" i="14" s="1"/>
  <c r="CM44" i="3" s="1"/>
  <c r="AO41" i="14"/>
  <c r="AQ41" i="14" s="1"/>
  <c r="CM43" i="3" s="1"/>
  <c r="AO40" i="14"/>
  <c r="AQ40" i="14" s="1"/>
  <c r="CM42" i="3" s="1"/>
  <c r="AO39" i="14"/>
  <c r="AQ39" i="14" s="1"/>
  <c r="CM41" i="3" s="1"/>
  <c r="AO38" i="14"/>
  <c r="AQ38" i="14" s="1"/>
  <c r="CM40" i="3" s="1"/>
  <c r="AN16" i="14"/>
  <c r="AN8" i="14"/>
  <c r="DW63" i="14"/>
  <c r="DX63" i="14" s="1"/>
  <c r="DH63" i="14"/>
  <c r="DG63" i="14"/>
  <c r="DF63" i="14"/>
  <c r="DE63" i="14"/>
  <c r="BF63" i="14"/>
  <c r="AZ63" i="14"/>
  <c r="AW63" i="14"/>
  <c r="AQ63" i="14"/>
  <c r="DW62" i="14"/>
  <c r="DX62" i="14" s="1"/>
  <c r="DH62" i="14"/>
  <c r="DG62" i="14"/>
  <c r="DF62" i="14"/>
  <c r="DE62" i="14"/>
  <c r="BF62" i="14"/>
  <c r="AZ62" i="14"/>
  <c r="AW62" i="14"/>
  <c r="AQ62" i="14"/>
  <c r="DW61" i="14"/>
  <c r="DX61" i="14" s="1"/>
  <c r="DH61" i="14"/>
  <c r="DG61" i="14"/>
  <c r="DF61" i="14"/>
  <c r="DE61" i="14"/>
  <c r="BF61" i="14"/>
  <c r="AZ61" i="14"/>
  <c r="AW61" i="14"/>
  <c r="AQ61" i="14"/>
  <c r="DW60" i="14"/>
  <c r="DX60" i="14" s="1"/>
  <c r="DH60" i="14"/>
  <c r="DG60" i="14"/>
  <c r="DF60" i="14"/>
  <c r="DE60" i="14"/>
  <c r="BF60" i="14"/>
  <c r="AZ60" i="14"/>
  <c r="AW60" i="14"/>
  <c r="AQ60" i="14"/>
  <c r="DW59" i="14"/>
  <c r="DX59" i="14" s="1"/>
  <c r="DH59" i="14"/>
  <c r="DG59" i="14"/>
  <c r="DF59" i="14"/>
  <c r="DE59" i="14"/>
  <c r="BF59" i="14"/>
  <c r="AZ59" i="14"/>
  <c r="AW59" i="14"/>
  <c r="AQ59" i="14"/>
  <c r="DW58" i="14"/>
  <c r="DX58" i="14" s="1"/>
  <c r="DH58" i="14"/>
  <c r="DG58" i="14"/>
  <c r="DF58" i="14"/>
  <c r="DE58" i="14"/>
  <c r="BF58" i="14"/>
  <c r="AZ58" i="14"/>
  <c r="AW58" i="14"/>
  <c r="AQ58" i="14"/>
  <c r="DH57" i="14"/>
  <c r="DG57" i="14"/>
  <c r="DF57" i="14"/>
  <c r="DE57" i="14"/>
  <c r="BF57" i="14"/>
  <c r="AZ57" i="14"/>
  <c r="AW57" i="14"/>
  <c r="AQ57" i="14"/>
  <c r="DW56" i="14"/>
  <c r="DX56" i="14" s="1"/>
  <c r="DH56" i="14"/>
  <c r="DG56" i="14"/>
  <c r="DF56" i="14"/>
  <c r="DE56" i="14"/>
  <c r="BF56" i="14"/>
  <c r="AZ56" i="14"/>
  <c r="AW56" i="14"/>
  <c r="AQ56" i="14"/>
  <c r="DW55" i="14"/>
  <c r="DX55" i="14" s="1"/>
  <c r="DH55" i="14"/>
  <c r="DG55" i="14"/>
  <c r="DF55" i="14"/>
  <c r="DE55" i="14"/>
  <c r="BF55" i="14"/>
  <c r="AZ55" i="14"/>
  <c r="AW55" i="14"/>
  <c r="AQ55" i="14"/>
  <c r="DW54" i="14"/>
  <c r="DX54" i="14" s="1"/>
  <c r="DH54" i="14"/>
  <c r="DG54" i="14"/>
  <c r="DF54" i="14"/>
  <c r="DE54" i="14"/>
  <c r="BF54" i="14"/>
  <c r="AZ54" i="14"/>
  <c r="AW54" i="14"/>
  <c r="AQ54" i="14"/>
  <c r="DW53" i="14"/>
  <c r="DX53" i="14" s="1"/>
  <c r="DH53" i="14"/>
  <c r="DG53" i="14"/>
  <c r="DF53" i="14"/>
  <c r="DE53" i="14"/>
  <c r="BF53" i="14"/>
  <c r="AZ53" i="14"/>
  <c r="AW53" i="14"/>
  <c r="AQ53" i="14"/>
  <c r="DH52" i="14"/>
  <c r="DG52" i="14"/>
  <c r="DF52" i="14"/>
  <c r="DE52" i="14"/>
  <c r="BF52" i="14"/>
  <c r="AZ52" i="14"/>
  <c r="AW52" i="14"/>
  <c r="AQ52" i="14"/>
  <c r="DW45" i="14"/>
  <c r="DX45" i="14" s="1"/>
  <c r="DU45" i="14"/>
  <c r="DT45" i="14"/>
  <c r="DS45" i="14"/>
  <c r="DR45" i="14"/>
  <c r="DQ45" i="14"/>
  <c r="DP45" i="14"/>
  <c r="DO45" i="14"/>
  <c r="DN45" i="14"/>
  <c r="DM45" i="14"/>
  <c r="DL45" i="14"/>
  <c r="DK45" i="14"/>
  <c r="DJ45" i="14"/>
  <c r="DI45" i="14"/>
  <c r="DH45" i="14"/>
  <c r="DG45" i="14"/>
  <c r="DF45" i="14"/>
  <c r="DE45" i="14"/>
  <c r="CU45" i="14"/>
  <c r="CW45" i="14" s="1"/>
  <c r="CI47" i="3" s="1"/>
  <c r="CR45" i="14"/>
  <c r="CT45" i="14" s="1"/>
  <c r="CG47" i="3" s="1"/>
  <c r="CN45" i="14"/>
  <c r="CP45" i="14" s="1"/>
  <c r="CK45" i="14"/>
  <c r="CM45" i="14" s="1"/>
  <c r="CF45" i="14"/>
  <c r="CH45" i="14" s="1"/>
  <c r="CB45" i="14"/>
  <c r="CD45" i="14" s="1"/>
  <c r="BY45" i="14"/>
  <c r="CA45" i="14" s="1"/>
  <c r="BV45" i="14"/>
  <c r="BX45" i="14" s="1"/>
  <c r="BS45" i="14"/>
  <c r="BU45" i="14" s="1"/>
  <c r="BP45" i="14"/>
  <c r="BR45" i="14" s="1"/>
  <c r="BJ45" i="14"/>
  <c r="BL45" i="14" s="1"/>
  <c r="BG45" i="14"/>
  <c r="BI45" i="14" s="1"/>
  <c r="BD45" i="14"/>
  <c r="BF45" i="14" s="1"/>
  <c r="BA45" i="14"/>
  <c r="BC45" i="14" s="1"/>
  <c r="AX45" i="14"/>
  <c r="AZ45" i="14" s="1"/>
  <c r="AU45" i="14"/>
  <c r="AW45" i="14" s="1"/>
  <c r="AR45" i="14"/>
  <c r="AN45" i="14"/>
  <c r="DW44" i="14"/>
  <c r="DX44" i="14" s="1"/>
  <c r="DU44" i="14"/>
  <c r="DT44" i="14"/>
  <c r="DS44" i="14"/>
  <c r="DR44" i="14"/>
  <c r="DQ44" i="14"/>
  <c r="DP44" i="14"/>
  <c r="DO44" i="14"/>
  <c r="DN44" i="14"/>
  <c r="DM44" i="14"/>
  <c r="DL44" i="14"/>
  <c r="DK44" i="14"/>
  <c r="DJ44" i="14"/>
  <c r="DI44" i="14"/>
  <c r="DH44" i="14"/>
  <c r="DG44" i="14"/>
  <c r="DF44" i="14"/>
  <c r="DE44" i="14"/>
  <c r="CU44" i="14"/>
  <c r="CW44" i="14" s="1"/>
  <c r="CI46" i="3" s="1"/>
  <c r="CR44" i="14"/>
  <c r="CT44" i="14" s="1"/>
  <c r="CG46" i="3" s="1"/>
  <c r="CN44" i="14"/>
  <c r="CP44" i="14" s="1"/>
  <c r="CK44" i="14"/>
  <c r="CM44" i="14" s="1"/>
  <c r="CF44" i="14"/>
  <c r="CH44" i="14" s="1"/>
  <c r="CB44" i="14"/>
  <c r="CD44" i="14" s="1"/>
  <c r="BY44" i="14"/>
  <c r="CA44" i="14" s="1"/>
  <c r="BV44" i="14"/>
  <c r="BX44" i="14" s="1"/>
  <c r="BS44" i="14"/>
  <c r="BU44" i="14" s="1"/>
  <c r="BP44" i="14"/>
  <c r="BR44" i="14" s="1"/>
  <c r="BJ44" i="14"/>
  <c r="BL44" i="14" s="1"/>
  <c r="BG44" i="14"/>
  <c r="BI44" i="14" s="1"/>
  <c r="BD44" i="14"/>
  <c r="BF44" i="14" s="1"/>
  <c r="BA44" i="14"/>
  <c r="BC44" i="14" s="1"/>
  <c r="AX44" i="14"/>
  <c r="AZ44" i="14" s="1"/>
  <c r="AU44" i="14"/>
  <c r="AW44" i="14" s="1"/>
  <c r="AR44" i="14"/>
  <c r="AN44" i="14"/>
  <c r="DW43" i="14"/>
  <c r="DX43" i="14" s="1"/>
  <c r="DU43" i="14"/>
  <c r="DT43" i="14"/>
  <c r="DS43" i="14"/>
  <c r="DR43" i="14"/>
  <c r="DQ43" i="14"/>
  <c r="DP43" i="14"/>
  <c r="DO43" i="14"/>
  <c r="DN43" i="14"/>
  <c r="DM43" i="14"/>
  <c r="DL43" i="14"/>
  <c r="DK43" i="14"/>
  <c r="DJ43" i="14"/>
  <c r="DI43" i="14"/>
  <c r="DH43" i="14"/>
  <c r="DG43" i="14"/>
  <c r="DF43" i="14"/>
  <c r="DE43" i="14"/>
  <c r="CU43" i="14"/>
  <c r="CW43" i="14" s="1"/>
  <c r="CI45" i="3" s="1"/>
  <c r="CR43" i="14"/>
  <c r="CT43" i="14" s="1"/>
  <c r="CG45" i="3" s="1"/>
  <c r="CN43" i="14"/>
  <c r="CP43" i="14" s="1"/>
  <c r="CK43" i="14"/>
  <c r="CM43" i="14" s="1"/>
  <c r="CF43" i="14"/>
  <c r="CH43" i="14" s="1"/>
  <c r="CB43" i="14"/>
  <c r="CD43" i="14" s="1"/>
  <c r="BY43" i="14"/>
  <c r="CA43" i="14" s="1"/>
  <c r="BV43" i="14"/>
  <c r="BX43" i="14" s="1"/>
  <c r="BS43" i="14"/>
  <c r="BU43" i="14" s="1"/>
  <c r="BP43" i="14"/>
  <c r="BR43" i="14" s="1"/>
  <c r="BJ43" i="14"/>
  <c r="BL43" i="14" s="1"/>
  <c r="BG43" i="14"/>
  <c r="BI43" i="14" s="1"/>
  <c r="BD43" i="14"/>
  <c r="BF43" i="14" s="1"/>
  <c r="BA43" i="14"/>
  <c r="BC43" i="14" s="1"/>
  <c r="AX43" i="14"/>
  <c r="AZ43" i="14" s="1"/>
  <c r="AU43" i="14"/>
  <c r="AW43" i="14" s="1"/>
  <c r="AR43" i="14"/>
  <c r="AN43" i="14"/>
  <c r="DW42" i="14"/>
  <c r="DX42" i="14" s="1"/>
  <c r="DU42" i="14"/>
  <c r="DT42" i="14"/>
  <c r="DS42" i="14"/>
  <c r="DR42" i="14"/>
  <c r="DQ42" i="14"/>
  <c r="DP42" i="14"/>
  <c r="DO42" i="14"/>
  <c r="DN42" i="14"/>
  <c r="DM42" i="14"/>
  <c r="DL42" i="14"/>
  <c r="DK42" i="14"/>
  <c r="DJ42" i="14"/>
  <c r="DI42" i="14"/>
  <c r="DH42" i="14"/>
  <c r="DG42" i="14"/>
  <c r="DF42" i="14"/>
  <c r="DE42" i="14"/>
  <c r="CU42" i="14"/>
  <c r="CW42" i="14" s="1"/>
  <c r="CI44" i="3" s="1"/>
  <c r="CR42" i="14"/>
  <c r="CT42" i="14" s="1"/>
  <c r="CG44" i="3" s="1"/>
  <c r="CN42" i="14"/>
  <c r="CP42" i="14" s="1"/>
  <c r="CK42" i="14"/>
  <c r="CM42" i="14" s="1"/>
  <c r="CH42" i="14"/>
  <c r="CF42" i="14"/>
  <c r="CB42" i="14"/>
  <c r="CD42" i="14" s="1"/>
  <c r="BY42" i="14"/>
  <c r="CA42" i="14" s="1"/>
  <c r="BV42" i="14"/>
  <c r="BX42" i="14" s="1"/>
  <c r="BS42" i="14"/>
  <c r="BU42" i="14" s="1"/>
  <c r="BP42" i="14"/>
  <c r="BR42" i="14" s="1"/>
  <c r="BJ42" i="14"/>
  <c r="BL42" i="14" s="1"/>
  <c r="BG42" i="14"/>
  <c r="BI42" i="14" s="1"/>
  <c r="BD42" i="14"/>
  <c r="BF42" i="14" s="1"/>
  <c r="BA42" i="14"/>
  <c r="BC42" i="14" s="1"/>
  <c r="AX42" i="14"/>
  <c r="AZ42" i="14" s="1"/>
  <c r="AU42" i="14"/>
  <c r="AW42" i="14" s="1"/>
  <c r="AR42" i="14"/>
  <c r="AN42" i="14"/>
  <c r="DU41" i="14"/>
  <c r="DT41" i="14"/>
  <c r="DS41" i="14"/>
  <c r="DR41" i="14"/>
  <c r="DQ41" i="14"/>
  <c r="DP41" i="14"/>
  <c r="DO41" i="14"/>
  <c r="DN41" i="14"/>
  <c r="DM41" i="14"/>
  <c r="DL41" i="14"/>
  <c r="DK41" i="14"/>
  <c r="DJ41" i="14"/>
  <c r="DI41" i="14"/>
  <c r="DH41" i="14"/>
  <c r="DG41" i="14"/>
  <c r="DF41" i="14"/>
  <c r="DE41" i="14"/>
  <c r="CU41" i="14"/>
  <c r="CW41" i="14" s="1"/>
  <c r="CI43" i="3" s="1"/>
  <c r="CR41" i="14"/>
  <c r="CT41" i="14" s="1"/>
  <c r="CG43" i="3" s="1"/>
  <c r="CN41" i="14"/>
  <c r="CP41" i="14" s="1"/>
  <c r="CK41" i="14"/>
  <c r="CM41" i="14" s="1"/>
  <c r="CF41" i="14"/>
  <c r="CH41" i="14" s="1"/>
  <c r="CB41" i="14"/>
  <c r="CD41" i="14" s="1"/>
  <c r="BY41" i="14"/>
  <c r="CA41" i="14" s="1"/>
  <c r="BV41" i="14"/>
  <c r="BX41" i="14" s="1"/>
  <c r="BS41" i="14"/>
  <c r="BU41" i="14" s="1"/>
  <c r="BP41" i="14"/>
  <c r="BR41" i="14" s="1"/>
  <c r="BJ41" i="14"/>
  <c r="BL41" i="14" s="1"/>
  <c r="BG41" i="14"/>
  <c r="BI41" i="14" s="1"/>
  <c r="BD41" i="14"/>
  <c r="BF41" i="14" s="1"/>
  <c r="BA41" i="14"/>
  <c r="BC41" i="14" s="1"/>
  <c r="AX41" i="14"/>
  <c r="AZ41" i="14" s="1"/>
  <c r="AU41" i="14"/>
  <c r="AW41" i="14" s="1"/>
  <c r="AR41" i="14"/>
  <c r="AN41" i="14"/>
  <c r="DW40" i="14"/>
  <c r="DX40" i="14" s="1"/>
  <c r="DU40" i="14"/>
  <c r="DT40" i="14"/>
  <c r="DS40" i="14"/>
  <c r="DR40" i="14"/>
  <c r="DQ40" i="14"/>
  <c r="DP40" i="14"/>
  <c r="DO40" i="14"/>
  <c r="DN40" i="14"/>
  <c r="DM40" i="14"/>
  <c r="DL40" i="14"/>
  <c r="DK40" i="14"/>
  <c r="DJ40" i="14"/>
  <c r="DI40" i="14"/>
  <c r="DH40" i="14"/>
  <c r="DG40" i="14"/>
  <c r="DF40" i="14"/>
  <c r="DE40" i="14"/>
  <c r="CU40" i="14"/>
  <c r="CW40" i="14" s="1"/>
  <c r="CI42" i="3" s="1"/>
  <c r="CR40" i="14"/>
  <c r="CT40" i="14" s="1"/>
  <c r="CG42" i="3" s="1"/>
  <c r="CN40" i="14"/>
  <c r="CP40" i="14" s="1"/>
  <c r="CK40" i="14"/>
  <c r="CM40" i="14" s="1"/>
  <c r="CF40" i="14"/>
  <c r="CH40" i="14" s="1"/>
  <c r="CB40" i="14"/>
  <c r="CD40" i="14" s="1"/>
  <c r="BY40" i="14"/>
  <c r="CA40" i="14" s="1"/>
  <c r="BV40" i="14"/>
  <c r="BX40" i="14" s="1"/>
  <c r="BS40" i="14"/>
  <c r="BU40" i="14" s="1"/>
  <c r="BP40" i="14"/>
  <c r="BR40" i="14" s="1"/>
  <c r="BJ40" i="14"/>
  <c r="BL40" i="14" s="1"/>
  <c r="BG40" i="14"/>
  <c r="BI40" i="14" s="1"/>
  <c r="BD40" i="14"/>
  <c r="BF40" i="14" s="1"/>
  <c r="BA40" i="14"/>
  <c r="BC40" i="14" s="1"/>
  <c r="AX40" i="14"/>
  <c r="AZ40" i="14" s="1"/>
  <c r="AU40" i="14"/>
  <c r="AW40" i="14" s="1"/>
  <c r="AR40" i="14"/>
  <c r="AN40" i="14"/>
  <c r="DW39" i="14"/>
  <c r="DX39" i="14" s="1"/>
  <c r="DU39" i="14"/>
  <c r="DT39" i="14"/>
  <c r="DS39" i="14"/>
  <c r="DR39" i="14"/>
  <c r="DQ39" i="14"/>
  <c r="DP39" i="14"/>
  <c r="DO39" i="14"/>
  <c r="DN39" i="14"/>
  <c r="DM39" i="14"/>
  <c r="DL39" i="14"/>
  <c r="DK39" i="14"/>
  <c r="DJ39" i="14"/>
  <c r="DI39" i="14"/>
  <c r="DH39" i="14"/>
  <c r="DG39" i="14"/>
  <c r="DF39" i="14"/>
  <c r="DE39" i="14"/>
  <c r="CU39" i="14"/>
  <c r="CW39" i="14" s="1"/>
  <c r="CI41" i="3" s="1"/>
  <c r="CR39" i="14"/>
  <c r="CT39" i="14" s="1"/>
  <c r="CG41" i="3" s="1"/>
  <c r="CN39" i="14"/>
  <c r="CP39" i="14" s="1"/>
  <c r="CK39" i="14"/>
  <c r="CM39" i="14" s="1"/>
  <c r="CF39" i="14"/>
  <c r="CH39" i="14" s="1"/>
  <c r="CB39" i="14"/>
  <c r="CD39" i="14" s="1"/>
  <c r="BY39" i="14"/>
  <c r="CA39" i="14" s="1"/>
  <c r="BV39" i="14"/>
  <c r="BX39" i="14" s="1"/>
  <c r="BS39" i="14"/>
  <c r="BU39" i="14" s="1"/>
  <c r="BP39" i="14"/>
  <c r="BR39" i="14" s="1"/>
  <c r="BJ39" i="14"/>
  <c r="BL39" i="14" s="1"/>
  <c r="BG39" i="14"/>
  <c r="BI39" i="14" s="1"/>
  <c r="BD39" i="14"/>
  <c r="BF39" i="14" s="1"/>
  <c r="BA39" i="14"/>
  <c r="BC39" i="14" s="1"/>
  <c r="AX39" i="14"/>
  <c r="AZ39" i="14" s="1"/>
  <c r="AU39" i="14"/>
  <c r="AW39" i="14" s="1"/>
  <c r="AR39" i="14"/>
  <c r="AN39" i="14"/>
  <c r="DU38" i="14"/>
  <c r="DT38" i="14"/>
  <c r="DS38" i="14"/>
  <c r="DR38" i="14"/>
  <c r="DQ38" i="14"/>
  <c r="DP38" i="14"/>
  <c r="DO38" i="14"/>
  <c r="DN38" i="14"/>
  <c r="DM38" i="14"/>
  <c r="DL38" i="14"/>
  <c r="DK38" i="14"/>
  <c r="DJ38" i="14"/>
  <c r="DI38" i="14"/>
  <c r="DH38" i="14"/>
  <c r="DG38" i="14"/>
  <c r="DF38" i="14"/>
  <c r="DE38" i="14"/>
  <c r="CU38" i="14"/>
  <c r="CW38" i="14" s="1"/>
  <c r="CI40" i="3" s="1"/>
  <c r="CR38" i="14"/>
  <c r="CT38" i="14" s="1"/>
  <c r="CG40" i="3" s="1"/>
  <c r="CN38" i="14"/>
  <c r="CP38" i="14" s="1"/>
  <c r="CK38" i="14"/>
  <c r="CM38" i="14" s="1"/>
  <c r="CF38" i="14"/>
  <c r="CH38" i="14" s="1"/>
  <c r="CB38" i="14"/>
  <c r="CD38" i="14" s="1"/>
  <c r="BY38" i="14"/>
  <c r="CA38" i="14" s="1"/>
  <c r="BV38" i="14"/>
  <c r="BX38" i="14" s="1"/>
  <c r="BS38" i="14"/>
  <c r="BU38" i="14" s="1"/>
  <c r="BP38" i="14"/>
  <c r="BR38" i="14" s="1"/>
  <c r="BJ38" i="14"/>
  <c r="BL38" i="14" s="1"/>
  <c r="BG38" i="14"/>
  <c r="BI38" i="14" s="1"/>
  <c r="BD38" i="14"/>
  <c r="BF38" i="14" s="1"/>
  <c r="BA38" i="14"/>
  <c r="BC38" i="14" s="1"/>
  <c r="AX38" i="14"/>
  <c r="AZ38" i="14" s="1"/>
  <c r="AU38" i="14"/>
  <c r="AW38" i="14" s="1"/>
  <c r="AR38" i="14"/>
  <c r="AT38" i="14" s="1"/>
  <c r="CN40" i="3" s="1"/>
  <c r="FZ39" i="3" s="1"/>
  <c r="AN38" i="14"/>
  <c r="DW31" i="14"/>
  <c r="DX31" i="14" s="1"/>
  <c r="DU31" i="14"/>
  <c r="DT31" i="14"/>
  <c r="DS31" i="14"/>
  <c r="DR31" i="14"/>
  <c r="DQ31" i="14"/>
  <c r="DP31" i="14"/>
  <c r="DO31" i="14"/>
  <c r="DN31" i="14"/>
  <c r="DM31" i="14"/>
  <c r="DL31" i="14"/>
  <c r="DK31" i="14"/>
  <c r="DJ31" i="14"/>
  <c r="DI31" i="14"/>
  <c r="DH31" i="14"/>
  <c r="DG31" i="14"/>
  <c r="DF31" i="14"/>
  <c r="DE31" i="14"/>
  <c r="CU31" i="14"/>
  <c r="CW31" i="14" s="1"/>
  <c r="AD46" i="7" s="1"/>
  <c r="CR31" i="14"/>
  <c r="CT31" i="14" s="1"/>
  <c r="AA46" i="7" s="1"/>
  <c r="CN31" i="14"/>
  <c r="CP31" i="14" s="1"/>
  <c r="AC46" i="7" s="1"/>
  <c r="CK31" i="14"/>
  <c r="CM31" i="14" s="1"/>
  <c r="HW50" i="3" s="1"/>
  <c r="CF31" i="14"/>
  <c r="CH31" i="14" s="1"/>
  <c r="CB31" i="14"/>
  <c r="CD31" i="14" s="1"/>
  <c r="BY31" i="14"/>
  <c r="CA31" i="14" s="1"/>
  <c r="BV31" i="14"/>
  <c r="BX31" i="14" s="1"/>
  <c r="BS31" i="14"/>
  <c r="BU31" i="14" s="1"/>
  <c r="BP31" i="14"/>
  <c r="BR31" i="14" s="1"/>
  <c r="BJ31" i="14"/>
  <c r="BL31" i="14" s="1"/>
  <c r="BG31" i="14"/>
  <c r="BI31" i="14" s="1"/>
  <c r="BD31" i="14"/>
  <c r="BF31" i="14" s="1"/>
  <c r="BA31" i="14"/>
  <c r="BC31" i="14" s="1"/>
  <c r="AX31" i="14"/>
  <c r="AZ31" i="14" s="1"/>
  <c r="AU31" i="14"/>
  <c r="AW31" i="14" s="1"/>
  <c r="AR31" i="14"/>
  <c r="AT31" i="14" s="1"/>
  <c r="DW30" i="14"/>
  <c r="DX30" i="14" s="1"/>
  <c r="DU30" i="14"/>
  <c r="DT30" i="14"/>
  <c r="DS30" i="14"/>
  <c r="DR30" i="14"/>
  <c r="DQ30" i="14"/>
  <c r="DP30" i="14"/>
  <c r="DO30" i="14"/>
  <c r="DN30" i="14"/>
  <c r="DM30" i="14"/>
  <c r="DL30" i="14"/>
  <c r="DK30" i="14"/>
  <c r="DJ30" i="14"/>
  <c r="DI30" i="14"/>
  <c r="DH30" i="14"/>
  <c r="DG30" i="14"/>
  <c r="DF30" i="14"/>
  <c r="DE30" i="14"/>
  <c r="CU30" i="14"/>
  <c r="CW30" i="14" s="1"/>
  <c r="AD45" i="7" s="1"/>
  <c r="CR30" i="14"/>
  <c r="CT30" i="14" s="1"/>
  <c r="AA45" i="7" s="1"/>
  <c r="CN30" i="14"/>
  <c r="CP30" i="14" s="1"/>
  <c r="AC45" i="7" s="1"/>
  <c r="CK30" i="14"/>
  <c r="CM30" i="14" s="1"/>
  <c r="HW49" i="3" s="1"/>
  <c r="CF30" i="14"/>
  <c r="CH30" i="14" s="1"/>
  <c r="CB30" i="14"/>
  <c r="CD30" i="14" s="1"/>
  <c r="BY30" i="14"/>
  <c r="CA30" i="14" s="1"/>
  <c r="BV30" i="14"/>
  <c r="BX30" i="14" s="1"/>
  <c r="BS30" i="14"/>
  <c r="BU30" i="14" s="1"/>
  <c r="BP30" i="14"/>
  <c r="BR30" i="14" s="1"/>
  <c r="BJ30" i="14"/>
  <c r="BL30" i="14" s="1"/>
  <c r="BG30" i="14"/>
  <c r="BI30" i="14" s="1"/>
  <c r="BD30" i="14"/>
  <c r="BF30" i="14" s="1"/>
  <c r="BA30" i="14"/>
  <c r="BC30" i="14" s="1"/>
  <c r="AX30" i="14"/>
  <c r="AZ30" i="14" s="1"/>
  <c r="AU30" i="14"/>
  <c r="AW30" i="14" s="1"/>
  <c r="AR30" i="14"/>
  <c r="AT30" i="14" s="1"/>
  <c r="DW29" i="14"/>
  <c r="DX29" i="14" s="1"/>
  <c r="DU29" i="14"/>
  <c r="DT29" i="14"/>
  <c r="DS29" i="14"/>
  <c r="DR29" i="14"/>
  <c r="DQ29" i="14"/>
  <c r="DP29" i="14"/>
  <c r="DO29" i="14"/>
  <c r="DN29" i="14"/>
  <c r="DM29" i="14"/>
  <c r="DL29" i="14"/>
  <c r="DK29" i="14"/>
  <c r="DJ29" i="14"/>
  <c r="DI29" i="14"/>
  <c r="DH29" i="14"/>
  <c r="DG29" i="14"/>
  <c r="DF29" i="14"/>
  <c r="DE29" i="14"/>
  <c r="CU29" i="14"/>
  <c r="CW29" i="14" s="1"/>
  <c r="AD44" i="7" s="1"/>
  <c r="CR29" i="14"/>
  <c r="CT29" i="14" s="1"/>
  <c r="AA44" i="7" s="1"/>
  <c r="CN29" i="14"/>
  <c r="CP29" i="14" s="1"/>
  <c r="AC44" i="7" s="1"/>
  <c r="CK29" i="14"/>
  <c r="CM29" i="14" s="1"/>
  <c r="HW48" i="3" s="1"/>
  <c r="CF29" i="14"/>
  <c r="CH29" i="14" s="1"/>
  <c r="CB29" i="14"/>
  <c r="CD29" i="14" s="1"/>
  <c r="BY29" i="14"/>
  <c r="CA29" i="14" s="1"/>
  <c r="BV29" i="14"/>
  <c r="BX29" i="14" s="1"/>
  <c r="BS29" i="14"/>
  <c r="BU29" i="14" s="1"/>
  <c r="BP29" i="14"/>
  <c r="BR29" i="14" s="1"/>
  <c r="BJ29" i="14"/>
  <c r="BL29" i="14" s="1"/>
  <c r="BG29" i="14"/>
  <c r="BI29" i="14" s="1"/>
  <c r="BD29" i="14"/>
  <c r="BF29" i="14" s="1"/>
  <c r="BA29" i="14"/>
  <c r="BC29" i="14" s="1"/>
  <c r="AX29" i="14"/>
  <c r="AZ29" i="14" s="1"/>
  <c r="AU29" i="14"/>
  <c r="AW29" i="14" s="1"/>
  <c r="AR29" i="14"/>
  <c r="AT29" i="14" s="1"/>
  <c r="DU28" i="14"/>
  <c r="DT28" i="14"/>
  <c r="DS28" i="14"/>
  <c r="DR28" i="14"/>
  <c r="DQ28" i="14"/>
  <c r="DP28" i="14"/>
  <c r="DO28" i="14"/>
  <c r="DN28" i="14"/>
  <c r="DM28" i="14"/>
  <c r="DL28" i="14"/>
  <c r="DK28" i="14"/>
  <c r="DJ28" i="14"/>
  <c r="DI28" i="14"/>
  <c r="DH28" i="14"/>
  <c r="DG28" i="14"/>
  <c r="DF28" i="14"/>
  <c r="DE28" i="14"/>
  <c r="CU28" i="14"/>
  <c r="CW28" i="14" s="1"/>
  <c r="AD43" i="7" s="1"/>
  <c r="CR28" i="14"/>
  <c r="CT28" i="14" s="1"/>
  <c r="AA43" i="7" s="1"/>
  <c r="CN28" i="14"/>
  <c r="CP28" i="14" s="1"/>
  <c r="AC43" i="7" s="1"/>
  <c r="CK28" i="14"/>
  <c r="CM28" i="14" s="1"/>
  <c r="HW47" i="3" s="1"/>
  <c r="CF28" i="14"/>
  <c r="CH28" i="14" s="1"/>
  <c r="CB28" i="14"/>
  <c r="CD28" i="14" s="1"/>
  <c r="BY28" i="14"/>
  <c r="CA28" i="14" s="1"/>
  <c r="BV28" i="14"/>
  <c r="BX28" i="14" s="1"/>
  <c r="BS28" i="14"/>
  <c r="BU28" i="14" s="1"/>
  <c r="BP28" i="14"/>
  <c r="BR28" i="14" s="1"/>
  <c r="BJ28" i="14"/>
  <c r="BL28" i="14" s="1"/>
  <c r="BG28" i="14"/>
  <c r="BI28" i="14" s="1"/>
  <c r="BD28" i="14"/>
  <c r="BF28" i="14" s="1"/>
  <c r="BA28" i="14"/>
  <c r="BC28" i="14" s="1"/>
  <c r="AX28" i="14"/>
  <c r="AZ28" i="14" s="1"/>
  <c r="AU28" i="14"/>
  <c r="AW28" i="14" s="1"/>
  <c r="AR28" i="14"/>
  <c r="AT28" i="14" s="1"/>
  <c r="DW27" i="14"/>
  <c r="DX27" i="14" s="1"/>
  <c r="DU27" i="14"/>
  <c r="DT27" i="14"/>
  <c r="DS27" i="14"/>
  <c r="DR27" i="14"/>
  <c r="DQ27" i="14"/>
  <c r="DP27" i="14"/>
  <c r="DO27" i="14"/>
  <c r="DN27" i="14"/>
  <c r="DM27" i="14"/>
  <c r="DL27" i="14"/>
  <c r="DK27" i="14"/>
  <c r="DJ27" i="14"/>
  <c r="DI27" i="14"/>
  <c r="DH27" i="14"/>
  <c r="DG27" i="14"/>
  <c r="DF27" i="14"/>
  <c r="DE27" i="14"/>
  <c r="CU27" i="14"/>
  <c r="CW27" i="14" s="1"/>
  <c r="AD42" i="7" s="1"/>
  <c r="CR27" i="14"/>
  <c r="CT27" i="14" s="1"/>
  <c r="AA42" i="7" s="1"/>
  <c r="CN27" i="14"/>
  <c r="CP27" i="14" s="1"/>
  <c r="AC42" i="7" s="1"/>
  <c r="CK27" i="14"/>
  <c r="CM27" i="14" s="1"/>
  <c r="HW46" i="3" s="1"/>
  <c r="CF27" i="14"/>
  <c r="CH27" i="14" s="1"/>
  <c r="CB27" i="14"/>
  <c r="CD27" i="14" s="1"/>
  <c r="BY27" i="14"/>
  <c r="CA27" i="14" s="1"/>
  <c r="BV27" i="14"/>
  <c r="BX27" i="14" s="1"/>
  <c r="BS27" i="14"/>
  <c r="BU27" i="14" s="1"/>
  <c r="BP27" i="14"/>
  <c r="BR27" i="14" s="1"/>
  <c r="BJ27" i="14"/>
  <c r="BL27" i="14" s="1"/>
  <c r="BG27" i="14"/>
  <c r="BI27" i="14" s="1"/>
  <c r="BD27" i="14"/>
  <c r="BF27" i="14" s="1"/>
  <c r="BA27" i="14"/>
  <c r="BC27" i="14" s="1"/>
  <c r="AX27" i="14"/>
  <c r="AZ27" i="14" s="1"/>
  <c r="AU27" i="14"/>
  <c r="AW27" i="14" s="1"/>
  <c r="AR27" i="14"/>
  <c r="AT27" i="14" s="1"/>
  <c r="DW26" i="14"/>
  <c r="DX26" i="14" s="1"/>
  <c r="DU26" i="14"/>
  <c r="DT26" i="14"/>
  <c r="DS26" i="14"/>
  <c r="DR26" i="14"/>
  <c r="DQ26" i="14"/>
  <c r="DP26" i="14"/>
  <c r="DO26" i="14"/>
  <c r="DN26" i="14"/>
  <c r="DM26" i="14"/>
  <c r="DL26" i="14"/>
  <c r="DK26" i="14"/>
  <c r="DJ26" i="14"/>
  <c r="DI26" i="14"/>
  <c r="DH26" i="14"/>
  <c r="DG26" i="14"/>
  <c r="DF26" i="14"/>
  <c r="DE26" i="14"/>
  <c r="CU26" i="14"/>
  <c r="CW26" i="14" s="1"/>
  <c r="AD41" i="7" s="1"/>
  <c r="CR26" i="14"/>
  <c r="CT26" i="14" s="1"/>
  <c r="AA41" i="7" s="1"/>
  <c r="CN26" i="14"/>
  <c r="CP26" i="14" s="1"/>
  <c r="AC41" i="7" s="1"/>
  <c r="CK26" i="14"/>
  <c r="CM26" i="14" s="1"/>
  <c r="HW45" i="3" s="1"/>
  <c r="CF26" i="14"/>
  <c r="CH26" i="14" s="1"/>
  <c r="CB26" i="14"/>
  <c r="CD26" i="14" s="1"/>
  <c r="BY26" i="14"/>
  <c r="CA26" i="14" s="1"/>
  <c r="BV26" i="14"/>
  <c r="BX26" i="14" s="1"/>
  <c r="BS26" i="14"/>
  <c r="BU26" i="14" s="1"/>
  <c r="BP26" i="14"/>
  <c r="BR26" i="14" s="1"/>
  <c r="BJ26" i="14"/>
  <c r="BL26" i="14" s="1"/>
  <c r="BG26" i="14"/>
  <c r="BI26" i="14" s="1"/>
  <c r="BD26" i="14"/>
  <c r="BF26" i="14" s="1"/>
  <c r="BA26" i="14"/>
  <c r="BC26" i="14" s="1"/>
  <c r="AX26" i="14"/>
  <c r="AZ26" i="14" s="1"/>
  <c r="AU26" i="14"/>
  <c r="AW26" i="14" s="1"/>
  <c r="AR26" i="14"/>
  <c r="AT26" i="14" s="1"/>
  <c r="DW25" i="14"/>
  <c r="DX25" i="14" s="1"/>
  <c r="DU25" i="14"/>
  <c r="DT25" i="14"/>
  <c r="DS25" i="14"/>
  <c r="DR25" i="14"/>
  <c r="DQ25" i="14"/>
  <c r="DP25" i="14"/>
  <c r="DO25" i="14"/>
  <c r="DN25" i="14"/>
  <c r="DM25" i="14"/>
  <c r="DL25" i="14"/>
  <c r="DK25" i="14"/>
  <c r="DJ25" i="14"/>
  <c r="DI25" i="14"/>
  <c r="DH25" i="14"/>
  <c r="DG25" i="14"/>
  <c r="DF25" i="14"/>
  <c r="DE25" i="14"/>
  <c r="CU25" i="14"/>
  <c r="CW25" i="14" s="1"/>
  <c r="AD40" i="7" s="1"/>
  <c r="CR25" i="14"/>
  <c r="CT25" i="14" s="1"/>
  <c r="AA40" i="7" s="1"/>
  <c r="CN25" i="14"/>
  <c r="CP25" i="14" s="1"/>
  <c r="AC40" i="7" s="1"/>
  <c r="CK25" i="14"/>
  <c r="CM25" i="14" s="1"/>
  <c r="HW44" i="3" s="1"/>
  <c r="CF25" i="14"/>
  <c r="CH25" i="14" s="1"/>
  <c r="CB25" i="14"/>
  <c r="CD25" i="14" s="1"/>
  <c r="BY25" i="14"/>
  <c r="CA25" i="14" s="1"/>
  <c r="BV25" i="14"/>
  <c r="BX25" i="14" s="1"/>
  <c r="BS25" i="14"/>
  <c r="BU25" i="14" s="1"/>
  <c r="BP25" i="14"/>
  <c r="BR25" i="14" s="1"/>
  <c r="BJ25" i="14"/>
  <c r="BL25" i="14" s="1"/>
  <c r="BG25" i="14"/>
  <c r="BI25" i="14" s="1"/>
  <c r="BD25" i="14"/>
  <c r="BF25" i="14" s="1"/>
  <c r="BA25" i="14"/>
  <c r="BC25" i="14" s="1"/>
  <c r="AX25" i="14"/>
  <c r="AZ25" i="14" s="1"/>
  <c r="AU25" i="14"/>
  <c r="AW25" i="14" s="1"/>
  <c r="AR25" i="14"/>
  <c r="AT25" i="14" s="1"/>
  <c r="DW24" i="14"/>
  <c r="DX24" i="14" s="1"/>
  <c r="DU24" i="14"/>
  <c r="DT24" i="14"/>
  <c r="DS24" i="14"/>
  <c r="DR24" i="14"/>
  <c r="DQ24" i="14"/>
  <c r="DP24" i="14"/>
  <c r="DO24" i="14"/>
  <c r="DN24" i="14"/>
  <c r="DM24" i="14"/>
  <c r="DL24" i="14"/>
  <c r="DK24" i="14"/>
  <c r="DJ24" i="14"/>
  <c r="DI24" i="14"/>
  <c r="DH24" i="14"/>
  <c r="DG24" i="14"/>
  <c r="DF24" i="14"/>
  <c r="DE24" i="14"/>
  <c r="CU24" i="14"/>
  <c r="CW24" i="14" s="1"/>
  <c r="AD39" i="7" s="1"/>
  <c r="CR24" i="14"/>
  <c r="CT24" i="14" s="1"/>
  <c r="AA39" i="7" s="1"/>
  <c r="CN24" i="14"/>
  <c r="CP24" i="14" s="1"/>
  <c r="AC39" i="7" s="1"/>
  <c r="CK24" i="14"/>
  <c r="CM24" i="14" s="1"/>
  <c r="HW43" i="3" s="1"/>
  <c r="CF24" i="14"/>
  <c r="CH24" i="14" s="1"/>
  <c r="CB24" i="14"/>
  <c r="CD24" i="14" s="1"/>
  <c r="BY24" i="14"/>
  <c r="CA24" i="14" s="1"/>
  <c r="BV24" i="14"/>
  <c r="BX24" i="14" s="1"/>
  <c r="BS24" i="14"/>
  <c r="BU24" i="14" s="1"/>
  <c r="BP24" i="14"/>
  <c r="BR24" i="14" s="1"/>
  <c r="BJ24" i="14"/>
  <c r="BL24" i="14" s="1"/>
  <c r="BG24" i="14"/>
  <c r="BI24" i="14" s="1"/>
  <c r="BD24" i="14"/>
  <c r="BF24" i="14" s="1"/>
  <c r="BA24" i="14"/>
  <c r="BC24" i="14" s="1"/>
  <c r="AX24" i="14"/>
  <c r="AZ24" i="14" s="1"/>
  <c r="AU24" i="14"/>
  <c r="AW24" i="14" s="1"/>
  <c r="AR24" i="14"/>
  <c r="AT24" i="14" s="1"/>
  <c r="DW23" i="14"/>
  <c r="DX23" i="14" s="1"/>
  <c r="DU23" i="14"/>
  <c r="DT23" i="14"/>
  <c r="DS23" i="14"/>
  <c r="DR23" i="14"/>
  <c r="DQ23" i="14"/>
  <c r="DP23" i="14"/>
  <c r="DO23" i="14"/>
  <c r="DN23" i="14"/>
  <c r="DM23" i="14"/>
  <c r="DL23" i="14"/>
  <c r="DK23" i="14"/>
  <c r="DJ23" i="14"/>
  <c r="DI23" i="14"/>
  <c r="DH23" i="14"/>
  <c r="DG23" i="14"/>
  <c r="DF23" i="14"/>
  <c r="DE23" i="14"/>
  <c r="CU23" i="14"/>
  <c r="CW23" i="14" s="1"/>
  <c r="AD38" i="7" s="1"/>
  <c r="CR23" i="14"/>
  <c r="CT23" i="14" s="1"/>
  <c r="AA38" i="7" s="1"/>
  <c r="CN23" i="14"/>
  <c r="CP23" i="14" s="1"/>
  <c r="AC38" i="7" s="1"/>
  <c r="CK23" i="14"/>
  <c r="CM23" i="14" s="1"/>
  <c r="HW42" i="3" s="1"/>
  <c r="CF23" i="14"/>
  <c r="CH23" i="14" s="1"/>
  <c r="CB23" i="14"/>
  <c r="CD23" i="14" s="1"/>
  <c r="BY23" i="14"/>
  <c r="CA23" i="14" s="1"/>
  <c r="BV23" i="14"/>
  <c r="BX23" i="14" s="1"/>
  <c r="BS23" i="14"/>
  <c r="BU23" i="14" s="1"/>
  <c r="BP23" i="14"/>
  <c r="BR23" i="14" s="1"/>
  <c r="BJ23" i="14"/>
  <c r="BL23" i="14" s="1"/>
  <c r="BG23" i="14"/>
  <c r="BI23" i="14" s="1"/>
  <c r="BD23" i="14"/>
  <c r="BF23" i="14" s="1"/>
  <c r="BA23" i="14"/>
  <c r="BC23" i="14" s="1"/>
  <c r="AX23" i="14"/>
  <c r="AZ23" i="14" s="1"/>
  <c r="AU23" i="14"/>
  <c r="AW23" i="14" s="1"/>
  <c r="AR23" i="14"/>
  <c r="AT23" i="14" s="1"/>
  <c r="DW22" i="14"/>
  <c r="DX22" i="14" s="1"/>
  <c r="DU22" i="14"/>
  <c r="DT22" i="14"/>
  <c r="DS22" i="14"/>
  <c r="DR22" i="14"/>
  <c r="DQ22" i="14"/>
  <c r="DP22" i="14"/>
  <c r="DO22" i="14"/>
  <c r="DN22" i="14"/>
  <c r="DM22" i="14"/>
  <c r="DL22" i="14"/>
  <c r="DK22" i="14"/>
  <c r="DJ22" i="14"/>
  <c r="DI22" i="14"/>
  <c r="DH22" i="14"/>
  <c r="DG22" i="14"/>
  <c r="DF22" i="14"/>
  <c r="DE22" i="14"/>
  <c r="CU22" i="14"/>
  <c r="CW22" i="14" s="1"/>
  <c r="AD37" i="7" s="1"/>
  <c r="CR22" i="14"/>
  <c r="CT22" i="14" s="1"/>
  <c r="AA37" i="7" s="1"/>
  <c r="CN22" i="14"/>
  <c r="CP22" i="14" s="1"/>
  <c r="AC37" i="7" s="1"/>
  <c r="CK22" i="14"/>
  <c r="CM22" i="14" s="1"/>
  <c r="HW41" i="3" s="1"/>
  <c r="CF22" i="14"/>
  <c r="CH22" i="14" s="1"/>
  <c r="CB22" i="14"/>
  <c r="CD22" i="14" s="1"/>
  <c r="BY22" i="14"/>
  <c r="CA22" i="14" s="1"/>
  <c r="BV22" i="14"/>
  <c r="BX22" i="14" s="1"/>
  <c r="BS22" i="14"/>
  <c r="BU22" i="14" s="1"/>
  <c r="BP22" i="14"/>
  <c r="BR22" i="14" s="1"/>
  <c r="BJ22" i="14"/>
  <c r="BL22" i="14" s="1"/>
  <c r="BG22" i="14"/>
  <c r="BI22" i="14" s="1"/>
  <c r="BD22" i="14"/>
  <c r="BF22" i="14" s="1"/>
  <c r="BA22" i="14"/>
  <c r="BC22" i="14" s="1"/>
  <c r="AX22" i="14"/>
  <c r="AZ22" i="14" s="1"/>
  <c r="AU22" i="14"/>
  <c r="AW22" i="14" s="1"/>
  <c r="AR22" i="14"/>
  <c r="AT22" i="14" s="1"/>
  <c r="DW21" i="14"/>
  <c r="DX21" i="14" s="1"/>
  <c r="DU21" i="14"/>
  <c r="DT21" i="14"/>
  <c r="DS21" i="14"/>
  <c r="DR21" i="14"/>
  <c r="DQ21" i="14"/>
  <c r="DP21" i="14"/>
  <c r="DO21" i="14"/>
  <c r="DN21" i="14"/>
  <c r="DM21" i="14"/>
  <c r="DL21" i="14"/>
  <c r="DK21" i="14"/>
  <c r="DJ21" i="14"/>
  <c r="DI21" i="14"/>
  <c r="DH21" i="14"/>
  <c r="DG21" i="14"/>
  <c r="DF21" i="14"/>
  <c r="DE21" i="14"/>
  <c r="CU21" i="14"/>
  <c r="CW21" i="14" s="1"/>
  <c r="AD36" i="7" s="1"/>
  <c r="CR21" i="14"/>
  <c r="CT21" i="14" s="1"/>
  <c r="AA36" i="7" s="1"/>
  <c r="CN21" i="14"/>
  <c r="CP21" i="14" s="1"/>
  <c r="AC36" i="7" s="1"/>
  <c r="CK21" i="14"/>
  <c r="CM21" i="14" s="1"/>
  <c r="HW40" i="3" s="1"/>
  <c r="CF21" i="14"/>
  <c r="CH21" i="14" s="1"/>
  <c r="CB21" i="14"/>
  <c r="CD21" i="14" s="1"/>
  <c r="BY21" i="14"/>
  <c r="CA21" i="14" s="1"/>
  <c r="BV21" i="14"/>
  <c r="BX21" i="14" s="1"/>
  <c r="BS21" i="14"/>
  <c r="BU21" i="14" s="1"/>
  <c r="BP21" i="14"/>
  <c r="BR21" i="14" s="1"/>
  <c r="BJ21" i="14"/>
  <c r="BL21" i="14" s="1"/>
  <c r="BG21" i="14"/>
  <c r="BI21" i="14" s="1"/>
  <c r="BD21" i="14"/>
  <c r="BF21" i="14" s="1"/>
  <c r="BA21" i="14"/>
  <c r="BC21" i="14" s="1"/>
  <c r="AX21" i="14"/>
  <c r="AZ21" i="14" s="1"/>
  <c r="AU21" i="14"/>
  <c r="AW21" i="14" s="1"/>
  <c r="AR21" i="14"/>
  <c r="AT21" i="14" s="1"/>
  <c r="DU20" i="14"/>
  <c r="DT20" i="14"/>
  <c r="DS20" i="14"/>
  <c r="DR20" i="14"/>
  <c r="DQ20" i="14"/>
  <c r="DP20" i="14"/>
  <c r="DO20" i="14"/>
  <c r="DN20" i="14"/>
  <c r="DM20" i="14"/>
  <c r="DL20" i="14"/>
  <c r="DK20" i="14"/>
  <c r="DJ20" i="14"/>
  <c r="DI20" i="14"/>
  <c r="DH20" i="14"/>
  <c r="DG20" i="14"/>
  <c r="DF20" i="14"/>
  <c r="DE20" i="14"/>
  <c r="CU20" i="14"/>
  <c r="CW20" i="14" s="1"/>
  <c r="AD35" i="7" s="1"/>
  <c r="CR20" i="14"/>
  <c r="CT20" i="14" s="1"/>
  <c r="AA35" i="7" s="1"/>
  <c r="CN20" i="14"/>
  <c r="CP20" i="14" s="1"/>
  <c r="AC35" i="7" s="1"/>
  <c r="CK20" i="14"/>
  <c r="CM20" i="14" s="1"/>
  <c r="HW39" i="3" s="1"/>
  <c r="CF20" i="14"/>
  <c r="CH20" i="14" s="1"/>
  <c r="CB20" i="14"/>
  <c r="CD20" i="14" s="1"/>
  <c r="BY20" i="14"/>
  <c r="CA20" i="14" s="1"/>
  <c r="BV20" i="14"/>
  <c r="BX20" i="14" s="1"/>
  <c r="BS20" i="14"/>
  <c r="BU20" i="14" s="1"/>
  <c r="BP20" i="14"/>
  <c r="BR20" i="14" s="1"/>
  <c r="BJ20" i="14"/>
  <c r="BL20" i="14" s="1"/>
  <c r="BG20" i="14"/>
  <c r="BI20" i="14" s="1"/>
  <c r="BD20" i="14"/>
  <c r="BF20" i="14" s="1"/>
  <c r="BA20" i="14"/>
  <c r="BC20" i="14" s="1"/>
  <c r="AX20" i="14"/>
  <c r="AZ20" i="14" s="1"/>
  <c r="AU20" i="14"/>
  <c r="AW20" i="14" s="1"/>
  <c r="AR20" i="14"/>
  <c r="AT20" i="14" s="1"/>
  <c r="DW15" i="14"/>
  <c r="DX15" i="14" s="1"/>
  <c r="DW14" i="14"/>
  <c r="DX14" i="14" s="1"/>
  <c r="DE14" i="14"/>
  <c r="DD14" i="14" s="1"/>
  <c r="AR14" i="14"/>
  <c r="AT14" i="14" s="1"/>
  <c r="DW13" i="14"/>
  <c r="DX13" i="14" s="1"/>
  <c r="DE13" i="14"/>
  <c r="DD13" i="14" s="1"/>
  <c r="AR13" i="14"/>
  <c r="AT13" i="14" s="1"/>
  <c r="DE12" i="14"/>
  <c r="DD12" i="14" s="1"/>
  <c r="AR12" i="14"/>
  <c r="AT12" i="14" s="1"/>
  <c r="DW11" i="14"/>
  <c r="DX11" i="14" s="1"/>
  <c r="DE11" i="14"/>
  <c r="DD11" i="14" s="1"/>
  <c r="AR11" i="14"/>
  <c r="DW9" i="14"/>
  <c r="DE9" i="14"/>
  <c r="DD9" i="14" s="1"/>
  <c r="AR9" i="14"/>
  <c r="AT9" i="14" s="1"/>
  <c r="DW53" i="6"/>
  <c r="DX53" i="6" s="1"/>
  <c r="DW54" i="6"/>
  <c r="DX54" i="6" s="1"/>
  <c r="DW55" i="6"/>
  <c r="DX55" i="6" s="1"/>
  <c r="DW56" i="6"/>
  <c r="DX56" i="6" s="1"/>
  <c r="DW58" i="6"/>
  <c r="DX58" i="6" s="1"/>
  <c r="DW59" i="6"/>
  <c r="DX59" i="6" s="1"/>
  <c r="DW60" i="6"/>
  <c r="DX60" i="6" s="1"/>
  <c r="DW61" i="6"/>
  <c r="DX61" i="6" s="1"/>
  <c r="DW62" i="6"/>
  <c r="DX62" i="6" s="1"/>
  <c r="DW63" i="6"/>
  <c r="DX63" i="6" s="1"/>
  <c r="DW39" i="6"/>
  <c r="DX39" i="6" s="1"/>
  <c r="DW40" i="6"/>
  <c r="DX40" i="6" s="1"/>
  <c r="DW42" i="6"/>
  <c r="DX42" i="6" s="1"/>
  <c r="DW43" i="6"/>
  <c r="DX43" i="6" s="1"/>
  <c r="DW44" i="6"/>
  <c r="DX44" i="6" s="1"/>
  <c r="DW45" i="6"/>
  <c r="DX45" i="6" s="1"/>
  <c r="DW22" i="6"/>
  <c r="DX22" i="6" s="1"/>
  <c r="DW23" i="6"/>
  <c r="DX23" i="6" s="1"/>
  <c r="DW24" i="6"/>
  <c r="DX24" i="6" s="1"/>
  <c r="DW25" i="6"/>
  <c r="DX25" i="6" s="1"/>
  <c r="DW26" i="6"/>
  <c r="DX26" i="6" s="1"/>
  <c r="DW27" i="6"/>
  <c r="DX27" i="6" s="1"/>
  <c r="DW29" i="6"/>
  <c r="DX29" i="6" s="1"/>
  <c r="DW30" i="6"/>
  <c r="DX30" i="6" s="1"/>
  <c r="DW31" i="6"/>
  <c r="DX31" i="6" s="1"/>
  <c r="DW13" i="6"/>
  <c r="DX13" i="6" s="1"/>
  <c r="DW14" i="6"/>
  <c r="DX14" i="6" s="1"/>
  <c r="DW15" i="6"/>
  <c r="DX15" i="6" s="1"/>
  <c r="DW11" i="6"/>
  <c r="DX11" i="6" s="1"/>
  <c r="DW9" i="6"/>
  <c r="BN28" i="16" l="1"/>
  <c r="CJ28" i="16" s="1"/>
  <c r="BN28" i="15"/>
  <c r="CJ28" i="15" s="1"/>
  <c r="CQ44" i="16"/>
  <c r="BN25" i="16"/>
  <c r="CJ25" i="16" s="1"/>
  <c r="CQ25" i="16"/>
  <c r="BN42" i="16"/>
  <c r="CA76" i="3" s="1"/>
  <c r="CD76" i="3" s="1"/>
  <c r="HG20" i="3"/>
  <c r="BN23" i="15"/>
  <c r="CO62" i="3"/>
  <c r="CQ42" i="16"/>
  <c r="HO20" i="3"/>
  <c r="HM20" i="3"/>
  <c r="CQ23" i="16"/>
  <c r="CQ72" i="3"/>
  <c r="CO75" i="3"/>
  <c r="Z86" i="7"/>
  <c r="BN23" i="16"/>
  <c r="CJ23" i="16" s="1"/>
  <c r="CO40" i="3"/>
  <c r="CO58" i="3"/>
  <c r="HH20" i="3"/>
  <c r="CO63" i="3"/>
  <c r="CO61" i="3"/>
  <c r="CO60" i="3"/>
  <c r="HE20" i="3"/>
  <c r="CO76" i="3"/>
  <c r="CO78" i="3"/>
  <c r="CO73" i="3"/>
  <c r="CO77" i="3"/>
  <c r="CO79" i="3"/>
  <c r="CJ24" i="16"/>
  <c r="CQ26" i="16"/>
  <c r="CQ31" i="16"/>
  <c r="BN26" i="16"/>
  <c r="CJ26" i="16" s="1"/>
  <c r="CF77" i="3"/>
  <c r="CQ40" i="16"/>
  <c r="CJ27" i="16"/>
  <c r="BN30" i="16"/>
  <c r="CJ30" i="16" s="1"/>
  <c r="BN40" i="16"/>
  <c r="CA74" i="3" s="1"/>
  <c r="CD78" i="3"/>
  <c r="CJ29" i="16"/>
  <c r="CQ41" i="16"/>
  <c r="CF75" i="3"/>
  <c r="CQ43" i="16"/>
  <c r="CQ45" i="16"/>
  <c r="CQ28" i="16"/>
  <c r="CQ27" i="15"/>
  <c r="CQ44" i="15"/>
  <c r="BN29" i="15"/>
  <c r="CJ29" i="15" s="1"/>
  <c r="CQ28" i="15"/>
  <c r="CQ43" i="15"/>
  <c r="CJ25" i="15"/>
  <c r="CQ31" i="15"/>
  <c r="Z68" i="7"/>
  <c r="BN22" i="15"/>
  <c r="CJ22" i="15" s="1"/>
  <c r="CF61" i="3"/>
  <c r="CF63" i="3"/>
  <c r="BN39" i="15"/>
  <c r="CA57" i="3" s="1"/>
  <c r="BN24" i="15"/>
  <c r="CJ24" i="15" s="1"/>
  <c r="CQ25" i="15"/>
  <c r="Z64" i="7"/>
  <c r="BN31" i="15"/>
  <c r="CJ31" i="15" s="1"/>
  <c r="CQ42" i="15"/>
  <c r="Z66" i="7"/>
  <c r="DD31" i="14"/>
  <c r="CX31" i="14" s="1"/>
  <c r="CH44" i="3"/>
  <c r="CC44" i="3"/>
  <c r="CH40" i="3"/>
  <c r="CC40" i="3"/>
  <c r="CH41" i="3"/>
  <c r="CC41" i="3"/>
  <c r="CH42" i="3"/>
  <c r="CC42" i="3"/>
  <c r="CH43" i="3"/>
  <c r="CC43" i="3"/>
  <c r="CH45" i="3"/>
  <c r="CC45" i="3"/>
  <c r="CH46" i="3"/>
  <c r="CC46" i="3"/>
  <c r="CH47" i="3"/>
  <c r="CC47" i="3"/>
  <c r="CF74" i="3"/>
  <c r="CQ29" i="16"/>
  <c r="CQ22" i="16"/>
  <c r="CF78" i="3"/>
  <c r="Z85" i="7"/>
  <c r="BN45" i="16"/>
  <c r="CA79" i="3" s="1"/>
  <c r="HP19" i="3"/>
  <c r="CF79" i="3"/>
  <c r="Z90" i="7"/>
  <c r="CQ30" i="16"/>
  <c r="BN39" i="16"/>
  <c r="CA73" i="3" s="1"/>
  <c r="Z92" i="7"/>
  <c r="Z87" i="7"/>
  <c r="Z94" i="7"/>
  <c r="CF62" i="3"/>
  <c r="CQ24" i="15"/>
  <c r="CQ21" i="15"/>
  <c r="CF58" i="3"/>
  <c r="Z65" i="7"/>
  <c r="CJ26" i="15"/>
  <c r="AR55" i="15"/>
  <c r="BA55" i="15" s="1"/>
  <c r="HX58" i="3" s="1"/>
  <c r="CQ30" i="15"/>
  <c r="CQ39" i="15"/>
  <c r="CQ41" i="15"/>
  <c r="CQ23" i="15"/>
  <c r="BN30" i="15"/>
  <c r="CJ30" i="15" s="1"/>
  <c r="Z60" i="7"/>
  <c r="Z70" i="7"/>
  <c r="CF59" i="3"/>
  <c r="CF60" i="3"/>
  <c r="CQ22" i="15"/>
  <c r="CJ20" i="15"/>
  <c r="AR15" i="14"/>
  <c r="DD22" i="14"/>
  <c r="CX22" i="14" s="1"/>
  <c r="DD53" i="14"/>
  <c r="BG53" i="14" s="1"/>
  <c r="CE42" i="14"/>
  <c r="DD56" i="14"/>
  <c r="BG56" i="14" s="1"/>
  <c r="DD59" i="14"/>
  <c r="BG59" i="14" s="1"/>
  <c r="CE31" i="14"/>
  <c r="HO19" i="3"/>
  <c r="HP21" i="3"/>
  <c r="CD77" i="3"/>
  <c r="CP79" i="3"/>
  <c r="GA78" i="3" s="1"/>
  <c r="CD75" i="3"/>
  <c r="CP62" i="3"/>
  <c r="GA61" i="3" s="1"/>
  <c r="AH41" i="7"/>
  <c r="HV45" i="3"/>
  <c r="AH45" i="7"/>
  <c r="HV49" i="3"/>
  <c r="HV41" i="3"/>
  <c r="AH37" i="7"/>
  <c r="AH38" i="7"/>
  <c r="HV42" i="3"/>
  <c r="AH44" i="7"/>
  <c r="HV48" i="3"/>
  <c r="AH40" i="7"/>
  <c r="HV44" i="3"/>
  <c r="HV50" i="3"/>
  <c r="AH46" i="7"/>
  <c r="AH43" i="7"/>
  <c r="HV47" i="3"/>
  <c r="AH42" i="7"/>
  <c r="HV46" i="3"/>
  <c r="HV43" i="3"/>
  <c r="AH39" i="7"/>
  <c r="GB45" i="3"/>
  <c r="CB46" i="3"/>
  <c r="GB46" i="3"/>
  <c r="CB47" i="3"/>
  <c r="CB42" i="3"/>
  <c r="GB41" i="3"/>
  <c r="CB43" i="3"/>
  <c r="GB42" i="3"/>
  <c r="CB44" i="3"/>
  <c r="GB43" i="3"/>
  <c r="GB44" i="3"/>
  <c r="CB45" i="3"/>
  <c r="FY45" i="3"/>
  <c r="FY46" i="3"/>
  <c r="FY41" i="3"/>
  <c r="FY42" i="3"/>
  <c r="FY43" i="3"/>
  <c r="FY44" i="3"/>
  <c r="CB41" i="3"/>
  <c r="GB40" i="3"/>
  <c r="GB39" i="3"/>
  <c r="CB40" i="3"/>
  <c r="CE39" i="14"/>
  <c r="FY40" i="3"/>
  <c r="FY39" i="3"/>
  <c r="CP40" i="3"/>
  <c r="GA39" i="3" s="1"/>
  <c r="AH36" i="7"/>
  <c r="HV40" i="3"/>
  <c r="HV39" i="3"/>
  <c r="AH35" i="7"/>
  <c r="DD52" i="14"/>
  <c r="BG52" i="14" s="1"/>
  <c r="CE21" i="14"/>
  <c r="BM21" i="14"/>
  <c r="BN21" i="14" s="1"/>
  <c r="BM20" i="14"/>
  <c r="BN20" i="14" s="1"/>
  <c r="HG19" i="3"/>
  <c r="HH21" i="3"/>
  <c r="CP61" i="3"/>
  <c r="GA60" i="3" s="1"/>
  <c r="HG21" i="3"/>
  <c r="CP60" i="3"/>
  <c r="GA59" i="3" s="1"/>
  <c r="CP63" i="3"/>
  <c r="GA62" i="3" s="1"/>
  <c r="FZ58" i="3"/>
  <c r="HD22" i="3" s="1"/>
  <c r="CP59" i="3"/>
  <c r="GA58" i="3" s="1"/>
  <c r="HF19" i="3"/>
  <c r="CP58" i="3"/>
  <c r="GA57" i="3" s="1"/>
  <c r="CQ59" i="3"/>
  <c r="HF21" i="3"/>
  <c r="CQ61" i="3"/>
  <c r="HE19" i="3"/>
  <c r="HE21" i="3"/>
  <c r="HC21" i="3"/>
  <c r="HC19" i="3"/>
  <c r="HH19" i="3"/>
  <c r="BN38" i="15"/>
  <c r="CA56" i="3" s="1"/>
  <c r="CQ38" i="15"/>
  <c r="CQ56" i="3"/>
  <c r="CQ57" i="3"/>
  <c r="CJ21" i="15"/>
  <c r="Z59" i="7"/>
  <c r="CQ20" i="15"/>
  <c r="AR56" i="15"/>
  <c r="BA56" i="15" s="1"/>
  <c r="HX59" i="3" s="1"/>
  <c r="AR54" i="15"/>
  <c r="BA54" i="15" s="1"/>
  <c r="HX57" i="3" s="1"/>
  <c r="AR60" i="15"/>
  <c r="BA60" i="15" s="1"/>
  <c r="HX63" i="3" s="1"/>
  <c r="AR62" i="15"/>
  <c r="BA62" i="15" s="1"/>
  <c r="HX65" i="3" s="1"/>
  <c r="AR53" i="15"/>
  <c r="BA53" i="15" s="1"/>
  <c r="HX56" i="3" s="1"/>
  <c r="AR63" i="15"/>
  <c r="BA63" i="15" s="1"/>
  <c r="HX66" i="3" s="1"/>
  <c r="AR57" i="15"/>
  <c r="BA57" i="15" s="1"/>
  <c r="HX60" i="3" s="1"/>
  <c r="FZ73" i="3"/>
  <c r="CP74" i="3"/>
  <c r="GA73" i="3" s="1"/>
  <c r="FZ76" i="3"/>
  <c r="HN18" i="3" s="1"/>
  <c r="CP77" i="3"/>
  <c r="GA76" i="3" s="1"/>
  <c r="HM19" i="3"/>
  <c r="HL19" i="3"/>
  <c r="HO21" i="3"/>
  <c r="CP75" i="3"/>
  <c r="GA74" i="3" s="1"/>
  <c r="CP73" i="3"/>
  <c r="GA72" i="3" s="1"/>
  <c r="CP78" i="3"/>
  <c r="GA77" i="3" s="1"/>
  <c r="HM21" i="3"/>
  <c r="CP76" i="3"/>
  <c r="GA75" i="3" s="1"/>
  <c r="HL21" i="3"/>
  <c r="CQ38" i="16"/>
  <c r="CF72" i="3"/>
  <c r="CQ39" i="16"/>
  <c r="CJ20" i="16"/>
  <c r="CQ20" i="16"/>
  <c r="Z83" i="7"/>
  <c r="CQ21" i="16"/>
  <c r="BN21" i="16"/>
  <c r="CJ21" i="16" s="1"/>
  <c r="DX12" i="16"/>
  <c r="DW14" i="16"/>
  <c r="DX14" i="16" s="1"/>
  <c r="DW20" i="16"/>
  <c r="DX20" i="16" s="1"/>
  <c r="DX9" i="6"/>
  <c r="DX9" i="14"/>
  <c r="GH17" i="3"/>
  <c r="HO18" i="3"/>
  <c r="HP18" i="3"/>
  <c r="HL18" i="3"/>
  <c r="HM18" i="3"/>
  <c r="HE18" i="3"/>
  <c r="HF18" i="3"/>
  <c r="HG18" i="3"/>
  <c r="HH18" i="3"/>
  <c r="HC18" i="3"/>
  <c r="GH23" i="3"/>
  <c r="HP22" i="3"/>
  <c r="HO22" i="3"/>
  <c r="HL22" i="3"/>
  <c r="HM22" i="3"/>
  <c r="HC22" i="3"/>
  <c r="HE22" i="3"/>
  <c r="HF22" i="3"/>
  <c r="HG22" i="3"/>
  <c r="HH22" i="3"/>
  <c r="ED17" i="3"/>
  <c r="GI23" i="3"/>
  <c r="GI16" i="3"/>
  <c r="ED23" i="3"/>
  <c r="EE23" i="3"/>
  <c r="CD58" i="3"/>
  <c r="CD63" i="3"/>
  <c r="CD61" i="3"/>
  <c r="CQ45" i="15"/>
  <c r="BN42" i="15"/>
  <c r="CA60" i="3" s="1"/>
  <c r="CJ40" i="15"/>
  <c r="CJ45" i="15"/>
  <c r="BN38" i="16"/>
  <c r="CA72" i="3" s="1"/>
  <c r="CJ41" i="16"/>
  <c r="CJ44" i="16"/>
  <c r="CJ40" i="16"/>
  <c r="CJ43" i="15"/>
  <c r="CJ39" i="15"/>
  <c r="AT45" i="14"/>
  <c r="CN47" i="3" s="1"/>
  <c r="FZ46" i="3" s="1"/>
  <c r="AT40" i="14"/>
  <c r="CN42" i="3" s="1"/>
  <c r="FZ41" i="3" s="1"/>
  <c r="AT41" i="14"/>
  <c r="CN43" i="3" s="1"/>
  <c r="FZ42" i="3" s="1"/>
  <c r="AT42" i="14"/>
  <c r="CN44" i="3" s="1"/>
  <c r="FZ43" i="3" s="1"/>
  <c r="AT39" i="14"/>
  <c r="CN41" i="3" s="1"/>
  <c r="FZ40" i="3" s="1"/>
  <c r="AT43" i="14"/>
  <c r="CN45" i="3" s="1"/>
  <c r="FZ44" i="3" s="1"/>
  <c r="AT44" i="14"/>
  <c r="CN46" i="3" s="1"/>
  <c r="FZ45" i="3" s="1"/>
  <c r="AK48" i="7"/>
  <c r="Y33" i="7"/>
  <c r="AK72" i="7"/>
  <c r="Y57" i="7"/>
  <c r="AK96" i="7"/>
  <c r="Y81" i="7"/>
  <c r="AR55" i="16"/>
  <c r="BA55" i="16" s="1"/>
  <c r="HX74" i="3" s="1"/>
  <c r="AR53" i="16"/>
  <c r="BA53" i="16" s="1"/>
  <c r="HX72" i="3" s="1"/>
  <c r="AR56" i="16"/>
  <c r="BA56" i="16" s="1"/>
  <c r="HX75" i="3" s="1"/>
  <c r="AR58" i="16"/>
  <c r="BA58" i="16" s="1"/>
  <c r="HX77" i="3" s="1"/>
  <c r="AR59" i="16"/>
  <c r="BA59" i="16" s="1"/>
  <c r="HX78" i="3" s="1"/>
  <c r="AR52" i="16"/>
  <c r="BA52" i="16" s="1"/>
  <c r="HX71" i="3" s="1"/>
  <c r="AR62" i="16"/>
  <c r="BA62" i="16" s="1"/>
  <c r="HX81" i="3" s="1"/>
  <c r="AR63" i="16"/>
  <c r="BA63" i="16" s="1"/>
  <c r="HX82" i="3" s="1"/>
  <c r="AR57" i="16"/>
  <c r="BA57" i="16" s="1"/>
  <c r="HX76" i="3" s="1"/>
  <c r="AR61" i="16"/>
  <c r="BA61" i="16" s="1"/>
  <c r="HX80" i="3" s="1"/>
  <c r="AR60" i="16"/>
  <c r="BA60" i="16" s="1"/>
  <c r="HX79" i="3" s="1"/>
  <c r="AR54" i="16"/>
  <c r="BA54" i="16" s="1"/>
  <c r="HX73" i="3" s="1"/>
  <c r="CJ43" i="16"/>
  <c r="CQ27" i="16"/>
  <c r="CQ24" i="16"/>
  <c r="BN31" i="16"/>
  <c r="CJ31" i="16" s="1"/>
  <c r="BN22" i="16"/>
  <c r="CJ22" i="16" s="1"/>
  <c r="DW20" i="15"/>
  <c r="CJ27" i="15"/>
  <c r="CQ26" i="15"/>
  <c r="CQ40" i="15"/>
  <c r="AR59" i="15"/>
  <c r="BA59" i="15" s="1"/>
  <c r="HX62" i="3" s="1"/>
  <c r="CJ23" i="15"/>
  <c r="AR61" i="15"/>
  <c r="BA61" i="15" s="1"/>
  <c r="HX64" i="3" s="1"/>
  <c r="BN41" i="15"/>
  <c r="CA59" i="3" s="1"/>
  <c r="BN44" i="15"/>
  <c r="CA62" i="3" s="1"/>
  <c r="AR58" i="15"/>
  <c r="BA58" i="15" s="1"/>
  <c r="HX61" i="3" s="1"/>
  <c r="BM27" i="14"/>
  <c r="Z42" i="7" s="1"/>
  <c r="DD41" i="14"/>
  <c r="CX41" i="14" s="1"/>
  <c r="DD44" i="14"/>
  <c r="CX44" i="14" s="1"/>
  <c r="DD23" i="14"/>
  <c r="CX23" i="14" s="1"/>
  <c r="BM39" i="14"/>
  <c r="CF41" i="3" s="1"/>
  <c r="DD43" i="14"/>
  <c r="CX43" i="14" s="1"/>
  <c r="DD20" i="14"/>
  <c r="CX20" i="14" s="1"/>
  <c r="CE38" i="14"/>
  <c r="DD38" i="14"/>
  <c r="CX38" i="14" s="1"/>
  <c r="DD45" i="14"/>
  <c r="CX45" i="14" s="1"/>
  <c r="DD26" i="14"/>
  <c r="CX26" i="14" s="1"/>
  <c r="DD58" i="14"/>
  <c r="BG58" i="14" s="1"/>
  <c r="CE20" i="14"/>
  <c r="DD29" i="14"/>
  <c r="CX29" i="14" s="1"/>
  <c r="BM38" i="14"/>
  <c r="BN38" i="14" s="1"/>
  <c r="CA40" i="3" s="1"/>
  <c r="BM41" i="14"/>
  <c r="CF43" i="3" s="1"/>
  <c r="DD57" i="14"/>
  <c r="BG57" i="14" s="1"/>
  <c r="DD28" i="14"/>
  <c r="CX28" i="14" s="1"/>
  <c r="DD30" i="14"/>
  <c r="CX30" i="14" s="1"/>
  <c r="DD60" i="14"/>
  <c r="BG60" i="14" s="1"/>
  <c r="DD24" i="14"/>
  <c r="CX24" i="14" s="1"/>
  <c r="DD25" i="14"/>
  <c r="CX25" i="14" s="1"/>
  <c r="CE27" i="14"/>
  <c r="BM28" i="14"/>
  <c r="DD61" i="14"/>
  <c r="BG61" i="14" s="1"/>
  <c r="DD63" i="14"/>
  <c r="BG63" i="14" s="1"/>
  <c r="DD40" i="14"/>
  <c r="CX40" i="14" s="1"/>
  <c r="BM40" i="14"/>
  <c r="BN40" i="14" s="1"/>
  <c r="CA42" i="3" s="1"/>
  <c r="DD55" i="14"/>
  <c r="BG55" i="14" s="1"/>
  <c r="DD42" i="14"/>
  <c r="CX42" i="14" s="1"/>
  <c r="CE45" i="14"/>
  <c r="DD21" i="14"/>
  <c r="CX21" i="14" s="1"/>
  <c r="DD39" i="14"/>
  <c r="CX39" i="14" s="1"/>
  <c r="DD54" i="14"/>
  <c r="BG54" i="14" s="1"/>
  <c r="DD62" i="14"/>
  <c r="BG62" i="14" s="1"/>
  <c r="CE22" i="14"/>
  <c r="BM26" i="14"/>
  <c r="Z41" i="7" s="1"/>
  <c r="DD27" i="14"/>
  <c r="CX27" i="14" s="1"/>
  <c r="CE25" i="14"/>
  <c r="BM42" i="14"/>
  <c r="BN42" i="14" s="1"/>
  <c r="CA44" i="3" s="1"/>
  <c r="BM43" i="14"/>
  <c r="BM24" i="14"/>
  <c r="Z39" i="7" s="1"/>
  <c r="BM30" i="14"/>
  <c r="CE41" i="14"/>
  <c r="BM22" i="14"/>
  <c r="BM29" i="14"/>
  <c r="BN29" i="14" s="1"/>
  <c r="CE26" i="14"/>
  <c r="BM31" i="14"/>
  <c r="CE44" i="14"/>
  <c r="CE23" i="14"/>
  <c r="CE28" i="14"/>
  <c r="BM25" i="14"/>
  <c r="BN25" i="14" s="1"/>
  <c r="BM23" i="14"/>
  <c r="CE30" i="14"/>
  <c r="CE43" i="14"/>
  <c r="CE24" i="14"/>
  <c r="CE29" i="14"/>
  <c r="CE40" i="14"/>
  <c r="BM44" i="14"/>
  <c r="BN44" i="14" s="1"/>
  <c r="CA46" i="3" s="1"/>
  <c r="BM45" i="14"/>
  <c r="AT11" i="14"/>
  <c r="AT15" i="14" s="1"/>
  <c r="DW12" i="14"/>
  <c r="DW12" i="6"/>
  <c r="DX12" i="6" s="1"/>
  <c r="CJ42" i="16" l="1"/>
  <c r="CQ76" i="3"/>
  <c r="CQ78" i="3"/>
  <c r="CQ79" i="3"/>
  <c r="CQ77" i="3"/>
  <c r="CQ60" i="3"/>
  <c r="CQ62" i="3"/>
  <c r="CQ63" i="3"/>
  <c r="CQ58" i="3"/>
  <c r="CO42" i="3"/>
  <c r="CQ73" i="3"/>
  <c r="CQ74" i="3"/>
  <c r="CQ75" i="3"/>
  <c r="CO47" i="3"/>
  <c r="CO45" i="3"/>
  <c r="DK35" i="3"/>
  <c r="DK31" i="3"/>
  <c r="DK27" i="3"/>
  <c r="DK28" i="3"/>
  <c r="DK34" i="3"/>
  <c r="DK30" i="3"/>
  <c r="DK26" i="3"/>
  <c r="DK24" i="3"/>
  <c r="DK33" i="3"/>
  <c r="DK29" i="3"/>
  <c r="DK25" i="3"/>
  <c r="DK32" i="3"/>
  <c r="CO46" i="3"/>
  <c r="DM35" i="3"/>
  <c r="DM31" i="3"/>
  <c r="DM27" i="3"/>
  <c r="DM32" i="3"/>
  <c r="DM34" i="3"/>
  <c r="DM30" i="3"/>
  <c r="DM26" i="3"/>
  <c r="DM24" i="3"/>
  <c r="DM33" i="3"/>
  <c r="DM29" i="3"/>
  <c r="DM25" i="3"/>
  <c r="DM28" i="3"/>
  <c r="CO44" i="3"/>
  <c r="CO41" i="3"/>
  <c r="CO43" i="3"/>
  <c r="CD56" i="3"/>
  <c r="CD57" i="3"/>
  <c r="CD79" i="3"/>
  <c r="CD73" i="3"/>
  <c r="CD74" i="3"/>
  <c r="CJ45" i="16"/>
  <c r="CJ25" i="14"/>
  <c r="CQ21" i="14"/>
  <c r="CQ45" i="14"/>
  <c r="CQ31" i="14"/>
  <c r="CQ28" i="14"/>
  <c r="CQ41" i="14"/>
  <c r="Z36" i="7"/>
  <c r="CQ27" i="14"/>
  <c r="CQ26" i="14"/>
  <c r="CQ22" i="14"/>
  <c r="CQ30" i="14"/>
  <c r="Z46" i="7"/>
  <c r="CF47" i="3"/>
  <c r="CQ25" i="14"/>
  <c r="BN26" i="14"/>
  <c r="CJ26" i="14" s="1"/>
  <c r="BN27" i="14"/>
  <c r="CJ27" i="14" s="1"/>
  <c r="BN41" i="14"/>
  <c r="CA43" i="3" s="1"/>
  <c r="GX22" i="3"/>
  <c r="CJ39" i="16"/>
  <c r="GW18" i="3"/>
  <c r="Z45" i="7"/>
  <c r="CQ23" i="14"/>
  <c r="CQ43" i="14"/>
  <c r="CF44" i="3"/>
  <c r="CQ44" i="14"/>
  <c r="CF42" i="3"/>
  <c r="Z38" i="7"/>
  <c r="CF46" i="3"/>
  <c r="Z40" i="7"/>
  <c r="Z44" i="7"/>
  <c r="CJ29" i="14"/>
  <c r="CF45" i="3"/>
  <c r="Z37" i="7"/>
  <c r="Z43" i="7"/>
  <c r="HN22" i="3"/>
  <c r="CP42" i="3"/>
  <c r="GA41" i="3" s="1"/>
  <c r="CP47" i="3"/>
  <c r="GA46" i="3" s="1"/>
  <c r="GC43" i="3"/>
  <c r="GD43" i="3" s="1"/>
  <c r="GC59" i="3"/>
  <c r="GC42" i="3"/>
  <c r="GD42" i="3" s="1"/>
  <c r="GC58" i="3"/>
  <c r="GC57" i="3"/>
  <c r="GC41" i="3"/>
  <c r="GD41" i="3" s="1"/>
  <c r="GC46" i="3"/>
  <c r="GD46" i="3" s="1"/>
  <c r="GC62" i="3"/>
  <c r="GC60" i="3"/>
  <c r="GC44" i="3"/>
  <c r="GD44" i="3" s="1"/>
  <c r="GC61" i="3"/>
  <c r="GC45" i="3"/>
  <c r="GD45" i="3" s="1"/>
  <c r="GX18" i="3"/>
  <c r="CP45" i="3"/>
  <c r="GA44" i="3" s="1"/>
  <c r="CP46" i="3"/>
  <c r="GA45" i="3" s="1"/>
  <c r="GX20" i="3"/>
  <c r="GX19" i="3"/>
  <c r="GX21" i="3"/>
  <c r="CP44" i="3"/>
  <c r="GA43" i="3" s="1"/>
  <c r="GW20" i="3"/>
  <c r="GW19" i="3"/>
  <c r="CP41" i="3"/>
  <c r="GA40" i="3" s="1"/>
  <c r="CP43" i="3"/>
  <c r="GA42" i="3" s="1"/>
  <c r="GC40" i="3"/>
  <c r="GD40" i="3" s="1"/>
  <c r="GC56" i="3"/>
  <c r="GC39" i="3"/>
  <c r="GD39" i="3" s="1"/>
  <c r="GC55" i="3"/>
  <c r="CQ39" i="14"/>
  <c r="BN39" i="14"/>
  <c r="CA41" i="3" s="1"/>
  <c r="CF40" i="3"/>
  <c r="CQ40" i="3"/>
  <c r="CJ21" i="14"/>
  <c r="CJ20" i="14"/>
  <c r="CQ20" i="14"/>
  <c r="Z35" i="7"/>
  <c r="HD21" i="3"/>
  <c r="HD19" i="3"/>
  <c r="HD20" i="3"/>
  <c r="HD18" i="3"/>
  <c r="CJ38" i="15"/>
  <c r="HK20" i="3"/>
  <c r="HK19" i="3"/>
  <c r="HK21" i="3"/>
  <c r="HN20" i="3"/>
  <c r="HN21" i="3"/>
  <c r="HN19" i="3"/>
  <c r="HK22" i="3"/>
  <c r="HK18" i="3"/>
  <c r="DW28" i="16"/>
  <c r="GH24" i="3"/>
  <c r="HK23" i="3"/>
  <c r="HL23" i="3"/>
  <c r="HM23" i="3"/>
  <c r="HN23" i="3"/>
  <c r="HO23" i="3"/>
  <c r="HP23" i="3"/>
  <c r="HC23" i="3"/>
  <c r="HD23" i="3"/>
  <c r="HE23" i="3"/>
  <c r="HF23" i="3"/>
  <c r="GX23" i="3"/>
  <c r="HG23" i="3"/>
  <c r="HH23" i="3"/>
  <c r="GH16" i="3"/>
  <c r="HL17" i="3"/>
  <c r="HM17" i="3"/>
  <c r="HN17" i="3"/>
  <c r="HK17" i="3"/>
  <c r="HO17" i="3"/>
  <c r="HP17" i="3"/>
  <c r="HC17" i="3"/>
  <c r="HD17" i="3"/>
  <c r="GV17" i="3"/>
  <c r="HE17" i="3"/>
  <c r="GW17" i="3"/>
  <c r="HF17" i="3"/>
  <c r="GX17" i="3"/>
  <c r="HG17" i="3"/>
  <c r="HH17" i="3"/>
  <c r="GZ17" i="3"/>
  <c r="ED16" i="3"/>
  <c r="ED15" i="3" s="1"/>
  <c r="GI15" i="3"/>
  <c r="GI24" i="3"/>
  <c r="ED24" i="3"/>
  <c r="EE24" i="3"/>
  <c r="CD46" i="3"/>
  <c r="CD72" i="3"/>
  <c r="CD60" i="3"/>
  <c r="CD59" i="3"/>
  <c r="CD62" i="3"/>
  <c r="CD44" i="3"/>
  <c r="CD42" i="3"/>
  <c r="CD40" i="3"/>
  <c r="CQ38" i="14"/>
  <c r="CJ42" i="15"/>
  <c r="CJ38" i="16"/>
  <c r="CJ44" i="15"/>
  <c r="CJ41" i="15"/>
  <c r="CJ44" i="14"/>
  <c r="CJ40" i="14"/>
  <c r="CJ42" i="14"/>
  <c r="CJ38" i="14"/>
  <c r="DX20" i="15"/>
  <c r="DW28" i="15"/>
  <c r="BN30" i="14"/>
  <c r="CJ30" i="14" s="1"/>
  <c r="BN28" i="14"/>
  <c r="CJ28" i="14" s="1"/>
  <c r="CQ29" i="14"/>
  <c r="CQ42" i="14"/>
  <c r="CQ24" i="14"/>
  <c r="CJ41" i="14"/>
  <c r="CQ40" i="14"/>
  <c r="BN22" i="14"/>
  <c r="CJ22" i="14" s="1"/>
  <c r="AR56" i="14"/>
  <c r="BA56" i="14" s="1"/>
  <c r="HX43" i="3" s="1"/>
  <c r="AR57" i="14"/>
  <c r="BA57" i="14" s="1"/>
  <c r="HX44" i="3" s="1"/>
  <c r="AR58" i="14"/>
  <c r="BA58" i="14" s="1"/>
  <c r="HX45" i="3" s="1"/>
  <c r="AR59" i="14"/>
  <c r="BA59" i="14" s="1"/>
  <c r="HX46" i="3" s="1"/>
  <c r="AR63" i="14"/>
  <c r="BA63" i="14" s="1"/>
  <c r="HX50" i="3" s="1"/>
  <c r="AR60" i="14"/>
  <c r="BA60" i="14" s="1"/>
  <c r="HX47" i="3" s="1"/>
  <c r="AR61" i="14"/>
  <c r="BA61" i="14" s="1"/>
  <c r="HX48" i="3" s="1"/>
  <c r="AR53" i="14"/>
  <c r="BA53" i="14" s="1"/>
  <c r="HX40" i="3" s="1"/>
  <c r="AR55" i="14"/>
  <c r="BA55" i="14" s="1"/>
  <c r="HX42" i="3" s="1"/>
  <c r="AR52" i="14"/>
  <c r="BA52" i="14" s="1"/>
  <c r="HX39" i="3" s="1"/>
  <c r="AR54" i="14"/>
  <c r="BA54" i="14" s="1"/>
  <c r="HX41" i="3" s="1"/>
  <c r="AR62" i="14"/>
  <c r="BA62" i="14" s="1"/>
  <c r="HX49" i="3" s="1"/>
  <c r="BN43" i="14"/>
  <c r="CA45" i="3" s="1"/>
  <c r="BN31" i="14"/>
  <c r="CJ31" i="14" s="1"/>
  <c r="BN24" i="14"/>
  <c r="CJ24" i="14" s="1"/>
  <c r="DX12" i="14"/>
  <c r="DW20" i="14"/>
  <c r="DW28" i="14" s="1"/>
  <c r="DX28" i="14" s="1"/>
  <c r="BN23" i="14"/>
  <c r="CJ23" i="14" s="1"/>
  <c r="BN45" i="14"/>
  <c r="CA47" i="3" s="1"/>
  <c r="DW20" i="6"/>
  <c r="DW21" i="6" s="1"/>
  <c r="DX21" i="6" s="1"/>
  <c r="CQ45" i="3" l="1"/>
  <c r="CQ47" i="3"/>
  <c r="CQ44" i="3"/>
  <c r="CQ46" i="3"/>
  <c r="CQ42" i="3"/>
  <c r="DN35" i="3"/>
  <c r="DN31" i="3"/>
  <c r="DN27" i="3"/>
  <c r="DN32" i="3"/>
  <c r="DN34" i="3"/>
  <c r="DN30" i="3"/>
  <c r="DN26" i="3"/>
  <c r="DN24" i="3"/>
  <c r="DN33" i="3"/>
  <c r="DN29" i="3"/>
  <c r="DN25" i="3"/>
  <c r="DN28" i="3"/>
  <c r="DL35" i="3"/>
  <c r="DL31" i="3"/>
  <c r="DL27" i="3"/>
  <c r="DL32" i="3"/>
  <c r="DL34" i="3"/>
  <c r="DL30" i="3"/>
  <c r="DL26" i="3"/>
  <c r="DL24" i="3"/>
  <c r="DL33" i="3"/>
  <c r="DL29" i="3"/>
  <c r="DL25" i="3"/>
  <c r="DL28" i="3"/>
  <c r="CD43" i="3"/>
  <c r="CD41" i="3"/>
  <c r="CQ43" i="3"/>
  <c r="CQ41" i="3"/>
  <c r="GD77" i="3"/>
  <c r="GD61" i="3"/>
  <c r="GD60" i="3"/>
  <c r="GD76" i="3"/>
  <c r="GD78" i="3"/>
  <c r="GD62" i="3"/>
  <c r="GD57" i="3"/>
  <c r="GD73" i="3"/>
  <c r="GD74" i="3"/>
  <c r="GD58" i="3"/>
  <c r="GD75" i="3"/>
  <c r="GD59" i="3"/>
  <c r="GD56" i="3"/>
  <c r="GD72" i="3"/>
  <c r="GD55" i="3"/>
  <c r="GD71" i="3"/>
  <c r="CJ39" i="14"/>
  <c r="DW38" i="16"/>
  <c r="DW41" i="16" s="1"/>
  <c r="DX41" i="16" s="1"/>
  <c r="DX28" i="16"/>
  <c r="DX20" i="6"/>
  <c r="GH15" i="3"/>
  <c r="HI16" i="3"/>
  <c r="HK16" i="3"/>
  <c r="HL16" i="3"/>
  <c r="HM16" i="3"/>
  <c r="HN16" i="3"/>
  <c r="HO16" i="3"/>
  <c r="HP16" i="3"/>
  <c r="HA16" i="3"/>
  <c r="GS16" i="3"/>
  <c r="HC16" i="3"/>
  <c r="HD16" i="3"/>
  <c r="GV16" i="3"/>
  <c r="HE16" i="3"/>
  <c r="GW16" i="3"/>
  <c r="HF16" i="3"/>
  <c r="GX16" i="3"/>
  <c r="GZ16" i="3"/>
  <c r="HG16" i="3"/>
  <c r="HH16" i="3"/>
  <c r="GH25" i="3"/>
  <c r="HK24" i="3"/>
  <c r="HL24" i="3"/>
  <c r="HM24" i="3"/>
  <c r="HN24" i="3"/>
  <c r="HO24" i="3"/>
  <c r="HP24" i="3"/>
  <c r="HE24" i="3"/>
  <c r="HF24" i="3"/>
  <c r="GX24" i="3"/>
  <c r="HH24" i="3"/>
  <c r="HD24" i="3"/>
  <c r="GI25" i="3"/>
  <c r="GI14" i="3"/>
  <c r="ED25" i="3"/>
  <c r="ED14" i="3"/>
  <c r="EE25" i="3"/>
  <c r="CD47" i="3"/>
  <c r="CD45" i="3"/>
  <c r="CJ43" i="14"/>
  <c r="CJ45" i="14"/>
  <c r="DX28" i="15"/>
  <c r="DW38" i="15"/>
  <c r="DX38" i="15" s="1"/>
  <c r="DX20" i="14"/>
  <c r="DW38" i="14"/>
  <c r="DW28" i="6"/>
  <c r="DX28" i="6" s="1"/>
  <c r="DW52" i="16" l="1"/>
  <c r="DW57" i="16" s="1"/>
  <c r="DX38" i="16"/>
  <c r="DW41" i="15"/>
  <c r="DW52" i="15" s="1"/>
  <c r="DX52" i="15" s="1"/>
  <c r="DX38" i="14"/>
  <c r="GH26" i="3"/>
  <c r="HN25" i="3"/>
  <c r="HO25" i="3"/>
  <c r="HP25" i="3"/>
  <c r="HM25" i="3"/>
  <c r="HK25" i="3"/>
  <c r="HL25" i="3"/>
  <c r="HD25" i="3"/>
  <c r="HE25" i="3"/>
  <c r="HF25" i="3"/>
  <c r="GX25" i="3"/>
  <c r="HH25" i="3"/>
  <c r="GH14" i="3"/>
  <c r="HI15" i="3"/>
  <c r="HK15" i="3"/>
  <c r="HL15" i="3"/>
  <c r="HM15" i="3"/>
  <c r="HN15" i="3"/>
  <c r="HO15" i="3"/>
  <c r="HP15" i="3"/>
  <c r="HE15" i="3"/>
  <c r="GW15" i="3"/>
  <c r="HF15" i="3"/>
  <c r="GX15" i="3"/>
  <c r="HG15" i="3"/>
  <c r="HH15" i="3"/>
  <c r="GZ15" i="3"/>
  <c r="HA15" i="3"/>
  <c r="GS15" i="3"/>
  <c r="HC15" i="3"/>
  <c r="HD15" i="3"/>
  <c r="GV15" i="3"/>
  <c r="GI13" i="3"/>
  <c r="GI26" i="3"/>
  <c r="ED26" i="3"/>
  <c r="ED13" i="3"/>
  <c r="EE26" i="3"/>
  <c r="DW41" i="14"/>
  <c r="DW38" i="6"/>
  <c r="DX38" i="6" l="1"/>
  <c r="DX57" i="16"/>
  <c r="R23" i="20" s="1"/>
  <c r="Q23" i="20" s="1"/>
  <c r="R19" i="20"/>
  <c r="Q19" i="20" s="1"/>
  <c r="R15" i="20"/>
  <c r="Q15" i="20" s="1"/>
  <c r="R32" i="20"/>
  <c r="Q32" i="20" s="1"/>
  <c r="DX52" i="16"/>
  <c r="R17" i="20"/>
  <c r="Q17" i="20" s="1"/>
  <c r="R38" i="20"/>
  <c r="Q38" i="20" s="1"/>
  <c r="R34" i="20"/>
  <c r="Q34" i="20" s="1"/>
  <c r="R45" i="20"/>
  <c r="Q45" i="20" s="1"/>
  <c r="R39" i="20"/>
  <c r="Q39" i="20" s="1"/>
  <c r="R42" i="20"/>
  <c r="Q42" i="20" s="1"/>
  <c r="R21" i="20"/>
  <c r="Q21" i="20" s="1"/>
  <c r="R30" i="20"/>
  <c r="Q30" i="20" s="1"/>
  <c r="R29" i="20"/>
  <c r="Q29" i="20" s="1"/>
  <c r="R44" i="20"/>
  <c r="Q44" i="20" s="1"/>
  <c r="R43" i="20"/>
  <c r="Q43" i="20" s="1"/>
  <c r="R20" i="20"/>
  <c r="Q20" i="20" s="1"/>
  <c r="R46" i="20"/>
  <c r="Q46" i="20" s="1"/>
  <c r="R40" i="20"/>
  <c r="Q40" i="20" s="1"/>
  <c r="R41" i="20"/>
  <c r="Q41" i="20" s="1"/>
  <c r="R31" i="20"/>
  <c r="Q31" i="20" s="1"/>
  <c r="R50" i="20"/>
  <c r="Q50" i="20" s="1"/>
  <c r="R26" i="20"/>
  <c r="Q26" i="20" s="1"/>
  <c r="R28" i="20"/>
  <c r="Q28" i="20" s="1"/>
  <c r="R49" i="20"/>
  <c r="Q49" i="20" s="1"/>
  <c r="R24" i="20"/>
  <c r="Q24" i="20" s="1"/>
  <c r="R27" i="20"/>
  <c r="Q27" i="20" s="1"/>
  <c r="R35" i="20"/>
  <c r="Q35" i="20" s="1"/>
  <c r="R36" i="20"/>
  <c r="Q36" i="20" s="1"/>
  <c r="R37" i="20"/>
  <c r="Q37" i="20" s="1"/>
  <c r="R48" i="20"/>
  <c r="Q48" i="20" s="1"/>
  <c r="R25" i="20"/>
  <c r="Q25" i="20" s="1"/>
  <c r="R22" i="20"/>
  <c r="Q22" i="20" s="1"/>
  <c r="R33" i="20"/>
  <c r="Q33" i="20" s="1"/>
  <c r="R47" i="20"/>
  <c r="Q47" i="20" s="1"/>
  <c r="DX41" i="15"/>
  <c r="DX41" i="14"/>
  <c r="GH27" i="3"/>
  <c r="HK26" i="3"/>
  <c r="HL26" i="3"/>
  <c r="HM26" i="3"/>
  <c r="HN26" i="3"/>
  <c r="HO26" i="3"/>
  <c r="HP26" i="3"/>
  <c r="HE26" i="3"/>
  <c r="HF26" i="3"/>
  <c r="GX26" i="3"/>
  <c r="HH26" i="3"/>
  <c r="GH13" i="3"/>
  <c r="HO14" i="3"/>
  <c r="HP14" i="3"/>
  <c r="HI14" i="3"/>
  <c r="HN14" i="3"/>
  <c r="HK14" i="3"/>
  <c r="HL14" i="3"/>
  <c r="HM14" i="3"/>
  <c r="HA14" i="3"/>
  <c r="GS14" i="3"/>
  <c r="HC14" i="3"/>
  <c r="HD14" i="3"/>
  <c r="GV14" i="3"/>
  <c r="HE14" i="3"/>
  <c r="GW14" i="3"/>
  <c r="HF14" i="3"/>
  <c r="GX14" i="3"/>
  <c r="HG14" i="3"/>
  <c r="HH14" i="3"/>
  <c r="GZ14" i="3"/>
  <c r="GI12" i="3"/>
  <c r="GI27" i="3"/>
  <c r="ED27" i="3"/>
  <c r="ED12" i="3"/>
  <c r="EE27" i="3"/>
  <c r="DW57" i="15"/>
  <c r="DX57" i="15" s="1"/>
  <c r="O50" i="20" s="1"/>
  <c r="N50" i="20" s="1"/>
  <c r="DW52" i="14"/>
  <c r="DW57" i="14" s="1"/>
  <c r="DX57" i="14" s="1"/>
  <c r="L39" i="20" s="1"/>
  <c r="K39" i="20" s="1"/>
  <c r="DW41" i="6"/>
  <c r="L13" i="20" l="1"/>
  <c r="K13" i="20" s="1"/>
  <c r="O13" i="20"/>
  <c r="N13" i="20" s="1"/>
  <c r="L14" i="20"/>
  <c r="K14" i="20" s="1"/>
  <c r="L23" i="20"/>
  <c r="K23" i="20" s="1"/>
  <c r="L27" i="20"/>
  <c r="K27" i="20" s="1"/>
  <c r="L49" i="20"/>
  <c r="K49" i="20" s="1"/>
  <c r="L34" i="20"/>
  <c r="K34" i="20" s="1"/>
  <c r="L43" i="20"/>
  <c r="K43" i="20" s="1"/>
  <c r="O14" i="20"/>
  <c r="N14" i="20" s="1"/>
  <c r="O15" i="20"/>
  <c r="N15" i="20" s="1"/>
  <c r="O16" i="20"/>
  <c r="N16" i="20" s="1"/>
  <c r="O17" i="20"/>
  <c r="N17" i="20" s="1"/>
  <c r="O18" i="20"/>
  <c r="N18" i="20" s="1"/>
  <c r="R13" i="20"/>
  <c r="Q13" i="20" s="1"/>
  <c r="R18" i="20"/>
  <c r="Q18" i="20" s="1"/>
  <c r="R14" i="20"/>
  <c r="Q14" i="20" s="1"/>
  <c r="R16" i="20"/>
  <c r="Q16" i="20" s="1"/>
  <c r="O19" i="20"/>
  <c r="N19" i="20" s="1"/>
  <c r="O44" i="20"/>
  <c r="N44" i="20" s="1"/>
  <c r="O32" i="20"/>
  <c r="N32" i="20" s="1"/>
  <c r="O21" i="20"/>
  <c r="N21" i="20" s="1"/>
  <c r="O49" i="20"/>
  <c r="N49" i="20" s="1"/>
  <c r="O24" i="20"/>
  <c r="N24" i="20" s="1"/>
  <c r="O37" i="20"/>
  <c r="N37" i="20" s="1"/>
  <c r="O48" i="20"/>
  <c r="N48" i="20" s="1"/>
  <c r="O39" i="20"/>
  <c r="N39" i="20" s="1"/>
  <c r="O20" i="20"/>
  <c r="N20" i="20" s="1"/>
  <c r="O36" i="20"/>
  <c r="N36" i="20" s="1"/>
  <c r="O27" i="20"/>
  <c r="N27" i="20" s="1"/>
  <c r="O35" i="20"/>
  <c r="N35" i="20" s="1"/>
  <c r="O45" i="20"/>
  <c r="N45" i="20" s="1"/>
  <c r="O28" i="20"/>
  <c r="N28" i="20" s="1"/>
  <c r="O26" i="20"/>
  <c r="N26" i="20" s="1"/>
  <c r="O47" i="20"/>
  <c r="N47" i="20" s="1"/>
  <c r="O38" i="20"/>
  <c r="N38" i="20" s="1"/>
  <c r="O23" i="20"/>
  <c r="N23" i="20" s="1"/>
  <c r="O40" i="20"/>
  <c r="N40" i="20" s="1"/>
  <c r="O33" i="20"/>
  <c r="N33" i="20" s="1"/>
  <c r="O31" i="20"/>
  <c r="N31" i="20" s="1"/>
  <c r="O46" i="20"/>
  <c r="N46" i="20" s="1"/>
  <c r="O25" i="20"/>
  <c r="N25" i="20" s="1"/>
  <c r="O43" i="20"/>
  <c r="N43" i="20" s="1"/>
  <c r="O42" i="20"/>
  <c r="N42" i="20" s="1"/>
  <c r="O34" i="20"/>
  <c r="N34" i="20" s="1"/>
  <c r="O41" i="20"/>
  <c r="N41" i="20" s="1"/>
  <c r="O22" i="20"/>
  <c r="N22" i="20" s="1"/>
  <c r="O30" i="20"/>
  <c r="N30" i="20" s="1"/>
  <c r="O29" i="20"/>
  <c r="N29" i="20" s="1"/>
  <c r="L32" i="20"/>
  <c r="K32" i="20" s="1"/>
  <c r="L22" i="20"/>
  <c r="K22" i="20" s="1"/>
  <c r="L29" i="20"/>
  <c r="K29" i="20" s="1"/>
  <c r="L25" i="20"/>
  <c r="K25" i="20" s="1"/>
  <c r="L36" i="20"/>
  <c r="K36" i="20" s="1"/>
  <c r="L18" i="20"/>
  <c r="K18" i="20" s="1"/>
  <c r="L28" i="20"/>
  <c r="K28" i="20" s="1"/>
  <c r="L31" i="20"/>
  <c r="K31" i="20" s="1"/>
  <c r="DX52" i="14"/>
  <c r="L15" i="20" s="1"/>
  <c r="K15" i="20" s="1"/>
  <c r="L37" i="20"/>
  <c r="K37" i="20" s="1"/>
  <c r="L46" i="20"/>
  <c r="K46" i="20" s="1"/>
  <c r="L41" i="20"/>
  <c r="K41" i="20" s="1"/>
  <c r="L38" i="20"/>
  <c r="K38" i="20" s="1"/>
  <c r="L47" i="20"/>
  <c r="K47" i="20" s="1"/>
  <c r="L45" i="20"/>
  <c r="K45" i="20" s="1"/>
  <c r="L30" i="20"/>
  <c r="K30" i="20" s="1"/>
  <c r="L20" i="20"/>
  <c r="K20" i="20" s="1"/>
  <c r="L50" i="20"/>
  <c r="K50" i="20" s="1"/>
  <c r="L44" i="20"/>
  <c r="K44" i="20" s="1"/>
  <c r="L24" i="20"/>
  <c r="K24" i="20" s="1"/>
  <c r="L21" i="20"/>
  <c r="K21" i="20" s="1"/>
  <c r="L35" i="20"/>
  <c r="K35" i="20" s="1"/>
  <c r="L48" i="20"/>
  <c r="K48" i="20" s="1"/>
  <c r="L40" i="20"/>
  <c r="K40" i="20" s="1"/>
  <c r="L42" i="20"/>
  <c r="K42" i="20" s="1"/>
  <c r="L26" i="20"/>
  <c r="K26" i="20" s="1"/>
  <c r="L33" i="20"/>
  <c r="K33" i="20" s="1"/>
  <c r="GH12" i="3"/>
  <c r="HL13" i="3"/>
  <c r="HM13" i="3"/>
  <c r="HN13" i="3"/>
  <c r="HO13" i="3"/>
  <c r="HP13" i="3"/>
  <c r="HK13" i="3"/>
  <c r="HC13" i="3"/>
  <c r="HD13" i="3"/>
  <c r="GV13" i="3"/>
  <c r="HE13" i="3"/>
  <c r="GW13" i="3"/>
  <c r="HF13" i="3"/>
  <c r="GX13" i="3"/>
  <c r="HG13" i="3"/>
  <c r="HH13" i="3"/>
  <c r="GZ13" i="3"/>
  <c r="GH28" i="3"/>
  <c r="HK27" i="3"/>
  <c r="HL27" i="3"/>
  <c r="HM27" i="3"/>
  <c r="HN27" i="3"/>
  <c r="HO27" i="3"/>
  <c r="HP27" i="3"/>
  <c r="HE27" i="3"/>
  <c r="GW27" i="3"/>
  <c r="HF27" i="3"/>
  <c r="HH27" i="3"/>
  <c r="GI28" i="3"/>
  <c r="GI11" i="3"/>
  <c r="ED28" i="3"/>
  <c r="ED11" i="3"/>
  <c r="EE28" i="3"/>
  <c r="DX41" i="6"/>
  <c r="DW52" i="6"/>
  <c r="DX52" i="6" s="1"/>
  <c r="L19" i="20" l="1"/>
  <c r="K19" i="20" s="1"/>
  <c r="L16" i="20"/>
  <c r="K16" i="20" s="1"/>
  <c r="L17" i="20"/>
  <c r="K17" i="20" s="1"/>
  <c r="GH29" i="3"/>
  <c r="HM28" i="3"/>
  <c r="HN28" i="3"/>
  <c r="HO28" i="3"/>
  <c r="HP28" i="3"/>
  <c r="HL28" i="3"/>
  <c r="HI28" i="3"/>
  <c r="HK28" i="3"/>
  <c r="HA28" i="3"/>
  <c r="GS28" i="3"/>
  <c r="HE28" i="3"/>
  <c r="GW28" i="3"/>
  <c r="HF28" i="3"/>
  <c r="HH28" i="3"/>
  <c r="GH11" i="3"/>
  <c r="HK12" i="3"/>
  <c r="HL12" i="3"/>
  <c r="HM12" i="3"/>
  <c r="HN12" i="3"/>
  <c r="HO12" i="3"/>
  <c r="HP12" i="3"/>
  <c r="HE12" i="3"/>
  <c r="GW12" i="3"/>
  <c r="HF12" i="3"/>
  <c r="GX12" i="3"/>
  <c r="HG12" i="3"/>
  <c r="HH12" i="3"/>
  <c r="GZ12" i="3"/>
  <c r="HC12" i="3"/>
  <c r="HD12" i="3"/>
  <c r="GV12" i="3"/>
  <c r="GI10" i="3"/>
  <c r="GI29" i="3"/>
  <c r="ED29" i="3"/>
  <c r="ED10" i="3"/>
  <c r="EE29" i="3"/>
  <c r="DW57" i="6"/>
  <c r="DX57" i="6" l="1"/>
  <c r="I13" i="20" s="1"/>
  <c r="H13" i="20" s="1"/>
  <c r="I15" i="20"/>
  <c r="H15" i="20" s="1"/>
  <c r="I14" i="20"/>
  <c r="H14" i="20" s="1"/>
  <c r="I16" i="20"/>
  <c r="H16" i="20" s="1"/>
  <c r="I17" i="20"/>
  <c r="H17" i="20" s="1"/>
  <c r="I48" i="20"/>
  <c r="H48" i="20" s="1"/>
  <c r="I36" i="20"/>
  <c r="H36" i="20" s="1"/>
  <c r="I23" i="20"/>
  <c r="H23" i="20" s="1"/>
  <c r="I35" i="20"/>
  <c r="H35" i="20" s="1"/>
  <c r="I20" i="20"/>
  <c r="H20" i="20" s="1"/>
  <c r="I46" i="20"/>
  <c r="H46" i="20" s="1"/>
  <c r="I34" i="20"/>
  <c r="H34" i="20" s="1"/>
  <c r="I45" i="20"/>
  <c r="H45" i="20" s="1"/>
  <c r="I19" i="20"/>
  <c r="H19" i="20" s="1"/>
  <c r="I50" i="20"/>
  <c r="H50" i="20" s="1"/>
  <c r="I29" i="20"/>
  <c r="H29" i="20" s="1"/>
  <c r="I40" i="20"/>
  <c r="H40" i="20" s="1"/>
  <c r="I49" i="20"/>
  <c r="H49" i="20" s="1"/>
  <c r="I42" i="20"/>
  <c r="H42" i="20" s="1"/>
  <c r="I37" i="20"/>
  <c r="H37" i="20" s="1"/>
  <c r="I30" i="20"/>
  <c r="H30" i="20" s="1"/>
  <c r="I22" i="20"/>
  <c r="H22" i="20" s="1"/>
  <c r="I38" i="20"/>
  <c r="H38" i="20" s="1"/>
  <c r="I18" i="20"/>
  <c r="H18" i="20" s="1"/>
  <c r="I43" i="20"/>
  <c r="H43" i="20" s="1"/>
  <c r="I33" i="20"/>
  <c r="H33" i="20" s="1"/>
  <c r="I24" i="20"/>
  <c r="H24" i="20" s="1"/>
  <c r="I21" i="20"/>
  <c r="H21" i="20" s="1"/>
  <c r="I32" i="20"/>
  <c r="H32" i="20" s="1"/>
  <c r="I44" i="20"/>
  <c r="H44" i="20" s="1"/>
  <c r="I26" i="20"/>
  <c r="H26" i="20" s="1"/>
  <c r="I47" i="20"/>
  <c r="H47" i="20" s="1"/>
  <c r="I27" i="20"/>
  <c r="H27" i="20" s="1"/>
  <c r="I25" i="20"/>
  <c r="H25" i="20" s="1"/>
  <c r="I28" i="20"/>
  <c r="H28" i="20" s="1"/>
  <c r="I41" i="20"/>
  <c r="H41" i="20" s="1"/>
  <c r="I31" i="20"/>
  <c r="H31" i="20" s="1"/>
  <c r="I39" i="20"/>
  <c r="H39" i="20" s="1"/>
  <c r="GH10" i="3"/>
  <c r="HK11" i="3"/>
  <c r="HL11" i="3"/>
  <c r="HM11" i="3"/>
  <c r="HN11" i="3"/>
  <c r="HO11" i="3"/>
  <c r="HP11" i="3"/>
  <c r="HC11" i="3"/>
  <c r="GU11" i="3"/>
  <c r="HD11" i="3"/>
  <c r="GV11" i="3"/>
  <c r="HE11" i="3"/>
  <c r="GW11" i="3"/>
  <c r="HF11" i="3"/>
  <c r="GX11" i="3"/>
  <c r="HG11" i="3"/>
  <c r="GY11" i="3"/>
  <c r="HH11" i="3"/>
  <c r="GZ11" i="3"/>
  <c r="GH30" i="3"/>
  <c r="HP29" i="3"/>
  <c r="HO29" i="3"/>
  <c r="HI29" i="3"/>
  <c r="HK29" i="3"/>
  <c r="HL29" i="3"/>
  <c r="HM29" i="3"/>
  <c r="HN29" i="3"/>
  <c r="HA29" i="3"/>
  <c r="GS29" i="3"/>
  <c r="HE29" i="3"/>
  <c r="GW29" i="3"/>
  <c r="HF29" i="3"/>
  <c r="HH29" i="3"/>
  <c r="GI30" i="3"/>
  <c r="GI9" i="3"/>
  <c r="ED30" i="3"/>
  <c r="ED9" i="3"/>
  <c r="EE30" i="3"/>
  <c r="DE53" i="6"/>
  <c r="DE54" i="6"/>
  <c r="DE55" i="6"/>
  <c r="DE56" i="6"/>
  <c r="DE57" i="6"/>
  <c r="DE58" i="6"/>
  <c r="DE59" i="6"/>
  <c r="DE60" i="6"/>
  <c r="DE61" i="6"/>
  <c r="DE62" i="6"/>
  <c r="DE63" i="6"/>
  <c r="DE52" i="6"/>
  <c r="DH63" i="6"/>
  <c r="DG63" i="6"/>
  <c r="DF63" i="6"/>
  <c r="DH62" i="6"/>
  <c r="DG62" i="6"/>
  <c r="DF62" i="6"/>
  <c r="DH61" i="6"/>
  <c r="DG61" i="6"/>
  <c r="DF61" i="6"/>
  <c r="DH60" i="6"/>
  <c r="DG60" i="6"/>
  <c r="DF60" i="6"/>
  <c r="DH59" i="6"/>
  <c r="DG59" i="6"/>
  <c r="DF59" i="6"/>
  <c r="DH58" i="6"/>
  <c r="DG58" i="6"/>
  <c r="DF58" i="6"/>
  <c r="DH57" i="6"/>
  <c r="DG57" i="6"/>
  <c r="DF57" i="6"/>
  <c r="DH56" i="6"/>
  <c r="DG56" i="6"/>
  <c r="DF56" i="6"/>
  <c r="DH55" i="6"/>
  <c r="DG55" i="6"/>
  <c r="DF55" i="6"/>
  <c r="DH54" i="6"/>
  <c r="DG54" i="6"/>
  <c r="DF54" i="6"/>
  <c r="DH53" i="6"/>
  <c r="DG53" i="6"/>
  <c r="DF53" i="6"/>
  <c r="DH52" i="6"/>
  <c r="DG52" i="6"/>
  <c r="DF52" i="6"/>
  <c r="DU45" i="6"/>
  <c r="DT45" i="6"/>
  <c r="DS45" i="6"/>
  <c r="DR45" i="6"/>
  <c r="DQ45" i="6"/>
  <c r="DP45" i="6"/>
  <c r="DO45" i="6"/>
  <c r="DN45" i="6"/>
  <c r="DM45" i="6"/>
  <c r="DL45" i="6"/>
  <c r="DK45" i="6"/>
  <c r="DJ45" i="6"/>
  <c r="DI45" i="6"/>
  <c r="DH45" i="6"/>
  <c r="DG45" i="6"/>
  <c r="DF45" i="6"/>
  <c r="DE45" i="6"/>
  <c r="DU44" i="6"/>
  <c r="DT44" i="6"/>
  <c r="DS44" i="6"/>
  <c r="DR44" i="6"/>
  <c r="DQ44" i="6"/>
  <c r="DP44" i="6"/>
  <c r="DO44" i="6"/>
  <c r="DN44" i="6"/>
  <c r="DM44" i="6"/>
  <c r="DL44" i="6"/>
  <c r="DK44" i="6"/>
  <c r="DJ44" i="6"/>
  <c r="DI44" i="6"/>
  <c r="DH44" i="6"/>
  <c r="DG44" i="6"/>
  <c r="DF44" i="6"/>
  <c r="DE44" i="6"/>
  <c r="DU43" i="6"/>
  <c r="DT43" i="6"/>
  <c r="DS43" i="6"/>
  <c r="DR43" i="6"/>
  <c r="DQ43" i="6"/>
  <c r="DP43" i="6"/>
  <c r="DO43" i="6"/>
  <c r="DN43" i="6"/>
  <c r="DM43" i="6"/>
  <c r="DL43" i="6"/>
  <c r="DK43" i="6"/>
  <c r="DJ43" i="6"/>
  <c r="DI43" i="6"/>
  <c r="DH43" i="6"/>
  <c r="DG43" i="6"/>
  <c r="DF43" i="6"/>
  <c r="DE43" i="6"/>
  <c r="DU42" i="6"/>
  <c r="DT42" i="6"/>
  <c r="DS42" i="6"/>
  <c r="DR42" i="6"/>
  <c r="DQ42" i="6"/>
  <c r="DP42" i="6"/>
  <c r="DO42" i="6"/>
  <c r="DN42" i="6"/>
  <c r="DM42" i="6"/>
  <c r="DL42" i="6"/>
  <c r="DK42" i="6"/>
  <c r="DJ42" i="6"/>
  <c r="DI42" i="6"/>
  <c r="DH42" i="6"/>
  <c r="DG42" i="6"/>
  <c r="DF42" i="6"/>
  <c r="DE42" i="6"/>
  <c r="DU41" i="6"/>
  <c r="DT41" i="6"/>
  <c r="DS41" i="6"/>
  <c r="DR41" i="6"/>
  <c r="DQ41" i="6"/>
  <c r="DP41" i="6"/>
  <c r="DO41" i="6"/>
  <c r="DN41" i="6"/>
  <c r="DM41" i="6"/>
  <c r="DL41" i="6"/>
  <c r="DK41" i="6"/>
  <c r="DJ41" i="6"/>
  <c r="DI41" i="6"/>
  <c r="DH41" i="6"/>
  <c r="DG41" i="6"/>
  <c r="DF41" i="6"/>
  <c r="DE41" i="6"/>
  <c r="DU40" i="6"/>
  <c r="DT40" i="6"/>
  <c r="DS40" i="6"/>
  <c r="DR40" i="6"/>
  <c r="DQ40" i="6"/>
  <c r="DP40" i="6"/>
  <c r="DO40" i="6"/>
  <c r="DN40" i="6"/>
  <c r="DM40" i="6"/>
  <c r="DL40" i="6"/>
  <c r="DK40" i="6"/>
  <c r="DJ40" i="6"/>
  <c r="DI40" i="6"/>
  <c r="DH40" i="6"/>
  <c r="DG40" i="6"/>
  <c r="DF40" i="6"/>
  <c r="DE40" i="6"/>
  <c r="DU39" i="6"/>
  <c r="DT39" i="6"/>
  <c r="DS39" i="6"/>
  <c r="DR39" i="6"/>
  <c r="DQ39" i="6"/>
  <c r="DP39" i="6"/>
  <c r="DO39" i="6"/>
  <c r="DN39" i="6"/>
  <c r="DM39" i="6"/>
  <c r="DL39" i="6"/>
  <c r="DK39" i="6"/>
  <c r="DJ39" i="6"/>
  <c r="DI39" i="6"/>
  <c r="DH39" i="6"/>
  <c r="DG39" i="6"/>
  <c r="DF39" i="6"/>
  <c r="DE39" i="6"/>
  <c r="DU38" i="6"/>
  <c r="DT38" i="6"/>
  <c r="DS38" i="6"/>
  <c r="DR38" i="6"/>
  <c r="DQ38" i="6"/>
  <c r="DP38" i="6"/>
  <c r="DO38" i="6"/>
  <c r="DN38" i="6"/>
  <c r="DM38" i="6"/>
  <c r="DL38" i="6"/>
  <c r="DK38" i="6"/>
  <c r="DJ38" i="6"/>
  <c r="DI38" i="6"/>
  <c r="DH38" i="6"/>
  <c r="DG38" i="6"/>
  <c r="DF38" i="6"/>
  <c r="DE38" i="6"/>
  <c r="DU21" i="6"/>
  <c r="DU22" i="6"/>
  <c r="DU23" i="6"/>
  <c r="DU24" i="6"/>
  <c r="DU25" i="6"/>
  <c r="DU26" i="6"/>
  <c r="DU27" i="6"/>
  <c r="DU28" i="6"/>
  <c r="DU29" i="6"/>
  <c r="DU30" i="6"/>
  <c r="DU31" i="6"/>
  <c r="DU20" i="6"/>
  <c r="DE21" i="6"/>
  <c r="DF21" i="6"/>
  <c r="DG21" i="6"/>
  <c r="DH21" i="6"/>
  <c r="DI21" i="6"/>
  <c r="DJ21" i="6"/>
  <c r="DK21" i="6"/>
  <c r="DL21" i="6"/>
  <c r="DM21" i="6"/>
  <c r="DN21" i="6"/>
  <c r="DO21" i="6"/>
  <c r="DP21" i="6"/>
  <c r="DQ21" i="6"/>
  <c r="DR21" i="6"/>
  <c r="DS21" i="6"/>
  <c r="DT21" i="6"/>
  <c r="DE22" i="6"/>
  <c r="DF22" i="6"/>
  <c r="DG22" i="6"/>
  <c r="DH22" i="6"/>
  <c r="DI22" i="6"/>
  <c r="DJ22" i="6"/>
  <c r="DK22" i="6"/>
  <c r="DL22" i="6"/>
  <c r="DM22" i="6"/>
  <c r="DN22" i="6"/>
  <c r="DO22" i="6"/>
  <c r="DP22" i="6"/>
  <c r="DQ22" i="6"/>
  <c r="DR22" i="6"/>
  <c r="DS22" i="6"/>
  <c r="DT22" i="6"/>
  <c r="DE23" i="6"/>
  <c r="DF23" i="6"/>
  <c r="DG23" i="6"/>
  <c r="DH23" i="6"/>
  <c r="DI23" i="6"/>
  <c r="DJ23" i="6"/>
  <c r="DK23" i="6"/>
  <c r="DL23" i="6"/>
  <c r="DM23" i="6"/>
  <c r="DN23" i="6"/>
  <c r="DO23" i="6"/>
  <c r="DP23" i="6"/>
  <c r="DQ23" i="6"/>
  <c r="DR23" i="6"/>
  <c r="DS23" i="6"/>
  <c r="DT23" i="6"/>
  <c r="DE24" i="6"/>
  <c r="DF24" i="6"/>
  <c r="DG24" i="6"/>
  <c r="DH24" i="6"/>
  <c r="DI24" i="6"/>
  <c r="DJ24" i="6"/>
  <c r="DK24" i="6"/>
  <c r="DL24" i="6"/>
  <c r="DM24" i="6"/>
  <c r="DN24" i="6"/>
  <c r="DO24" i="6"/>
  <c r="DP24" i="6"/>
  <c r="DQ24" i="6"/>
  <c r="DR24" i="6"/>
  <c r="DS24" i="6"/>
  <c r="DT24" i="6"/>
  <c r="DE25" i="6"/>
  <c r="DF25" i="6"/>
  <c r="DG25" i="6"/>
  <c r="DH25" i="6"/>
  <c r="DI25" i="6"/>
  <c r="DJ25" i="6"/>
  <c r="DK25" i="6"/>
  <c r="DL25" i="6"/>
  <c r="DM25" i="6"/>
  <c r="DN25" i="6"/>
  <c r="DO25" i="6"/>
  <c r="DP25" i="6"/>
  <c r="DQ25" i="6"/>
  <c r="DR25" i="6"/>
  <c r="DS25" i="6"/>
  <c r="DT25" i="6"/>
  <c r="DE26" i="6"/>
  <c r="DF26" i="6"/>
  <c r="DG26" i="6"/>
  <c r="DH26" i="6"/>
  <c r="DI26" i="6"/>
  <c r="DJ26" i="6"/>
  <c r="DK26" i="6"/>
  <c r="DL26" i="6"/>
  <c r="DM26" i="6"/>
  <c r="DN26" i="6"/>
  <c r="DO26" i="6"/>
  <c r="DP26" i="6"/>
  <c r="DQ26" i="6"/>
  <c r="DR26" i="6"/>
  <c r="DS26" i="6"/>
  <c r="DT26" i="6"/>
  <c r="DE27" i="6"/>
  <c r="DF27" i="6"/>
  <c r="DG27" i="6"/>
  <c r="DH27" i="6"/>
  <c r="DI27" i="6"/>
  <c r="DJ27" i="6"/>
  <c r="DK27" i="6"/>
  <c r="DL27" i="6"/>
  <c r="DM27" i="6"/>
  <c r="DN27" i="6"/>
  <c r="DO27" i="6"/>
  <c r="DP27" i="6"/>
  <c r="DQ27" i="6"/>
  <c r="DR27" i="6"/>
  <c r="DS27" i="6"/>
  <c r="DT27" i="6"/>
  <c r="DE28" i="6"/>
  <c r="DF28" i="6"/>
  <c r="DG28" i="6"/>
  <c r="DH28" i="6"/>
  <c r="DI28" i="6"/>
  <c r="DJ28" i="6"/>
  <c r="DK28" i="6"/>
  <c r="DL28" i="6"/>
  <c r="DM28" i="6"/>
  <c r="DN28" i="6"/>
  <c r="DO28" i="6"/>
  <c r="DP28" i="6"/>
  <c r="DQ28" i="6"/>
  <c r="DR28" i="6"/>
  <c r="DS28" i="6"/>
  <c r="DT28" i="6"/>
  <c r="DE29" i="6"/>
  <c r="DF29" i="6"/>
  <c r="DG29" i="6"/>
  <c r="DH29" i="6"/>
  <c r="DI29" i="6"/>
  <c r="DJ29" i="6"/>
  <c r="DK29" i="6"/>
  <c r="DL29" i="6"/>
  <c r="DM29" i="6"/>
  <c r="DN29" i="6"/>
  <c r="DO29" i="6"/>
  <c r="DP29" i="6"/>
  <c r="DQ29" i="6"/>
  <c r="DR29" i="6"/>
  <c r="DS29" i="6"/>
  <c r="DT29" i="6"/>
  <c r="DE30" i="6"/>
  <c r="DF30" i="6"/>
  <c r="DG30" i="6"/>
  <c r="DH30" i="6"/>
  <c r="DI30" i="6"/>
  <c r="DJ30" i="6"/>
  <c r="DK30" i="6"/>
  <c r="DL30" i="6"/>
  <c r="DM30" i="6"/>
  <c r="DN30" i="6"/>
  <c r="DO30" i="6"/>
  <c r="DP30" i="6"/>
  <c r="DQ30" i="6"/>
  <c r="DR30" i="6"/>
  <c r="DS30" i="6"/>
  <c r="DT30" i="6"/>
  <c r="DE31" i="6"/>
  <c r="DF31" i="6"/>
  <c r="DG31" i="6"/>
  <c r="DH31" i="6"/>
  <c r="DI31" i="6"/>
  <c r="DJ31" i="6"/>
  <c r="DK31" i="6"/>
  <c r="DL31" i="6"/>
  <c r="DM31" i="6"/>
  <c r="DN31" i="6"/>
  <c r="DO31" i="6"/>
  <c r="DP31" i="6"/>
  <c r="DQ31" i="6"/>
  <c r="DR31" i="6"/>
  <c r="DS31" i="6"/>
  <c r="DT31" i="6"/>
  <c r="DT20" i="6"/>
  <c r="DS20" i="6"/>
  <c r="DR20" i="6"/>
  <c r="DQ20" i="6"/>
  <c r="DP20" i="6"/>
  <c r="DO20" i="6"/>
  <c r="DN20" i="6"/>
  <c r="DM20" i="6"/>
  <c r="DL20" i="6"/>
  <c r="DK20" i="6"/>
  <c r="DJ20" i="6"/>
  <c r="DI20" i="6"/>
  <c r="DH20" i="6"/>
  <c r="DG20" i="6"/>
  <c r="DF20" i="6"/>
  <c r="DE20" i="6"/>
  <c r="DE11" i="6"/>
  <c r="DD11" i="6" s="1"/>
  <c r="DE12" i="6"/>
  <c r="DD12" i="6" s="1"/>
  <c r="DE13" i="6"/>
  <c r="DD13" i="6" s="1"/>
  <c r="DE14" i="6"/>
  <c r="DD14" i="6" s="1"/>
  <c r="DE9" i="6"/>
  <c r="DD9" i="6" s="1"/>
  <c r="CU45" i="6"/>
  <c r="CW45" i="6" s="1"/>
  <c r="CI31" i="3" s="1"/>
  <c r="CU44" i="6"/>
  <c r="CW44" i="6" s="1"/>
  <c r="CI30" i="3" s="1"/>
  <c r="CU43" i="6"/>
  <c r="CW43" i="6" s="1"/>
  <c r="CI29" i="3" s="1"/>
  <c r="CU42" i="6"/>
  <c r="CW42" i="6" s="1"/>
  <c r="CI28" i="3" s="1"/>
  <c r="CU41" i="6"/>
  <c r="CW41" i="6" s="1"/>
  <c r="CI27" i="3" s="1"/>
  <c r="CU40" i="6"/>
  <c r="CW40" i="6" s="1"/>
  <c r="CI26" i="3" s="1"/>
  <c r="CU39" i="6"/>
  <c r="CW39" i="6" s="1"/>
  <c r="CI25" i="3" s="1"/>
  <c r="CU38" i="6"/>
  <c r="CW38" i="6" s="1"/>
  <c r="CI24" i="3" s="1"/>
  <c r="CR45" i="6"/>
  <c r="CT45" i="6" s="1"/>
  <c r="CG31" i="3" s="1"/>
  <c r="CR44" i="6"/>
  <c r="CR43" i="6"/>
  <c r="CT43" i="6" s="1"/>
  <c r="CG29" i="3" s="1"/>
  <c r="CR42" i="6"/>
  <c r="CT42" i="6" s="1"/>
  <c r="CG28" i="3" s="1"/>
  <c r="CR41" i="6"/>
  <c r="CT41" i="6" s="1"/>
  <c r="CG27" i="3" s="1"/>
  <c r="CR40" i="6"/>
  <c r="CT40" i="6" s="1"/>
  <c r="CG26" i="3" s="1"/>
  <c r="CR39" i="6"/>
  <c r="CT39" i="6" s="1"/>
  <c r="CG25" i="3" s="1"/>
  <c r="CR38" i="6"/>
  <c r="CT38" i="6" s="1"/>
  <c r="CU31" i="6"/>
  <c r="CW31" i="6" s="1"/>
  <c r="AD22" i="7" s="1"/>
  <c r="CU30" i="6"/>
  <c r="CW30" i="6" s="1"/>
  <c r="AD21" i="7" s="1"/>
  <c r="CU29" i="6"/>
  <c r="CW29" i="6" s="1"/>
  <c r="AD20" i="7" s="1"/>
  <c r="CU28" i="6"/>
  <c r="CW28" i="6" s="1"/>
  <c r="AD19" i="7" s="1"/>
  <c r="CU27" i="6"/>
  <c r="CW27" i="6" s="1"/>
  <c r="AD18" i="7" s="1"/>
  <c r="CU26" i="6"/>
  <c r="CW26" i="6" s="1"/>
  <c r="AD17" i="7" s="1"/>
  <c r="CU25" i="6"/>
  <c r="CW25" i="6" s="1"/>
  <c r="AD16" i="7" s="1"/>
  <c r="CU24" i="6"/>
  <c r="CW24" i="6" s="1"/>
  <c r="AD15" i="7" s="1"/>
  <c r="CU23" i="6"/>
  <c r="CW23" i="6" s="1"/>
  <c r="AD14" i="7" s="1"/>
  <c r="CU22" i="6"/>
  <c r="CW22" i="6" s="1"/>
  <c r="AD13" i="7" s="1"/>
  <c r="CU21" i="6"/>
  <c r="CW21" i="6" s="1"/>
  <c r="AD12" i="7" s="1"/>
  <c r="CU20" i="6"/>
  <c r="CW20" i="6" s="1"/>
  <c r="AD11" i="7" s="1"/>
  <c r="CR31" i="6"/>
  <c r="CT31" i="6" s="1"/>
  <c r="AA22" i="7" s="1"/>
  <c r="CR30" i="6"/>
  <c r="CT30" i="6" s="1"/>
  <c r="AA21" i="7" s="1"/>
  <c r="CR29" i="6"/>
  <c r="CT29" i="6" s="1"/>
  <c r="AA20" i="7" s="1"/>
  <c r="CR28" i="6"/>
  <c r="CT28" i="6" s="1"/>
  <c r="AA19" i="7" s="1"/>
  <c r="CR27" i="6"/>
  <c r="CT27" i="6" s="1"/>
  <c r="AA18" i="7" s="1"/>
  <c r="CR26" i="6"/>
  <c r="CT26" i="6" s="1"/>
  <c r="AA17" i="7" s="1"/>
  <c r="CR25" i="6"/>
  <c r="CT25" i="6" s="1"/>
  <c r="AA16" i="7" s="1"/>
  <c r="CR24" i="6"/>
  <c r="CT24" i="6" s="1"/>
  <c r="AA15" i="7" s="1"/>
  <c r="CR23" i="6"/>
  <c r="CT23" i="6" s="1"/>
  <c r="AA14" i="7" s="1"/>
  <c r="CR22" i="6"/>
  <c r="CT22" i="6" s="1"/>
  <c r="AA13" i="7" s="1"/>
  <c r="CR21" i="6"/>
  <c r="CT21" i="6" s="1"/>
  <c r="AA12" i="7" s="1"/>
  <c r="CR20" i="6"/>
  <c r="CT20" i="6" s="1"/>
  <c r="AA11" i="7" s="1"/>
  <c r="CN45" i="6"/>
  <c r="CP45" i="6" s="1"/>
  <c r="CN44" i="6"/>
  <c r="CP44" i="6" s="1"/>
  <c r="CN43" i="6"/>
  <c r="CP43" i="6" s="1"/>
  <c r="CN42" i="6"/>
  <c r="CP42" i="6" s="1"/>
  <c r="CN41" i="6"/>
  <c r="CP41" i="6" s="1"/>
  <c r="CN40" i="6"/>
  <c r="CP40" i="6" s="1"/>
  <c r="CN39" i="6"/>
  <c r="CP39" i="6" s="1"/>
  <c r="CN38" i="6"/>
  <c r="CP38" i="6" s="1"/>
  <c r="AN8" i="6"/>
  <c r="CK45" i="6"/>
  <c r="CM45" i="6" s="1"/>
  <c r="GB30" i="3" s="1"/>
  <c r="GC30" i="3" s="1"/>
  <c r="GD30" i="3" s="1"/>
  <c r="CK44" i="6"/>
  <c r="CM44" i="6" s="1"/>
  <c r="GB29" i="3" s="1"/>
  <c r="GC29" i="3" s="1"/>
  <c r="GD29" i="3" s="1"/>
  <c r="CK43" i="6"/>
  <c r="CM43" i="6" s="1"/>
  <c r="GB28" i="3" s="1"/>
  <c r="GC28" i="3" s="1"/>
  <c r="GD28" i="3" s="1"/>
  <c r="CK42" i="6"/>
  <c r="CM42" i="6" s="1"/>
  <c r="GB27" i="3" s="1"/>
  <c r="GC27" i="3" s="1"/>
  <c r="GD27" i="3" s="1"/>
  <c r="CK41" i="6"/>
  <c r="CM41" i="6" s="1"/>
  <c r="GB26" i="3" s="1"/>
  <c r="GC26" i="3" s="1"/>
  <c r="GD26" i="3" s="1"/>
  <c r="CK40" i="6"/>
  <c r="CM40" i="6" s="1"/>
  <c r="GB25" i="3" s="1"/>
  <c r="GC25" i="3" s="1"/>
  <c r="GD25" i="3" s="1"/>
  <c r="CK39" i="6"/>
  <c r="CM39" i="6" s="1"/>
  <c r="GB24" i="3" s="1"/>
  <c r="CK38" i="6"/>
  <c r="CM38" i="6" s="1"/>
  <c r="GB23" i="3" s="1"/>
  <c r="GC23" i="3" s="1"/>
  <c r="GD23" i="3" s="1"/>
  <c r="CF45" i="6"/>
  <c r="CH45" i="6" s="1"/>
  <c r="CF44" i="6"/>
  <c r="CH44" i="6" s="1"/>
  <c r="CF43" i="6"/>
  <c r="CH43" i="6" s="1"/>
  <c r="CF42" i="6"/>
  <c r="CH42" i="6" s="1"/>
  <c r="CF41" i="6"/>
  <c r="CH41" i="6" s="1"/>
  <c r="CF40" i="6"/>
  <c r="CH40" i="6" s="1"/>
  <c r="CF39" i="6"/>
  <c r="CH39" i="6" s="1"/>
  <c r="CF38" i="6"/>
  <c r="CB45" i="6"/>
  <c r="CD45" i="6" s="1"/>
  <c r="CB44" i="6"/>
  <c r="CD44" i="6" s="1"/>
  <c r="CB43" i="6"/>
  <c r="CD43" i="6" s="1"/>
  <c r="CB42" i="6"/>
  <c r="CD42" i="6" s="1"/>
  <c r="CB41" i="6"/>
  <c r="CD41" i="6" s="1"/>
  <c r="CB40" i="6"/>
  <c r="CD40" i="6" s="1"/>
  <c r="CB39" i="6"/>
  <c r="CD39" i="6" s="1"/>
  <c r="CB38" i="6"/>
  <c r="CD38" i="6" s="1"/>
  <c r="BY45" i="6"/>
  <c r="CA45" i="6" s="1"/>
  <c r="BY44" i="6"/>
  <c r="CA44" i="6" s="1"/>
  <c r="BY43" i="6"/>
  <c r="CA43" i="6" s="1"/>
  <c r="BY42" i="6"/>
  <c r="CA42" i="6" s="1"/>
  <c r="BY41" i="6"/>
  <c r="CA41" i="6" s="1"/>
  <c r="BY40" i="6"/>
  <c r="CA40" i="6" s="1"/>
  <c r="BY39" i="6"/>
  <c r="CA39" i="6" s="1"/>
  <c r="BY38" i="6"/>
  <c r="CA38" i="6" s="1"/>
  <c r="BV45" i="6"/>
  <c r="BX45" i="6" s="1"/>
  <c r="BV44" i="6"/>
  <c r="BX44" i="6" s="1"/>
  <c r="BV43" i="6"/>
  <c r="BX43" i="6" s="1"/>
  <c r="BV42" i="6"/>
  <c r="BX42" i="6" s="1"/>
  <c r="BV41" i="6"/>
  <c r="BX41" i="6" s="1"/>
  <c r="BV40" i="6"/>
  <c r="BX40" i="6" s="1"/>
  <c r="BV39" i="6"/>
  <c r="BX39" i="6" s="1"/>
  <c r="BV38" i="6"/>
  <c r="BX38" i="6" s="1"/>
  <c r="BS45" i="6"/>
  <c r="BU45" i="6" s="1"/>
  <c r="BS44" i="6"/>
  <c r="BU44" i="6" s="1"/>
  <c r="BS43" i="6"/>
  <c r="BU43" i="6" s="1"/>
  <c r="BS42" i="6"/>
  <c r="BU42" i="6" s="1"/>
  <c r="BS41" i="6"/>
  <c r="BU41" i="6" s="1"/>
  <c r="BS40" i="6"/>
  <c r="BU40" i="6" s="1"/>
  <c r="BS39" i="6"/>
  <c r="BU39" i="6" s="1"/>
  <c r="BS38" i="6"/>
  <c r="BU38" i="6" s="1"/>
  <c r="BP45" i="6"/>
  <c r="BR45" i="6" s="1"/>
  <c r="BP44" i="6"/>
  <c r="BR44" i="6" s="1"/>
  <c r="BP43" i="6"/>
  <c r="BR43" i="6" s="1"/>
  <c r="BP42" i="6"/>
  <c r="BR42" i="6" s="1"/>
  <c r="BP41" i="6"/>
  <c r="BR41" i="6" s="1"/>
  <c r="BP40" i="6"/>
  <c r="BR40" i="6" s="1"/>
  <c r="BP39" i="6"/>
  <c r="BR39" i="6" s="1"/>
  <c r="BP38" i="6"/>
  <c r="BR38" i="6" s="1"/>
  <c r="BJ45" i="6"/>
  <c r="BL45" i="6" s="1"/>
  <c r="BJ44" i="6"/>
  <c r="BL44" i="6" s="1"/>
  <c r="BJ43" i="6"/>
  <c r="BL43" i="6" s="1"/>
  <c r="BJ42" i="6"/>
  <c r="BL42" i="6" s="1"/>
  <c r="BJ41" i="6"/>
  <c r="BL41" i="6" s="1"/>
  <c r="BJ40" i="6"/>
  <c r="BL40" i="6" s="1"/>
  <c r="BJ39" i="6"/>
  <c r="BL39" i="6" s="1"/>
  <c r="BJ38" i="6"/>
  <c r="BL38" i="6" s="1"/>
  <c r="BG45" i="6"/>
  <c r="BI45" i="6" s="1"/>
  <c r="BG44" i="6"/>
  <c r="BI44" i="6" s="1"/>
  <c r="BG43" i="6"/>
  <c r="BI43" i="6" s="1"/>
  <c r="BG42" i="6"/>
  <c r="BI42" i="6" s="1"/>
  <c r="BG41" i="6"/>
  <c r="BI41" i="6" s="1"/>
  <c r="BG40" i="6"/>
  <c r="BI40" i="6" s="1"/>
  <c r="BG39" i="6"/>
  <c r="BI39" i="6" s="1"/>
  <c r="BG38" i="6"/>
  <c r="BI38" i="6" s="1"/>
  <c r="BD45" i="6"/>
  <c r="BF45" i="6" s="1"/>
  <c r="BD44" i="6"/>
  <c r="BF44" i="6" s="1"/>
  <c r="BD43" i="6"/>
  <c r="BF43" i="6" s="1"/>
  <c r="BD42" i="6"/>
  <c r="BF42" i="6" s="1"/>
  <c r="BD41" i="6"/>
  <c r="BF41" i="6" s="1"/>
  <c r="BD40" i="6"/>
  <c r="BF40" i="6" s="1"/>
  <c r="BD39" i="6"/>
  <c r="BF39" i="6" s="1"/>
  <c r="BD38" i="6"/>
  <c r="BF38" i="6" s="1"/>
  <c r="BA45" i="6"/>
  <c r="BC45" i="6" s="1"/>
  <c r="BA44" i="6"/>
  <c r="BC44" i="6" s="1"/>
  <c r="BA43" i="6"/>
  <c r="BC43" i="6" s="1"/>
  <c r="BA42" i="6"/>
  <c r="BC42" i="6" s="1"/>
  <c r="BA41" i="6"/>
  <c r="BC41" i="6" s="1"/>
  <c r="BA40" i="6"/>
  <c r="BC40" i="6" s="1"/>
  <c r="BA39" i="6"/>
  <c r="BC39" i="6" s="1"/>
  <c r="BA38" i="6"/>
  <c r="BC38" i="6" s="1"/>
  <c r="AX45" i="6"/>
  <c r="AZ45" i="6" s="1"/>
  <c r="AX44" i="6"/>
  <c r="AZ44" i="6" s="1"/>
  <c r="AX43" i="6"/>
  <c r="AZ43" i="6" s="1"/>
  <c r="AX42" i="6"/>
  <c r="AZ42" i="6" s="1"/>
  <c r="AX41" i="6"/>
  <c r="AZ41" i="6" s="1"/>
  <c r="AX40" i="6"/>
  <c r="AZ40" i="6" s="1"/>
  <c r="AX39" i="6"/>
  <c r="AZ39" i="6" s="1"/>
  <c r="AX38" i="6"/>
  <c r="AZ38" i="6" s="1"/>
  <c r="AU45" i="6"/>
  <c r="AU44" i="6"/>
  <c r="AU43" i="6"/>
  <c r="AU42" i="6"/>
  <c r="AU41" i="6"/>
  <c r="AU40" i="6"/>
  <c r="AU39" i="6"/>
  <c r="AU38" i="6"/>
  <c r="CK31" i="6"/>
  <c r="CM31" i="6" s="1"/>
  <c r="HW34" i="3" s="1"/>
  <c r="CK30" i="6"/>
  <c r="CM30" i="6" s="1"/>
  <c r="HW33" i="3" s="1"/>
  <c r="CK29" i="6"/>
  <c r="CM29" i="6" s="1"/>
  <c r="HW32" i="3" s="1"/>
  <c r="CK28" i="6"/>
  <c r="CM28" i="6" s="1"/>
  <c r="HW31" i="3" s="1"/>
  <c r="CK27" i="6"/>
  <c r="CM27" i="6" s="1"/>
  <c r="HW30" i="3" s="1"/>
  <c r="CK26" i="6"/>
  <c r="CM26" i="6" s="1"/>
  <c r="HW29" i="3" s="1"/>
  <c r="CK25" i="6"/>
  <c r="CM25" i="6" s="1"/>
  <c r="HW28" i="3" s="1"/>
  <c r="CK24" i="6"/>
  <c r="CM24" i="6" s="1"/>
  <c r="HW27" i="3" s="1"/>
  <c r="CK23" i="6"/>
  <c r="CM23" i="6" s="1"/>
  <c r="HW26" i="3" s="1"/>
  <c r="CK22" i="6"/>
  <c r="CM22" i="6" s="1"/>
  <c r="HW25" i="3" s="1"/>
  <c r="CK21" i="6"/>
  <c r="CM21" i="6" s="1"/>
  <c r="HW24" i="3" s="1"/>
  <c r="CK20" i="6"/>
  <c r="CM20" i="6" s="1"/>
  <c r="HW23" i="3" s="1"/>
  <c r="CN31" i="6"/>
  <c r="CP31" i="6" s="1"/>
  <c r="AC22" i="7" s="1"/>
  <c r="CN30" i="6"/>
  <c r="CP30" i="6" s="1"/>
  <c r="AC21" i="7" s="1"/>
  <c r="CN29" i="6"/>
  <c r="CP29" i="6" s="1"/>
  <c r="AC20" i="7" s="1"/>
  <c r="CN28" i="6"/>
  <c r="CP28" i="6" s="1"/>
  <c r="AC19" i="7" s="1"/>
  <c r="CN27" i="6"/>
  <c r="CP27" i="6" s="1"/>
  <c r="AC18" i="7" s="1"/>
  <c r="CN26" i="6"/>
  <c r="CP26" i="6" s="1"/>
  <c r="AC17" i="7" s="1"/>
  <c r="CN25" i="6"/>
  <c r="CP25" i="6" s="1"/>
  <c r="AC16" i="7" s="1"/>
  <c r="CN24" i="6"/>
  <c r="CP24" i="6" s="1"/>
  <c r="AC15" i="7" s="1"/>
  <c r="CN23" i="6"/>
  <c r="CP23" i="6" s="1"/>
  <c r="AC14" i="7" s="1"/>
  <c r="CN22" i="6"/>
  <c r="CP22" i="6" s="1"/>
  <c r="AC13" i="7" s="1"/>
  <c r="CN21" i="6"/>
  <c r="CP21" i="6" s="1"/>
  <c r="AC12" i="7" s="1"/>
  <c r="CN20" i="6"/>
  <c r="CP20" i="6" s="1"/>
  <c r="AC11" i="7" s="1"/>
  <c r="CF31" i="6"/>
  <c r="CH31" i="6" s="1"/>
  <c r="CF30" i="6"/>
  <c r="CH30" i="6" s="1"/>
  <c r="CF29" i="6"/>
  <c r="CH29" i="6" s="1"/>
  <c r="CF28" i="6"/>
  <c r="CH28" i="6" s="1"/>
  <c r="CF27" i="6"/>
  <c r="CH27" i="6" s="1"/>
  <c r="CF26" i="6"/>
  <c r="CH26" i="6" s="1"/>
  <c r="CF25" i="6"/>
  <c r="CH25" i="6" s="1"/>
  <c r="CF24" i="6"/>
  <c r="CH24" i="6" s="1"/>
  <c r="CF23" i="6"/>
  <c r="CH23" i="6" s="1"/>
  <c r="CF22" i="6"/>
  <c r="CH22" i="6" s="1"/>
  <c r="CF21" i="6"/>
  <c r="CH21" i="6" s="1"/>
  <c r="CF20" i="6"/>
  <c r="CH20" i="6" s="1"/>
  <c r="CB31" i="6"/>
  <c r="CD31" i="6" s="1"/>
  <c r="CB30" i="6"/>
  <c r="CD30" i="6" s="1"/>
  <c r="CB29" i="6"/>
  <c r="CD29" i="6" s="1"/>
  <c r="CB28" i="6"/>
  <c r="CD28" i="6" s="1"/>
  <c r="CB27" i="6"/>
  <c r="CD27" i="6" s="1"/>
  <c r="CB26" i="6"/>
  <c r="CD26" i="6" s="1"/>
  <c r="CB25" i="6"/>
  <c r="CD25" i="6" s="1"/>
  <c r="CB24" i="6"/>
  <c r="CD24" i="6" s="1"/>
  <c r="CB23" i="6"/>
  <c r="CD23" i="6" s="1"/>
  <c r="CB22" i="6"/>
  <c r="CD22" i="6" s="1"/>
  <c r="CB21" i="6"/>
  <c r="CD21" i="6" s="1"/>
  <c r="CB20" i="6"/>
  <c r="CD20" i="6" s="1"/>
  <c r="BY31" i="6"/>
  <c r="CA31" i="6" s="1"/>
  <c r="BY30" i="6"/>
  <c r="CA30" i="6" s="1"/>
  <c r="BY29" i="6"/>
  <c r="CA29" i="6" s="1"/>
  <c r="BY28" i="6"/>
  <c r="CA28" i="6" s="1"/>
  <c r="BY27" i="6"/>
  <c r="CA27" i="6" s="1"/>
  <c r="BY26" i="6"/>
  <c r="CA26" i="6" s="1"/>
  <c r="BY25" i="6"/>
  <c r="CA25" i="6" s="1"/>
  <c r="BY24" i="6"/>
  <c r="CA24" i="6" s="1"/>
  <c r="BY23" i="6"/>
  <c r="CA23" i="6" s="1"/>
  <c r="BY22" i="6"/>
  <c r="CA22" i="6" s="1"/>
  <c r="BY21" i="6"/>
  <c r="CA21" i="6" s="1"/>
  <c r="BY20" i="6"/>
  <c r="CA20" i="6" s="1"/>
  <c r="BV31" i="6"/>
  <c r="BX31" i="6" s="1"/>
  <c r="BV30" i="6"/>
  <c r="BX30" i="6" s="1"/>
  <c r="BV29" i="6"/>
  <c r="BX29" i="6" s="1"/>
  <c r="BV28" i="6"/>
  <c r="BX28" i="6" s="1"/>
  <c r="BV27" i="6"/>
  <c r="BX27" i="6" s="1"/>
  <c r="BV26" i="6"/>
  <c r="BX26" i="6" s="1"/>
  <c r="BV25" i="6"/>
  <c r="BX25" i="6" s="1"/>
  <c r="BV24" i="6"/>
  <c r="BX24" i="6" s="1"/>
  <c r="BV23" i="6"/>
  <c r="BX23" i="6" s="1"/>
  <c r="BV22" i="6"/>
  <c r="BX22" i="6" s="1"/>
  <c r="BV21" i="6"/>
  <c r="BX21" i="6" s="1"/>
  <c r="BV20" i="6"/>
  <c r="BX20" i="6" s="1"/>
  <c r="BS31" i="6"/>
  <c r="BU31" i="6" s="1"/>
  <c r="BS30" i="6"/>
  <c r="BU30" i="6" s="1"/>
  <c r="BS29" i="6"/>
  <c r="BU29" i="6" s="1"/>
  <c r="BS28" i="6"/>
  <c r="BU28" i="6" s="1"/>
  <c r="BS27" i="6"/>
  <c r="BU27" i="6" s="1"/>
  <c r="BS26" i="6"/>
  <c r="BU26" i="6" s="1"/>
  <c r="BS25" i="6"/>
  <c r="BU25" i="6" s="1"/>
  <c r="BS24" i="6"/>
  <c r="BU24" i="6" s="1"/>
  <c r="BS23" i="6"/>
  <c r="BU23" i="6" s="1"/>
  <c r="BS22" i="6"/>
  <c r="BU22" i="6" s="1"/>
  <c r="BS21" i="6"/>
  <c r="BU21" i="6" s="1"/>
  <c r="BS20" i="6"/>
  <c r="BU20" i="6" s="1"/>
  <c r="BP31" i="6"/>
  <c r="BR31" i="6" s="1"/>
  <c r="BP30" i="6"/>
  <c r="BR30" i="6" s="1"/>
  <c r="BP29" i="6"/>
  <c r="BR29" i="6" s="1"/>
  <c r="BP28" i="6"/>
  <c r="BR28" i="6" s="1"/>
  <c r="BP27" i="6"/>
  <c r="BR27" i="6" s="1"/>
  <c r="BP26" i="6"/>
  <c r="BR26" i="6" s="1"/>
  <c r="BP25" i="6"/>
  <c r="BR25" i="6" s="1"/>
  <c r="BP24" i="6"/>
  <c r="BR24" i="6" s="1"/>
  <c r="BP23" i="6"/>
  <c r="BR23" i="6" s="1"/>
  <c r="BP22" i="6"/>
  <c r="BR22" i="6" s="1"/>
  <c r="BP21" i="6"/>
  <c r="BR21" i="6" s="1"/>
  <c r="BP20" i="6"/>
  <c r="BR20" i="6" s="1"/>
  <c r="BJ31" i="6"/>
  <c r="BJ30" i="6"/>
  <c r="BJ29" i="6"/>
  <c r="BJ28" i="6"/>
  <c r="BJ27" i="6"/>
  <c r="BJ26" i="6"/>
  <c r="BJ25" i="6"/>
  <c r="BJ24" i="6"/>
  <c r="BJ23" i="6"/>
  <c r="BJ22" i="6"/>
  <c r="BJ21" i="6"/>
  <c r="BJ20" i="6"/>
  <c r="BG31" i="6"/>
  <c r="BG30" i="6"/>
  <c r="BG29" i="6"/>
  <c r="BG28" i="6"/>
  <c r="BG27" i="6"/>
  <c r="BG26" i="6"/>
  <c r="BG25" i="6"/>
  <c r="BG24" i="6"/>
  <c r="BG23" i="6"/>
  <c r="BG22" i="6"/>
  <c r="BG21" i="6"/>
  <c r="BG20" i="6"/>
  <c r="BD31" i="6"/>
  <c r="BD30" i="6"/>
  <c r="BD29" i="6"/>
  <c r="BD28" i="6"/>
  <c r="BD27" i="6"/>
  <c r="BD26" i="6"/>
  <c r="BD25" i="6"/>
  <c r="BD24" i="6"/>
  <c r="BD23" i="6"/>
  <c r="BD22" i="6"/>
  <c r="BD21" i="6"/>
  <c r="BD20" i="6"/>
  <c r="BA31" i="6"/>
  <c r="BA30" i="6"/>
  <c r="BA29" i="6"/>
  <c r="BA28" i="6"/>
  <c r="BA27" i="6"/>
  <c r="BA26" i="6"/>
  <c r="BA25" i="6"/>
  <c r="BA24" i="6"/>
  <c r="BA23" i="6"/>
  <c r="BA22" i="6"/>
  <c r="BA21" i="6"/>
  <c r="BA20" i="6"/>
  <c r="AX31" i="6"/>
  <c r="AX30" i="6"/>
  <c r="AX29" i="6"/>
  <c r="AX28" i="6"/>
  <c r="AX27" i="6"/>
  <c r="AX26" i="6"/>
  <c r="AX25" i="6"/>
  <c r="AX24" i="6"/>
  <c r="AX23" i="6"/>
  <c r="AX22" i="6"/>
  <c r="AX21" i="6"/>
  <c r="AX20" i="6"/>
  <c r="AU31" i="6"/>
  <c r="AU30" i="6"/>
  <c r="AU29" i="6"/>
  <c r="AU28" i="6"/>
  <c r="AU27" i="6"/>
  <c r="AU26" i="6"/>
  <c r="AU25" i="6"/>
  <c r="AU24" i="6"/>
  <c r="AU23" i="6"/>
  <c r="AU22" i="6"/>
  <c r="AU21" i="6"/>
  <c r="AU20" i="6"/>
  <c r="AR31" i="6"/>
  <c r="AR30" i="6"/>
  <c r="AR29" i="6"/>
  <c r="AR28" i="6"/>
  <c r="AR27" i="6"/>
  <c r="AR26" i="6"/>
  <c r="AR25" i="6"/>
  <c r="AR24" i="6"/>
  <c r="AR23" i="6"/>
  <c r="AR22" i="6"/>
  <c r="AR21" i="6"/>
  <c r="AR20" i="6"/>
  <c r="AR14" i="6"/>
  <c r="AR13" i="6"/>
  <c r="AR12" i="6"/>
  <c r="AR11" i="6"/>
  <c r="AR9" i="6"/>
  <c r="BD63" i="6"/>
  <c r="BF63" i="6" s="1"/>
  <c r="BD62" i="6"/>
  <c r="BF62" i="6" s="1"/>
  <c r="BD61" i="6"/>
  <c r="BF61" i="6" s="1"/>
  <c r="BD60" i="6"/>
  <c r="BF60" i="6" s="1"/>
  <c r="BD59" i="6"/>
  <c r="BF59" i="6" s="1"/>
  <c r="BD58" i="6"/>
  <c r="BF58" i="6" s="1"/>
  <c r="BD57" i="6"/>
  <c r="BF57" i="6" s="1"/>
  <c r="BD56" i="6"/>
  <c r="BD55" i="6"/>
  <c r="BF55" i="6" s="1"/>
  <c r="BD54" i="6"/>
  <c r="BF54" i="6" s="1"/>
  <c r="BD53" i="6"/>
  <c r="BF53" i="6" s="1"/>
  <c r="BD52" i="6"/>
  <c r="BF52" i="6" s="1"/>
  <c r="CH28" i="3" l="1"/>
  <c r="CC28" i="3"/>
  <c r="CH29" i="3"/>
  <c r="CC29" i="3"/>
  <c r="CH30" i="3"/>
  <c r="CC30" i="3"/>
  <c r="CH31" i="3"/>
  <c r="CC31" i="3"/>
  <c r="CH26" i="3"/>
  <c r="CC26" i="3"/>
  <c r="CH27" i="3"/>
  <c r="CC27" i="3"/>
  <c r="CH25" i="3"/>
  <c r="CC25" i="3"/>
  <c r="CH24" i="3"/>
  <c r="CC24" i="3"/>
  <c r="GC24" i="3"/>
  <c r="GD24" i="3" s="1"/>
  <c r="DD59" i="6"/>
  <c r="BG59" i="6" s="1"/>
  <c r="AH16" i="7"/>
  <c r="HV28" i="3"/>
  <c r="AH19" i="7"/>
  <c r="HV31" i="3"/>
  <c r="AH17" i="7"/>
  <c r="HV29" i="3"/>
  <c r="AH18" i="7"/>
  <c r="HV30" i="3"/>
  <c r="AH20" i="7"/>
  <c r="HV32" i="3"/>
  <c r="AH21" i="7"/>
  <c r="HV33" i="3"/>
  <c r="AH22" i="7"/>
  <c r="HV34" i="3"/>
  <c r="AH13" i="7"/>
  <c r="HV25" i="3"/>
  <c r="AH14" i="7"/>
  <c r="HV26" i="3"/>
  <c r="AH12" i="7"/>
  <c r="HV24" i="3"/>
  <c r="AH11" i="7"/>
  <c r="HV23" i="3"/>
  <c r="GH31" i="3"/>
  <c r="HI30" i="3"/>
  <c r="HK30" i="3"/>
  <c r="HL30" i="3"/>
  <c r="HM30" i="3"/>
  <c r="HN30" i="3"/>
  <c r="HO30" i="3"/>
  <c r="HP30" i="3"/>
  <c r="HE30" i="3"/>
  <c r="HF30" i="3"/>
  <c r="HA30" i="3"/>
  <c r="GS30" i="3"/>
  <c r="GH9" i="3"/>
  <c r="HO10" i="3"/>
  <c r="HP10" i="3"/>
  <c r="HK10" i="3"/>
  <c r="HL10" i="3"/>
  <c r="HN10" i="3"/>
  <c r="HM10" i="3"/>
  <c r="HC10" i="3"/>
  <c r="GU10" i="3"/>
  <c r="HD10" i="3"/>
  <c r="GV10" i="3"/>
  <c r="HE10" i="3"/>
  <c r="GW10" i="3"/>
  <c r="HF10" i="3"/>
  <c r="GX10" i="3"/>
  <c r="HG10" i="3"/>
  <c r="GY10" i="3"/>
  <c r="HH10" i="3"/>
  <c r="GZ10" i="3"/>
  <c r="GI8" i="3"/>
  <c r="GI31" i="3"/>
  <c r="ED31" i="3"/>
  <c r="DD62" i="6"/>
  <c r="BG62" i="6" s="1"/>
  <c r="DD61" i="6"/>
  <c r="BG61" i="6" s="1"/>
  <c r="CB24" i="3"/>
  <c r="CB31" i="3"/>
  <c r="ED8" i="3"/>
  <c r="CG24" i="3"/>
  <c r="EE31" i="3"/>
  <c r="CB30" i="3"/>
  <c r="CB29" i="3"/>
  <c r="CB28" i="3"/>
  <c r="CB27" i="3"/>
  <c r="CB26" i="3"/>
  <c r="CB25" i="3"/>
  <c r="DD58" i="6"/>
  <c r="BG58" i="6" s="1"/>
  <c r="DD56" i="6"/>
  <c r="BG56" i="6" s="1"/>
  <c r="DD55" i="6"/>
  <c r="BG55" i="6" s="1"/>
  <c r="DD57" i="6"/>
  <c r="BG57" i="6" s="1"/>
  <c r="DD42" i="6"/>
  <c r="CX42" i="6" s="1"/>
  <c r="DD40" i="6"/>
  <c r="CX40" i="6" s="1"/>
  <c r="DD38" i="6"/>
  <c r="CX38" i="6" s="1"/>
  <c r="DD44" i="6"/>
  <c r="CX44" i="6" s="1"/>
  <c r="DD53" i="6"/>
  <c r="BG53" i="6" s="1"/>
  <c r="DD60" i="6"/>
  <c r="BG60" i="6" s="1"/>
  <c r="DD54" i="6"/>
  <c r="BG54" i="6" s="1"/>
  <c r="DD45" i="6"/>
  <c r="CX45" i="6" s="1"/>
  <c r="DD52" i="6"/>
  <c r="BG52" i="6" s="1"/>
  <c r="DD63" i="6"/>
  <c r="BG63" i="6" s="1"/>
  <c r="DD24" i="6"/>
  <c r="CX24" i="6" s="1"/>
  <c r="DD43" i="6"/>
  <c r="CX43" i="6" s="1"/>
  <c r="DD41" i="6"/>
  <c r="CX41" i="6" s="1"/>
  <c r="DD27" i="6"/>
  <c r="CX27" i="6" s="1"/>
  <c r="DD21" i="6"/>
  <c r="CX21" i="6" s="1"/>
  <c r="DD39" i="6"/>
  <c r="CX39" i="6" s="1"/>
  <c r="DD29" i="6"/>
  <c r="CX29" i="6" s="1"/>
  <c r="DD26" i="6"/>
  <c r="CX26" i="6" s="1"/>
  <c r="DD28" i="6"/>
  <c r="CX28" i="6" s="1"/>
  <c r="DD22" i="6"/>
  <c r="CX22" i="6" s="1"/>
  <c r="DD23" i="6"/>
  <c r="CX23" i="6" s="1"/>
  <c r="DD31" i="6"/>
  <c r="CX31" i="6" s="1"/>
  <c r="DD30" i="6"/>
  <c r="CX30" i="6" s="1"/>
  <c r="DD25" i="6"/>
  <c r="CX25" i="6" s="1"/>
  <c r="DD20" i="6"/>
  <c r="CX20" i="6" s="1"/>
  <c r="CT44" i="6"/>
  <c r="CG30" i="3" s="1"/>
  <c r="CE24" i="6"/>
  <c r="CE39" i="6"/>
  <c r="CE29" i="6"/>
  <c r="BM40" i="6"/>
  <c r="CE27" i="6"/>
  <c r="CE45" i="6"/>
  <c r="CE23" i="6"/>
  <c r="CE28" i="6"/>
  <c r="BM39" i="6"/>
  <c r="CE21" i="6"/>
  <c r="CE40" i="6"/>
  <c r="CE41" i="6"/>
  <c r="CE25" i="6"/>
  <c r="CE30" i="6"/>
  <c r="BM41" i="6"/>
  <c r="CE20" i="6"/>
  <c r="CE31" i="6"/>
  <c r="CE44" i="6"/>
  <c r="BM42" i="6"/>
  <c r="CE43" i="6"/>
  <c r="BM45" i="6"/>
  <c r="CE22" i="6"/>
  <c r="BM44" i="6"/>
  <c r="BM38" i="6"/>
  <c r="CE38" i="6"/>
  <c r="CE42" i="6"/>
  <c r="BM43" i="6"/>
  <c r="CE26" i="6"/>
  <c r="BF56" i="6"/>
  <c r="CH38" i="6"/>
  <c r="BL21" i="6"/>
  <c r="BL20" i="6"/>
  <c r="BI21" i="6"/>
  <c r="BI20" i="6"/>
  <c r="BF21" i="6"/>
  <c r="BF20" i="6"/>
  <c r="BC21" i="6"/>
  <c r="BC20" i="6"/>
  <c r="AZ21" i="6"/>
  <c r="AZ20" i="6"/>
  <c r="BL31" i="6"/>
  <c r="BL30" i="6"/>
  <c r="BL29" i="6"/>
  <c r="BL28" i="6"/>
  <c r="BL27" i="6"/>
  <c r="BL26" i="6"/>
  <c r="BL25" i="6"/>
  <c r="BL24" i="6"/>
  <c r="BL23" i="6"/>
  <c r="BL22" i="6"/>
  <c r="BI31" i="6"/>
  <c r="BI30" i="6"/>
  <c r="BI29" i="6"/>
  <c r="BI28" i="6"/>
  <c r="BI27" i="6"/>
  <c r="BI26" i="6"/>
  <c r="BI25" i="6"/>
  <c r="BI24" i="6"/>
  <c r="BI23" i="6"/>
  <c r="BI22" i="6"/>
  <c r="BF31" i="6"/>
  <c r="BF30" i="6"/>
  <c r="BF29" i="6"/>
  <c r="BF28" i="6"/>
  <c r="BF27" i="6"/>
  <c r="BF26" i="6"/>
  <c r="BF25" i="6"/>
  <c r="BF24" i="6"/>
  <c r="BF23" i="6"/>
  <c r="BF22" i="6"/>
  <c r="BC31" i="6"/>
  <c r="BC30" i="6"/>
  <c r="BC29" i="6"/>
  <c r="BC28" i="6"/>
  <c r="BC27" i="6"/>
  <c r="BC26" i="6"/>
  <c r="BC25" i="6"/>
  <c r="BC24" i="6"/>
  <c r="BC23" i="6"/>
  <c r="BC22" i="6"/>
  <c r="AZ31" i="6"/>
  <c r="AZ30" i="6"/>
  <c r="AZ29" i="6"/>
  <c r="AZ28" i="6"/>
  <c r="AZ27" i="6"/>
  <c r="AZ26" i="6"/>
  <c r="AZ25" i="6"/>
  <c r="AZ24" i="6"/>
  <c r="AZ23" i="6"/>
  <c r="AZ22" i="6"/>
  <c r="AZ63" i="6"/>
  <c r="AZ62" i="6"/>
  <c r="AZ61" i="6"/>
  <c r="AZ60" i="6"/>
  <c r="AZ59" i="6"/>
  <c r="AZ58" i="6"/>
  <c r="AZ57" i="6"/>
  <c r="AZ56" i="6"/>
  <c r="AZ55" i="6"/>
  <c r="AZ54" i="6"/>
  <c r="AZ53" i="6"/>
  <c r="AW63" i="6"/>
  <c r="AW62" i="6"/>
  <c r="AW61" i="6"/>
  <c r="AW60" i="6"/>
  <c r="AW59" i="6"/>
  <c r="AW58" i="6"/>
  <c r="AW57" i="6"/>
  <c r="AW56" i="6"/>
  <c r="AW55" i="6"/>
  <c r="AW54" i="6"/>
  <c r="AW53" i="6"/>
  <c r="AZ52" i="6"/>
  <c r="AW52" i="6"/>
  <c r="AH15" i="7" l="1"/>
  <c r="HV27" i="3"/>
  <c r="GH8" i="3"/>
  <c r="HL9" i="3"/>
  <c r="HM9" i="3"/>
  <c r="HN9" i="3"/>
  <c r="HO9" i="3"/>
  <c r="HP9" i="3"/>
  <c r="HI9" i="3"/>
  <c r="HJ9" i="3"/>
  <c r="HK9" i="3"/>
  <c r="HE9" i="3"/>
  <c r="GW9" i="3"/>
  <c r="HF9" i="3"/>
  <c r="GX9" i="3"/>
  <c r="HG9" i="3"/>
  <c r="GY9" i="3"/>
  <c r="HH9" i="3"/>
  <c r="GZ9" i="3"/>
  <c r="HA9" i="3"/>
  <c r="GS9" i="3"/>
  <c r="HB9" i="3"/>
  <c r="GT9" i="3"/>
  <c r="HC9" i="3"/>
  <c r="GU9" i="3"/>
  <c r="HD9" i="3"/>
  <c r="GV9" i="3"/>
  <c r="GH32" i="3"/>
  <c r="HL31" i="3"/>
  <c r="HM31" i="3"/>
  <c r="HK31" i="3"/>
  <c r="HN31" i="3"/>
  <c r="HO31" i="3"/>
  <c r="HP31" i="3"/>
  <c r="HI31" i="3"/>
  <c r="HA31" i="3"/>
  <c r="GS31" i="3"/>
  <c r="HE31" i="3"/>
  <c r="HF31" i="3"/>
  <c r="GI32" i="3"/>
  <c r="GI7" i="3"/>
  <c r="ED32" i="3"/>
  <c r="ED7" i="3"/>
  <c r="EE32" i="3"/>
  <c r="BM26" i="6"/>
  <c r="BM27" i="6"/>
  <c r="BM30" i="6"/>
  <c r="BM31" i="6"/>
  <c r="BM22" i="6"/>
  <c r="BM28" i="6"/>
  <c r="BM23" i="6"/>
  <c r="BM29" i="6"/>
  <c r="BM24" i="6"/>
  <c r="BM20" i="6"/>
  <c r="BM25" i="6"/>
  <c r="BM21" i="6"/>
  <c r="AW45" i="6"/>
  <c r="CF31" i="3" s="1"/>
  <c r="AW44" i="6"/>
  <c r="CF30" i="3" s="1"/>
  <c r="AW43" i="6"/>
  <c r="CF29" i="3" s="1"/>
  <c r="AW42" i="6"/>
  <c r="CF28" i="3" s="1"/>
  <c r="AW41" i="6"/>
  <c r="CF27" i="3" s="1"/>
  <c r="AW40" i="6"/>
  <c r="CF26" i="3" s="1"/>
  <c r="AW39" i="6"/>
  <c r="CF25" i="3" s="1"/>
  <c r="AW38" i="6"/>
  <c r="CF24" i="3" s="1"/>
  <c r="AQ38" i="6"/>
  <c r="CM24" i="3" s="1"/>
  <c r="AQ63" i="6"/>
  <c r="AQ62" i="6"/>
  <c r="AQ61" i="6"/>
  <c r="AQ60" i="6"/>
  <c r="AQ59" i="6"/>
  <c r="AQ58" i="6"/>
  <c r="AQ57" i="6"/>
  <c r="AQ56" i="6"/>
  <c r="AQ55" i="6"/>
  <c r="AQ54" i="6"/>
  <c r="AQ53" i="6"/>
  <c r="AQ52" i="6"/>
  <c r="AR45" i="6"/>
  <c r="AQ45" i="6"/>
  <c r="CM31" i="3" s="1"/>
  <c r="AR44" i="6"/>
  <c r="AQ44" i="6"/>
  <c r="CM30" i="3" s="1"/>
  <c r="AR43" i="6"/>
  <c r="AQ43" i="6"/>
  <c r="CM29" i="3" s="1"/>
  <c r="AR42" i="6"/>
  <c r="AQ42" i="6"/>
  <c r="CM28" i="3" s="1"/>
  <c r="AR41" i="6"/>
  <c r="AQ41" i="6"/>
  <c r="CM27" i="3" s="1"/>
  <c r="AR40" i="6"/>
  <c r="AQ40" i="6"/>
  <c r="CM26" i="3" s="1"/>
  <c r="AR39" i="6"/>
  <c r="AQ39" i="6"/>
  <c r="CM25" i="3" s="1"/>
  <c r="AR38" i="6"/>
  <c r="AT38" i="6" s="1"/>
  <c r="CN24" i="3" s="1"/>
  <c r="AT31" i="6"/>
  <c r="AT30" i="6"/>
  <c r="AT29" i="6"/>
  <c r="AT28" i="6"/>
  <c r="AT27" i="6"/>
  <c r="AT26" i="6"/>
  <c r="AT25" i="6"/>
  <c r="AT24" i="6"/>
  <c r="AT23" i="6"/>
  <c r="AT22" i="6"/>
  <c r="AT21" i="6"/>
  <c r="AT20" i="6"/>
  <c r="AT14" i="6"/>
  <c r="AT13" i="6"/>
  <c r="AT12" i="6"/>
  <c r="AT11" i="6"/>
  <c r="AN45" i="6"/>
  <c r="AN44" i="6"/>
  <c r="AN43" i="6"/>
  <c r="AN42" i="6"/>
  <c r="AN41" i="6"/>
  <c r="AN40" i="6"/>
  <c r="AN39" i="6"/>
  <c r="AN38" i="6"/>
  <c r="FY29" i="3" l="1"/>
  <c r="FY28" i="3"/>
  <c r="FY30" i="3"/>
  <c r="FY25" i="3"/>
  <c r="FY26" i="3"/>
  <c r="FY27" i="3"/>
  <c r="FY24" i="3"/>
  <c r="FY23" i="3"/>
  <c r="CO24" i="3"/>
  <c r="GH33" i="3"/>
  <c r="HO32" i="3"/>
  <c r="HP32" i="3"/>
  <c r="HN32" i="3"/>
  <c r="HK32" i="3"/>
  <c r="HL32" i="3"/>
  <c r="HM32" i="3"/>
  <c r="HA32" i="3"/>
  <c r="HE32" i="3"/>
  <c r="HF32" i="3"/>
  <c r="GH7" i="3"/>
  <c r="HI8" i="3"/>
  <c r="HJ8" i="3"/>
  <c r="HK8" i="3"/>
  <c r="HL8" i="3"/>
  <c r="HM8" i="3"/>
  <c r="HN8" i="3"/>
  <c r="HO8" i="3"/>
  <c r="HP8" i="3"/>
  <c r="HA8" i="3"/>
  <c r="GS8" i="3"/>
  <c r="HB8" i="3"/>
  <c r="GT8" i="3"/>
  <c r="HC8" i="3"/>
  <c r="GU8" i="3"/>
  <c r="HD8" i="3"/>
  <c r="GV8" i="3"/>
  <c r="HE8" i="3"/>
  <c r="GW8" i="3"/>
  <c r="HF8" i="3"/>
  <c r="GX8" i="3"/>
  <c r="HG8" i="3"/>
  <c r="GY8" i="3"/>
  <c r="HH8" i="3"/>
  <c r="GZ8" i="3"/>
  <c r="FZ23" i="3"/>
  <c r="GI33" i="3"/>
  <c r="ED33" i="3"/>
  <c r="CP24" i="3"/>
  <c r="EE33" i="3"/>
  <c r="AT42" i="6"/>
  <c r="CN28" i="3" s="1"/>
  <c r="CO28" i="3" s="1"/>
  <c r="AT44" i="6"/>
  <c r="CN30" i="3" s="1"/>
  <c r="CO30" i="3" s="1"/>
  <c r="AT43" i="6"/>
  <c r="CN29" i="3" s="1"/>
  <c r="CO29" i="3" s="1"/>
  <c r="AT41" i="6"/>
  <c r="CN27" i="3" s="1"/>
  <c r="AT40" i="6"/>
  <c r="CN26" i="3" s="1"/>
  <c r="AT39" i="6"/>
  <c r="CN25" i="3" s="1"/>
  <c r="CO25" i="3" s="1"/>
  <c r="AT45" i="6"/>
  <c r="CN31" i="3" s="1"/>
  <c r="CO31" i="3" s="1"/>
  <c r="BN43" i="6"/>
  <c r="CA29" i="3" s="1"/>
  <c r="CQ43" i="6"/>
  <c r="BN38" i="6"/>
  <c r="CA24" i="3" s="1"/>
  <c r="CQ38" i="6"/>
  <c r="BN39" i="6"/>
  <c r="CA25" i="3" s="1"/>
  <c r="CQ39" i="6"/>
  <c r="BN40" i="6"/>
  <c r="CA26" i="3" s="1"/>
  <c r="CQ40" i="6"/>
  <c r="BN41" i="6"/>
  <c r="CA27" i="3" s="1"/>
  <c r="CQ41" i="6"/>
  <c r="BN42" i="6"/>
  <c r="CA28" i="3" s="1"/>
  <c r="CQ42" i="6"/>
  <c r="BN44" i="6"/>
  <c r="CA30" i="3" s="1"/>
  <c r="CQ44" i="6"/>
  <c r="BN45" i="6"/>
  <c r="CA31" i="3" s="1"/>
  <c r="CQ45" i="6"/>
  <c r="AW26" i="6"/>
  <c r="Z17" i="7" s="1"/>
  <c r="AW27" i="6"/>
  <c r="Z18" i="7" s="1"/>
  <c r="AW28" i="6"/>
  <c r="Z19" i="7" s="1"/>
  <c r="AW29" i="6"/>
  <c r="Z20" i="7" s="1"/>
  <c r="AW30" i="6"/>
  <c r="Z21" i="7" s="1"/>
  <c r="AW20" i="6"/>
  <c r="Z11" i="7" s="1"/>
  <c r="AW24" i="6"/>
  <c r="Z15" i="7" s="1"/>
  <c r="AW31" i="6"/>
  <c r="Z22" i="7" s="1"/>
  <c r="AW21" i="6"/>
  <c r="Z12" i="7" s="1"/>
  <c r="AW22" i="6"/>
  <c r="Z13" i="7" s="1"/>
  <c r="AW23" i="6"/>
  <c r="Z14" i="7" s="1"/>
  <c r="AW25" i="6"/>
  <c r="Z16" i="7" s="1"/>
  <c r="AT9" i="6"/>
  <c r="AT15" i="6" s="1"/>
  <c r="AR52" i="6" s="1"/>
  <c r="BA52" i="6" s="1"/>
  <c r="HX23" i="3" s="1"/>
  <c r="AN16" i="6"/>
  <c r="C16" i="6"/>
  <c r="C8" i="6"/>
  <c r="E24" i="13"/>
  <c r="I25" i="1"/>
  <c r="B31" i="1"/>
  <c r="H29" i="1"/>
  <c r="F29" i="1"/>
  <c r="I11" i="14" s="1"/>
  <c r="K81" i="3"/>
  <c r="L81" i="3" s="1"/>
  <c r="K80" i="3"/>
  <c r="L80" i="3" s="1"/>
  <c r="K79" i="3"/>
  <c r="L79" i="3" s="1"/>
  <c r="K78" i="3"/>
  <c r="L78" i="3" s="1"/>
  <c r="K77" i="3"/>
  <c r="L77" i="3" s="1"/>
  <c r="K76" i="3"/>
  <c r="L76" i="3" s="1"/>
  <c r="K75" i="3"/>
  <c r="L75" i="3" s="1"/>
  <c r="K74" i="3"/>
  <c r="L74" i="3" s="1"/>
  <c r="K73" i="3"/>
  <c r="L73" i="3" s="1"/>
  <c r="K72" i="3"/>
  <c r="L72" i="3" s="1"/>
  <c r="K71" i="3"/>
  <c r="L71" i="3" s="1"/>
  <c r="K70" i="3"/>
  <c r="L70" i="3" s="1"/>
  <c r="K69" i="3"/>
  <c r="L69" i="3" s="1"/>
  <c r="K68" i="3"/>
  <c r="L68" i="3" s="1"/>
  <c r="K67" i="3"/>
  <c r="L67" i="3" s="1"/>
  <c r="K66" i="3"/>
  <c r="L66" i="3" s="1"/>
  <c r="K65" i="3"/>
  <c r="L65" i="3" s="1"/>
  <c r="K64" i="3"/>
  <c r="L64" i="3" s="1"/>
  <c r="K63" i="3"/>
  <c r="L63" i="3" s="1"/>
  <c r="K62" i="3"/>
  <c r="L62" i="3" s="1"/>
  <c r="K61" i="3"/>
  <c r="L61" i="3" s="1"/>
  <c r="K60" i="3"/>
  <c r="L60" i="3" s="1"/>
  <c r="K59" i="3"/>
  <c r="L59" i="3" s="1"/>
  <c r="K58" i="3"/>
  <c r="L58" i="3" s="1"/>
  <c r="K57" i="3"/>
  <c r="L57" i="3" s="1"/>
  <c r="K56" i="3"/>
  <c r="L56" i="3" s="1"/>
  <c r="K55" i="3"/>
  <c r="L55" i="3" s="1"/>
  <c r="K54" i="3"/>
  <c r="L54" i="3" s="1"/>
  <c r="K53" i="3"/>
  <c r="L53" i="3" s="1"/>
  <c r="K52" i="3"/>
  <c r="L52" i="3" s="1"/>
  <c r="K51" i="3"/>
  <c r="L51" i="3" s="1"/>
  <c r="K50" i="3"/>
  <c r="L50" i="3" s="1"/>
  <c r="K49" i="3"/>
  <c r="L49" i="3" s="1"/>
  <c r="K48" i="3"/>
  <c r="L48" i="3" s="1"/>
  <c r="K47" i="3"/>
  <c r="L47" i="3" s="1"/>
  <c r="K46" i="3"/>
  <c r="L46" i="3" s="1"/>
  <c r="K45" i="3"/>
  <c r="L45" i="3" s="1"/>
  <c r="K44" i="3"/>
  <c r="L44" i="3" s="1"/>
  <c r="K43" i="3"/>
  <c r="L43" i="3" s="1"/>
  <c r="K42" i="3"/>
  <c r="L42" i="3" s="1"/>
  <c r="K41" i="3"/>
  <c r="L41" i="3" s="1"/>
  <c r="K40" i="3"/>
  <c r="L40" i="3" s="1"/>
  <c r="K39" i="3"/>
  <c r="L39" i="3" s="1"/>
  <c r="K38" i="3"/>
  <c r="L38" i="3" s="1"/>
  <c r="K37" i="3"/>
  <c r="L37" i="3" s="1"/>
  <c r="K36" i="3"/>
  <c r="L36" i="3" s="1"/>
  <c r="K35" i="3"/>
  <c r="L35" i="3" s="1"/>
  <c r="K34" i="3"/>
  <c r="L34" i="3" s="1"/>
  <c r="K33" i="3"/>
  <c r="L33" i="3" s="1"/>
  <c r="K32" i="3"/>
  <c r="L32" i="3" s="1"/>
  <c r="K31" i="3"/>
  <c r="L31" i="3" s="1"/>
  <c r="K30" i="3"/>
  <c r="L30" i="3" s="1"/>
  <c r="K29" i="3"/>
  <c r="L29" i="3" s="1"/>
  <c r="K28" i="3"/>
  <c r="L28" i="3" s="1"/>
  <c r="K27" i="3"/>
  <c r="L27" i="3" s="1"/>
  <c r="K26" i="3"/>
  <c r="L26" i="3" s="1"/>
  <c r="K25" i="3"/>
  <c r="L25" i="3" s="1"/>
  <c r="K24" i="3"/>
  <c r="L24" i="3" s="1"/>
  <c r="K23" i="3"/>
  <c r="L23" i="3" s="1"/>
  <c r="K22" i="3"/>
  <c r="L22" i="3" s="1"/>
  <c r="K21" i="3"/>
  <c r="L21" i="3" s="1"/>
  <c r="K20" i="3"/>
  <c r="L20" i="3" s="1"/>
  <c r="K19" i="3"/>
  <c r="L19" i="3" s="1"/>
  <c r="K18" i="3"/>
  <c r="L18" i="3" s="1"/>
  <c r="K17" i="3"/>
  <c r="L17" i="3" s="1"/>
  <c r="K16" i="3"/>
  <c r="L16" i="3" s="1"/>
  <c r="K15" i="3"/>
  <c r="L15" i="3" s="1"/>
  <c r="K14" i="3"/>
  <c r="L14" i="3" s="1"/>
  <c r="K13" i="3"/>
  <c r="L13" i="3" s="1"/>
  <c r="K12" i="3"/>
  <c r="L12" i="3" s="1"/>
  <c r="K11" i="3"/>
  <c r="L11" i="3" s="1"/>
  <c r="K10" i="3"/>
  <c r="L10" i="3" s="1"/>
  <c r="K9" i="3"/>
  <c r="L9" i="3" s="1"/>
  <c r="K8" i="3"/>
  <c r="L8" i="3" s="1"/>
  <c r="K7" i="3"/>
  <c r="L7" i="3" s="1"/>
  <c r="J6" i="3"/>
  <c r="DK19" i="3" l="1"/>
  <c r="DK15" i="3"/>
  <c r="DK11" i="3"/>
  <c r="DA35" i="3"/>
  <c r="DA31" i="3"/>
  <c r="DA27" i="3"/>
  <c r="DK12" i="3"/>
  <c r="DA28" i="3"/>
  <c r="DK18" i="3"/>
  <c r="DK14" i="3"/>
  <c r="DK10" i="3"/>
  <c r="DA34" i="3"/>
  <c r="DA30" i="3"/>
  <c r="DK16" i="3"/>
  <c r="DK17" i="3"/>
  <c r="DK13" i="3"/>
  <c r="DK9" i="3"/>
  <c r="DA33" i="3"/>
  <c r="DA29" i="3"/>
  <c r="DK8" i="3"/>
  <c r="DA32" i="3"/>
  <c r="DM19" i="3"/>
  <c r="DM15" i="3"/>
  <c r="DM11" i="3"/>
  <c r="DC35" i="3"/>
  <c r="DC27" i="3"/>
  <c r="DM12" i="3"/>
  <c r="DM18" i="3"/>
  <c r="DM14" i="3"/>
  <c r="DM10" i="3"/>
  <c r="DC34" i="3"/>
  <c r="DC26" i="3"/>
  <c r="DM16" i="3"/>
  <c r="DC28" i="3"/>
  <c r="DC24" i="3"/>
  <c r="DM17" i="3"/>
  <c r="DM13" i="3"/>
  <c r="DM9" i="3"/>
  <c r="DC33" i="3"/>
  <c r="DC29" i="3"/>
  <c r="DC25" i="3"/>
  <c r="DM8" i="3"/>
  <c r="DL19" i="3"/>
  <c r="DL15" i="3"/>
  <c r="DL11" i="3"/>
  <c r="DB35" i="3"/>
  <c r="DB31" i="3"/>
  <c r="DL12" i="3"/>
  <c r="DL18" i="3"/>
  <c r="DL14" i="3"/>
  <c r="DL10" i="3"/>
  <c r="DB34" i="3"/>
  <c r="DB30" i="3"/>
  <c r="DL16" i="3"/>
  <c r="DL17" i="3"/>
  <c r="DL13" i="3"/>
  <c r="DL9" i="3"/>
  <c r="DB33" i="3"/>
  <c r="DL8" i="3"/>
  <c r="DB32" i="3"/>
  <c r="CO26" i="3"/>
  <c r="DN19" i="3"/>
  <c r="DN15" i="3"/>
  <c r="DN11" i="3"/>
  <c r="DD27" i="3"/>
  <c r="DN16" i="3"/>
  <c r="DD24" i="3"/>
  <c r="DN18" i="3"/>
  <c r="DN14" i="3"/>
  <c r="DN10" i="3"/>
  <c r="DD26" i="3"/>
  <c r="DN12" i="3"/>
  <c r="DD28" i="3"/>
  <c r="DN17" i="3"/>
  <c r="DN13" i="3"/>
  <c r="DN9" i="3"/>
  <c r="DD29" i="3"/>
  <c r="DD25" i="3"/>
  <c r="DN8" i="3"/>
  <c r="CO27" i="3"/>
  <c r="E23" i="13"/>
  <c r="H19" i="13" s="1"/>
  <c r="E6" i="13"/>
  <c r="E26" i="13"/>
  <c r="IR9" i="3"/>
  <c r="IR8" i="3"/>
  <c r="IR7" i="3"/>
  <c r="AI63" i="16"/>
  <c r="AI63" i="15"/>
  <c r="AI62" i="15"/>
  <c r="AI61" i="15"/>
  <c r="AI60" i="15"/>
  <c r="AI59" i="15"/>
  <c r="AI62" i="16"/>
  <c r="AI61" i="16"/>
  <c r="AI60" i="16"/>
  <c r="AI59" i="16"/>
  <c r="AI58" i="16"/>
  <c r="AI58" i="15"/>
  <c r="AI57" i="15"/>
  <c r="AI54" i="15"/>
  <c r="AI52" i="15"/>
  <c r="AI57" i="16"/>
  <c r="AI56" i="16"/>
  <c r="AI56" i="15"/>
  <c r="AI55" i="15"/>
  <c r="AI53" i="15"/>
  <c r="AI52" i="16"/>
  <c r="AI55" i="16"/>
  <c r="AI54" i="16"/>
  <c r="AI53" i="16"/>
  <c r="AJ63" i="16"/>
  <c r="AJ57" i="16"/>
  <c r="AJ62" i="16"/>
  <c r="AJ56" i="16"/>
  <c r="AJ55" i="16"/>
  <c r="AJ61" i="16"/>
  <c r="AJ54" i="16"/>
  <c r="AJ60" i="16"/>
  <c r="AJ53" i="16"/>
  <c r="AJ59" i="16"/>
  <c r="AJ58" i="16"/>
  <c r="AJ52" i="16"/>
  <c r="AJ59" i="15"/>
  <c r="AJ53" i="15"/>
  <c r="AJ57" i="15"/>
  <c r="AJ56" i="15"/>
  <c r="AJ60" i="15"/>
  <c r="AJ63" i="15"/>
  <c r="AJ62" i="15"/>
  <c r="AJ55" i="15"/>
  <c r="AJ54" i="15"/>
  <c r="AJ58" i="15"/>
  <c r="AJ52" i="15"/>
  <c r="AJ61" i="15"/>
  <c r="AI63" i="14"/>
  <c r="AI62" i="14"/>
  <c r="AI61" i="14"/>
  <c r="AI59" i="14"/>
  <c r="AI57" i="14"/>
  <c r="AI52" i="14"/>
  <c r="AI60" i="14"/>
  <c r="AI56" i="14"/>
  <c r="AI55" i="14"/>
  <c r="AI54" i="14"/>
  <c r="AI53" i="14"/>
  <c r="AI58" i="14"/>
  <c r="AJ57" i="14"/>
  <c r="AJ62" i="14"/>
  <c r="AJ56" i="14"/>
  <c r="AJ61" i="14"/>
  <c r="AJ55" i="14"/>
  <c r="AJ53" i="14"/>
  <c r="AJ63" i="14"/>
  <c r="AJ60" i="14"/>
  <c r="AJ54" i="14"/>
  <c r="AJ52" i="14"/>
  <c r="AJ59" i="14"/>
  <c r="AJ58" i="14"/>
  <c r="AI55" i="6"/>
  <c r="AI61" i="6"/>
  <c r="AI52" i="6"/>
  <c r="AI60" i="6"/>
  <c r="AI56" i="6"/>
  <c r="AI62" i="6"/>
  <c r="AI57" i="6"/>
  <c r="AI63" i="6"/>
  <c r="AI59" i="6"/>
  <c r="AI58" i="6"/>
  <c r="AI53" i="6"/>
  <c r="AI54" i="6"/>
  <c r="T47" i="13"/>
  <c r="N47" i="13"/>
  <c r="H47" i="13"/>
  <c r="B47" i="13"/>
  <c r="BZ20" i="3"/>
  <c r="N11" i="20"/>
  <c r="H11" i="20"/>
  <c r="Q11" i="20"/>
  <c r="K11" i="20"/>
  <c r="IR6" i="3"/>
  <c r="HP7" i="3"/>
  <c r="HO7" i="3"/>
  <c r="HN7" i="3"/>
  <c r="HM7" i="3"/>
  <c r="HL7" i="3"/>
  <c r="HK7" i="3"/>
  <c r="HJ7" i="3"/>
  <c r="HI7" i="3"/>
  <c r="HH7" i="3"/>
  <c r="GZ7" i="3"/>
  <c r="HG7" i="3"/>
  <c r="GY7" i="3"/>
  <c r="HF7" i="3"/>
  <c r="GX7" i="3"/>
  <c r="HE7" i="3"/>
  <c r="GW7" i="3"/>
  <c r="HD7" i="3"/>
  <c r="GV7" i="3"/>
  <c r="HC7" i="3"/>
  <c r="GU7" i="3"/>
  <c r="GT7" i="3"/>
  <c r="GS7" i="3"/>
  <c r="HB7" i="3"/>
  <c r="HA7" i="3"/>
  <c r="GK8" i="3"/>
  <c r="CP31" i="3"/>
  <c r="GA30" i="3" s="1"/>
  <c r="GE30" i="3" s="1"/>
  <c r="FZ30" i="3"/>
  <c r="GR7" i="3" s="1"/>
  <c r="CP25" i="3"/>
  <c r="GA24" i="3" s="1"/>
  <c r="GE24" i="3" s="1"/>
  <c r="FZ24" i="3"/>
  <c r="GL7" i="3" s="1"/>
  <c r="GK7" i="3"/>
  <c r="GH34" i="3"/>
  <c r="HK33" i="3"/>
  <c r="HL33" i="3"/>
  <c r="HM33" i="3"/>
  <c r="HN33" i="3"/>
  <c r="HO33" i="3"/>
  <c r="HP33" i="3"/>
  <c r="HF33" i="3"/>
  <c r="HA33" i="3"/>
  <c r="CP27" i="3"/>
  <c r="GA26" i="3" s="1"/>
  <c r="GE26" i="3" s="1"/>
  <c r="FZ26" i="3"/>
  <c r="CP29" i="3"/>
  <c r="GA28" i="3" s="1"/>
  <c r="GE28" i="3" s="1"/>
  <c r="FZ28" i="3"/>
  <c r="GP33" i="3" s="1"/>
  <c r="CP30" i="3"/>
  <c r="GA29" i="3" s="1"/>
  <c r="GE29" i="3" s="1"/>
  <c r="FZ29" i="3"/>
  <c r="GQ7" i="3" s="1"/>
  <c r="CP28" i="3"/>
  <c r="FZ27" i="3"/>
  <c r="GO7" i="3" s="1"/>
  <c r="CP26" i="3"/>
  <c r="FZ25" i="3"/>
  <c r="CQ24" i="3"/>
  <c r="GA23" i="3"/>
  <c r="GE23" i="3" s="1"/>
  <c r="GK20" i="3" s="1"/>
  <c r="GE42" i="3"/>
  <c r="GE44" i="3"/>
  <c r="GX33" i="3" s="1"/>
  <c r="GJ20" i="3"/>
  <c r="GJ19" i="3"/>
  <c r="HQ19" i="3" s="1"/>
  <c r="GE71" i="3"/>
  <c r="HI32" i="3" s="1"/>
  <c r="GE40" i="3"/>
  <c r="GJ18" i="3"/>
  <c r="HQ18" i="3" s="1"/>
  <c r="GE45" i="3"/>
  <c r="GE61" i="3"/>
  <c r="GE55" i="3"/>
  <c r="GE78" i="3"/>
  <c r="GE56" i="3"/>
  <c r="GE39" i="3"/>
  <c r="GE57" i="3"/>
  <c r="GE43" i="3"/>
  <c r="GE73" i="3"/>
  <c r="GJ21" i="3"/>
  <c r="GE41" i="3"/>
  <c r="GE77" i="3"/>
  <c r="GE75" i="3"/>
  <c r="GE72" i="3"/>
  <c r="GE46" i="3"/>
  <c r="GE62" i="3"/>
  <c r="HH33" i="3" s="1"/>
  <c r="GE59" i="3"/>
  <c r="HE33" i="3" s="1"/>
  <c r="GJ17" i="3"/>
  <c r="HQ17" i="3" s="1"/>
  <c r="GJ22" i="3"/>
  <c r="GE58" i="3"/>
  <c r="GE76" i="3"/>
  <c r="GE74" i="3"/>
  <c r="GE60" i="3"/>
  <c r="GJ23" i="3"/>
  <c r="GJ16" i="3"/>
  <c r="HQ16" i="3" s="1"/>
  <c r="GJ24" i="3"/>
  <c r="GJ15" i="3"/>
  <c r="HQ15" i="3" s="1"/>
  <c r="GJ14" i="3"/>
  <c r="HQ14" i="3" s="1"/>
  <c r="GJ25" i="3"/>
  <c r="GJ13" i="3"/>
  <c r="HQ13" i="3" s="1"/>
  <c r="GJ26" i="3"/>
  <c r="GJ12" i="3"/>
  <c r="HQ12" i="3" s="1"/>
  <c r="GJ27" i="3"/>
  <c r="GJ28" i="3"/>
  <c r="GJ11" i="3"/>
  <c r="HQ11" i="3" s="1"/>
  <c r="GJ10" i="3"/>
  <c r="HQ10" i="3" s="1"/>
  <c r="GJ29" i="3"/>
  <c r="GJ9" i="3"/>
  <c r="HQ9" i="3" s="1"/>
  <c r="GJ30" i="3"/>
  <c r="GJ8" i="3"/>
  <c r="HQ8" i="3" s="1"/>
  <c r="GJ31" i="3"/>
  <c r="GJ32" i="3"/>
  <c r="GJ7" i="3"/>
  <c r="HQ7" i="3" s="1"/>
  <c r="GJ33" i="3"/>
  <c r="GI34" i="3"/>
  <c r="ED34" i="3"/>
  <c r="EA59" i="3"/>
  <c r="EA58" i="3"/>
  <c r="EA77" i="3"/>
  <c r="EA57" i="3"/>
  <c r="EA76" i="3"/>
  <c r="EA56" i="3"/>
  <c r="EA75" i="3"/>
  <c r="EA60" i="3"/>
  <c r="EA74" i="3"/>
  <c r="EA73" i="3"/>
  <c r="EA72" i="3"/>
  <c r="EA61" i="3"/>
  <c r="EA43" i="3"/>
  <c r="EA42" i="3"/>
  <c r="EA41" i="3"/>
  <c r="EA40" i="3"/>
  <c r="EA44" i="3"/>
  <c r="EA45" i="3"/>
  <c r="CQ27" i="3"/>
  <c r="EF20" i="3"/>
  <c r="EF25" i="3"/>
  <c r="EF22" i="3"/>
  <c r="EF28" i="3"/>
  <c r="EF19" i="3"/>
  <c r="EF24" i="3"/>
  <c r="EF30" i="3"/>
  <c r="EF21" i="3"/>
  <c r="EF32" i="3"/>
  <c r="EF27" i="3"/>
  <c r="EF23" i="3"/>
  <c r="EF29" i="3"/>
  <c r="EF31" i="3"/>
  <c r="EF26" i="3"/>
  <c r="EF33" i="3"/>
  <c r="EF18" i="3"/>
  <c r="FM18" i="3" s="1"/>
  <c r="EF17" i="3"/>
  <c r="FM17" i="3" s="1"/>
  <c r="EF16" i="3"/>
  <c r="FM16" i="3" s="1"/>
  <c r="EF15" i="3"/>
  <c r="FM15" i="3" s="1"/>
  <c r="EF14" i="3"/>
  <c r="FM14" i="3" s="1"/>
  <c r="EF13" i="3"/>
  <c r="FM13" i="3" s="1"/>
  <c r="EF12" i="3"/>
  <c r="FM12" i="3" s="1"/>
  <c r="EF11" i="3"/>
  <c r="FM11" i="3" s="1"/>
  <c r="EF10" i="3"/>
  <c r="FM10" i="3" s="1"/>
  <c r="EF9" i="3"/>
  <c r="FM9" i="3" s="1"/>
  <c r="EF8" i="3"/>
  <c r="FM8" i="3" s="1"/>
  <c r="EF7" i="3"/>
  <c r="FM7" i="3" s="1"/>
  <c r="EE34" i="3"/>
  <c r="AG68" i="3"/>
  <c r="CD27" i="3"/>
  <c r="CD28" i="3"/>
  <c r="CD25" i="3"/>
  <c r="CD31" i="3"/>
  <c r="CD24" i="3"/>
  <c r="CD26" i="3"/>
  <c r="CD30" i="3"/>
  <c r="CD29" i="3"/>
  <c r="AG52" i="3"/>
  <c r="DT51" i="3" s="1"/>
  <c r="AG36" i="3"/>
  <c r="Y18" i="7"/>
  <c r="Y12" i="7"/>
  <c r="Y14" i="7"/>
  <c r="Y22" i="7"/>
  <c r="Y13" i="7"/>
  <c r="Y15" i="7"/>
  <c r="Y16" i="7"/>
  <c r="Y17" i="7"/>
  <c r="Y11" i="7"/>
  <c r="Y19" i="7"/>
  <c r="Y20" i="7"/>
  <c r="Y21" i="7"/>
  <c r="CJ44" i="6"/>
  <c r="CJ43" i="6"/>
  <c r="CJ42" i="6"/>
  <c r="CJ41" i="6"/>
  <c r="CJ40" i="6"/>
  <c r="CJ39" i="6"/>
  <c r="CJ38" i="6"/>
  <c r="CJ45" i="6"/>
  <c r="CQ23" i="6"/>
  <c r="BN23" i="6"/>
  <c r="CJ23" i="6" s="1"/>
  <c r="CQ22" i="6"/>
  <c r="BN22" i="6"/>
  <c r="CJ22" i="6" s="1"/>
  <c r="BN21" i="6"/>
  <c r="CJ21" i="6" s="1"/>
  <c r="CQ21" i="6"/>
  <c r="CQ31" i="6"/>
  <c r="BN31" i="6"/>
  <c r="CJ31" i="6" s="1"/>
  <c r="CQ24" i="6"/>
  <c r="BN24" i="6"/>
  <c r="CJ24" i="6" s="1"/>
  <c r="BN20" i="6"/>
  <c r="CJ20" i="6" s="1"/>
  <c r="CQ20" i="6"/>
  <c r="CQ25" i="6"/>
  <c r="BN25" i="6"/>
  <c r="CJ25" i="6" s="1"/>
  <c r="CQ30" i="6"/>
  <c r="BN30" i="6"/>
  <c r="CJ30" i="6" s="1"/>
  <c r="CQ29" i="6"/>
  <c r="BN29" i="6"/>
  <c r="CJ29" i="6" s="1"/>
  <c r="CQ28" i="6"/>
  <c r="BN28" i="6"/>
  <c r="CJ28" i="6" s="1"/>
  <c r="CQ27" i="6"/>
  <c r="BN27" i="6"/>
  <c r="CJ27" i="6" s="1"/>
  <c r="BN26" i="6"/>
  <c r="CJ26" i="6" s="1"/>
  <c r="CQ26" i="6"/>
  <c r="AR59" i="6"/>
  <c r="BA59" i="6" s="1"/>
  <c r="HX30" i="3" s="1"/>
  <c r="AR55" i="6"/>
  <c r="BA55" i="6" s="1"/>
  <c r="HX26" i="3" s="1"/>
  <c r="AR61" i="6"/>
  <c r="BA61" i="6" s="1"/>
  <c r="HX32" i="3" s="1"/>
  <c r="AR58" i="6"/>
  <c r="BA58" i="6" s="1"/>
  <c r="HX29" i="3" s="1"/>
  <c r="AR57" i="6"/>
  <c r="BA57" i="6" s="1"/>
  <c r="HX28" i="3" s="1"/>
  <c r="AR56" i="6"/>
  <c r="BA56" i="6" s="1"/>
  <c r="HX27" i="3" s="1"/>
  <c r="AR62" i="6"/>
  <c r="BA62" i="6" s="1"/>
  <c r="HX33" i="3" s="1"/>
  <c r="AR60" i="6"/>
  <c r="BA60" i="6" s="1"/>
  <c r="HX31" i="3" s="1"/>
  <c r="AR54" i="6"/>
  <c r="BA54" i="6" s="1"/>
  <c r="HX25" i="3" s="1"/>
  <c r="AR53" i="6"/>
  <c r="BA53" i="6" s="1"/>
  <c r="HX24" i="3" s="1"/>
  <c r="AR63" i="6"/>
  <c r="BA63" i="6" s="1"/>
  <c r="HX34" i="3" s="1"/>
  <c r="AR15" i="6"/>
  <c r="M81" i="3"/>
  <c r="M77" i="3"/>
  <c r="M73" i="3"/>
  <c r="M69" i="3"/>
  <c r="M65" i="3"/>
  <c r="M61" i="3"/>
  <c r="M57" i="3"/>
  <c r="M53" i="3"/>
  <c r="M49" i="3"/>
  <c r="M45" i="3"/>
  <c r="M41" i="3"/>
  <c r="M37" i="3"/>
  <c r="M33" i="3"/>
  <c r="M29" i="3"/>
  <c r="M25" i="3"/>
  <c r="M21" i="3"/>
  <c r="M14" i="3"/>
  <c r="M7" i="3"/>
  <c r="B7" i="3" s="1"/>
  <c r="I17" i="1" s="1"/>
  <c r="M32" i="3"/>
  <c r="M20" i="3"/>
  <c r="M8" i="3"/>
  <c r="M11" i="3"/>
  <c r="M17" i="3"/>
  <c r="M60" i="3"/>
  <c r="M44" i="3"/>
  <c r="M36" i="3"/>
  <c r="M28" i="3"/>
  <c r="M10" i="3"/>
  <c r="M80" i="3"/>
  <c r="M76" i="3"/>
  <c r="M72" i="3"/>
  <c r="M68" i="3"/>
  <c r="M64" i="3"/>
  <c r="M56" i="3"/>
  <c r="M52" i="3"/>
  <c r="M48" i="3"/>
  <c r="M40" i="3"/>
  <c r="M24" i="3"/>
  <c r="M16" i="3"/>
  <c r="M13" i="3"/>
  <c r="M55" i="3"/>
  <c r="M47" i="3"/>
  <c r="M39" i="3"/>
  <c r="M31" i="3"/>
  <c r="M23" i="3"/>
  <c r="M19" i="3"/>
  <c r="M9" i="3"/>
  <c r="M26" i="3"/>
  <c r="M79" i="3"/>
  <c r="M75" i="3"/>
  <c r="M71" i="3"/>
  <c r="M67" i="3"/>
  <c r="M63" i="3"/>
  <c r="M59" i="3"/>
  <c r="M51" i="3"/>
  <c r="M43" i="3"/>
  <c r="M35" i="3"/>
  <c r="M27" i="3"/>
  <c r="M15" i="3"/>
  <c r="M78" i="3"/>
  <c r="M74" i="3"/>
  <c r="M70" i="3"/>
  <c r="M66" i="3"/>
  <c r="M62" i="3"/>
  <c r="M58" i="3"/>
  <c r="M54" i="3"/>
  <c r="M50" i="3"/>
  <c r="M46" i="3"/>
  <c r="M42" i="3"/>
  <c r="M38" i="3"/>
  <c r="M34" i="3"/>
  <c r="M30" i="3"/>
  <c r="M22" i="3"/>
  <c r="M12" i="3"/>
  <c r="M18" i="3"/>
  <c r="H21" i="13" l="1"/>
  <c r="A2" i="13" s="1"/>
  <c r="A1" i="4" s="1"/>
  <c r="A1" i="8" s="1"/>
  <c r="G5" i="8" s="1"/>
  <c r="CQ30" i="3"/>
  <c r="CQ31" i="3"/>
  <c r="HI33" i="3"/>
  <c r="HD26" i="3"/>
  <c r="HD27" i="3"/>
  <c r="HD28" i="3"/>
  <c r="HD29" i="3"/>
  <c r="HI18" i="3"/>
  <c r="HI17" i="3"/>
  <c r="HI25" i="3"/>
  <c r="HI26" i="3"/>
  <c r="HI27" i="3"/>
  <c r="HA18" i="3"/>
  <c r="HA17" i="3"/>
  <c r="HA25" i="3"/>
  <c r="HA26" i="3"/>
  <c r="HA27" i="3"/>
  <c r="GS32" i="3"/>
  <c r="GS18" i="3"/>
  <c r="GS17" i="3"/>
  <c r="GS25" i="3"/>
  <c r="GS26" i="3"/>
  <c r="GS27" i="3"/>
  <c r="GK13" i="3"/>
  <c r="GK15" i="3"/>
  <c r="GK14" i="3"/>
  <c r="GK16" i="3"/>
  <c r="C15" i="1"/>
  <c r="C19" i="1" s="1"/>
  <c r="B9" i="1"/>
  <c r="HT22" i="3"/>
  <c r="GK28" i="3"/>
  <c r="CQ25" i="3"/>
  <c r="GK33" i="3"/>
  <c r="GK17" i="3"/>
  <c r="GK30" i="3"/>
  <c r="GK29" i="3"/>
  <c r="GK31" i="3"/>
  <c r="GK26" i="3"/>
  <c r="GK32" i="3"/>
  <c r="GK27" i="3"/>
  <c r="AK53" i="15"/>
  <c r="AK59" i="15"/>
  <c r="AK61" i="16"/>
  <c r="C38" i="13"/>
  <c r="C30" i="13"/>
  <c r="C34" i="13"/>
  <c r="E25" i="13"/>
  <c r="C29" i="13"/>
  <c r="E30" i="13" s="1"/>
  <c r="C33" i="13"/>
  <c r="E33" i="13" s="1"/>
  <c r="C37" i="13"/>
  <c r="E38" i="13" s="1"/>
  <c r="C41" i="13"/>
  <c r="E42" i="13" s="1"/>
  <c r="C42" i="13"/>
  <c r="AK60" i="15"/>
  <c r="AK63" i="16"/>
  <c r="AK56" i="15"/>
  <c r="AK57" i="14"/>
  <c r="AK59" i="14"/>
  <c r="AK58" i="16"/>
  <c r="AK63" i="15"/>
  <c r="AK52" i="15"/>
  <c r="AK62" i="15"/>
  <c r="AK56" i="16"/>
  <c r="GK25" i="3"/>
  <c r="GS33" i="3"/>
  <c r="AK58" i="14"/>
  <c r="AK61" i="14"/>
  <c r="AK62" i="16"/>
  <c r="GU21" i="3"/>
  <c r="GU20" i="3"/>
  <c r="GU19" i="3"/>
  <c r="GU18" i="3"/>
  <c r="GU17" i="3"/>
  <c r="GU16" i="3"/>
  <c r="GU15" i="3"/>
  <c r="GU14" i="3"/>
  <c r="GU13" i="3"/>
  <c r="GU12" i="3"/>
  <c r="GT18" i="3"/>
  <c r="GT17" i="3"/>
  <c r="GT16" i="3"/>
  <c r="GT15" i="3"/>
  <c r="GT14" i="3"/>
  <c r="GT13" i="3"/>
  <c r="GT12" i="3"/>
  <c r="GT11" i="3"/>
  <c r="GT10" i="3"/>
  <c r="AK52" i="14"/>
  <c r="AK54" i="15"/>
  <c r="GK10" i="3"/>
  <c r="AK60" i="14"/>
  <c r="AK55" i="15"/>
  <c r="AK60" i="16"/>
  <c r="HD30" i="3"/>
  <c r="HD31" i="3"/>
  <c r="HD32" i="3"/>
  <c r="GW30" i="3"/>
  <c r="GW21" i="3"/>
  <c r="GW22" i="3"/>
  <c r="GW23" i="3"/>
  <c r="GW24" i="3"/>
  <c r="GW25" i="3"/>
  <c r="GW26" i="3"/>
  <c r="HI13" i="3"/>
  <c r="HI12" i="3"/>
  <c r="HI11" i="3"/>
  <c r="HI10" i="3"/>
  <c r="HC33" i="3"/>
  <c r="HC24" i="3"/>
  <c r="HC25" i="3"/>
  <c r="HC26" i="3"/>
  <c r="HC27" i="3"/>
  <c r="HC28" i="3"/>
  <c r="HC29" i="3"/>
  <c r="HC30" i="3"/>
  <c r="HC31" i="3"/>
  <c r="HC32" i="3"/>
  <c r="GX27" i="3"/>
  <c r="GX28" i="3"/>
  <c r="GX29" i="3"/>
  <c r="GX30" i="3"/>
  <c r="GX31" i="3"/>
  <c r="GX32" i="3"/>
  <c r="GS13" i="3"/>
  <c r="GS12" i="3"/>
  <c r="GS11" i="3"/>
  <c r="GS10" i="3"/>
  <c r="GV20" i="3"/>
  <c r="GV19" i="3"/>
  <c r="GV21" i="3"/>
  <c r="GV22" i="3"/>
  <c r="GV18" i="3"/>
  <c r="GV23" i="3"/>
  <c r="GV24" i="3"/>
  <c r="GV25" i="3"/>
  <c r="GV26" i="3"/>
  <c r="HB19" i="3"/>
  <c r="HB18" i="3"/>
  <c r="HB17" i="3"/>
  <c r="HB16" i="3"/>
  <c r="HB15" i="3"/>
  <c r="HB14" i="3"/>
  <c r="HB13" i="3"/>
  <c r="HB12" i="3"/>
  <c r="HB11" i="3"/>
  <c r="HB10" i="3"/>
  <c r="GK12" i="3"/>
  <c r="HH30" i="3"/>
  <c r="HH31" i="3"/>
  <c r="HH32" i="3"/>
  <c r="GK11" i="3"/>
  <c r="GZ20" i="3"/>
  <c r="GZ19" i="3"/>
  <c r="GZ21" i="3"/>
  <c r="GZ18" i="3"/>
  <c r="GZ22" i="3"/>
  <c r="GZ23" i="3"/>
  <c r="GZ24" i="3"/>
  <c r="GZ25" i="3"/>
  <c r="GZ26" i="3"/>
  <c r="AK62" i="14"/>
  <c r="HJ19" i="3"/>
  <c r="HJ18" i="3"/>
  <c r="HJ17" i="3"/>
  <c r="HJ16" i="3"/>
  <c r="HJ15" i="3"/>
  <c r="HJ14" i="3"/>
  <c r="HJ13" i="3"/>
  <c r="HJ12" i="3"/>
  <c r="HJ11" i="3"/>
  <c r="HJ10" i="3"/>
  <c r="HG33" i="3"/>
  <c r="HG24" i="3"/>
  <c r="HG25" i="3"/>
  <c r="HG26" i="3"/>
  <c r="HG27" i="3"/>
  <c r="HG28" i="3"/>
  <c r="HG29" i="3"/>
  <c r="HG30" i="3"/>
  <c r="HG31" i="3"/>
  <c r="HG32" i="3"/>
  <c r="HA13" i="3"/>
  <c r="HA12" i="3"/>
  <c r="HA11" i="3"/>
  <c r="HA10" i="3"/>
  <c r="GY21" i="3"/>
  <c r="GY20" i="3"/>
  <c r="GY19" i="3"/>
  <c r="GY18" i="3"/>
  <c r="GY17" i="3"/>
  <c r="GY16" i="3"/>
  <c r="GY15" i="3"/>
  <c r="GY14" i="3"/>
  <c r="GY13" i="3"/>
  <c r="GY12" i="3"/>
  <c r="HD33" i="3"/>
  <c r="AK61" i="15"/>
  <c r="AK52" i="16"/>
  <c r="GK9" i="3"/>
  <c r="AK58" i="15"/>
  <c r="AK59" i="16"/>
  <c r="AK53" i="16"/>
  <c r="AK54" i="16"/>
  <c r="AK55" i="16"/>
  <c r="AK56" i="14"/>
  <c r="AK57" i="15"/>
  <c r="AK57" i="16"/>
  <c r="AK55" i="14"/>
  <c r="AK54" i="14"/>
  <c r="AK63" i="14"/>
  <c r="AK53" i="14"/>
  <c r="GS20" i="3"/>
  <c r="GS19" i="3"/>
  <c r="GV28" i="3"/>
  <c r="GV27" i="3"/>
  <c r="GK18" i="3"/>
  <c r="GZ28" i="3"/>
  <c r="GZ27" i="3"/>
  <c r="HA20" i="3"/>
  <c r="HA19" i="3"/>
  <c r="HI20" i="3"/>
  <c r="HI19" i="3"/>
  <c r="GT20" i="3"/>
  <c r="GT19" i="3"/>
  <c r="GW32" i="3"/>
  <c r="GW31" i="3"/>
  <c r="HJ33" i="3"/>
  <c r="HJ20" i="3"/>
  <c r="GY33" i="3"/>
  <c r="GY22" i="3"/>
  <c r="HB33" i="3"/>
  <c r="HB20" i="3"/>
  <c r="GK19" i="3"/>
  <c r="GU33" i="3"/>
  <c r="GU22" i="3"/>
  <c r="DQ23" i="3"/>
  <c r="CV21" i="3"/>
  <c r="DG5" i="3" s="1"/>
  <c r="CQ23" i="3"/>
  <c r="CV7" i="3" s="1"/>
  <c r="FX19" i="3"/>
  <c r="IT6" i="3"/>
  <c r="IT7" i="3"/>
  <c r="IT8" i="3"/>
  <c r="IT9" i="3"/>
  <c r="CQ29" i="3"/>
  <c r="GL33" i="3"/>
  <c r="GQ33" i="3"/>
  <c r="GR33" i="3"/>
  <c r="GP7" i="3"/>
  <c r="HJ21" i="3"/>
  <c r="HJ22" i="3"/>
  <c r="HJ23" i="3"/>
  <c r="HJ24" i="3"/>
  <c r="HJ25" i="3"/>
  <c r="HJ26" i="3"/>
  <c r="HJ27" i="3"/>
  <c r="HJ28" i="3"/>
  <c r="HJ29" i="3"/>
  <c r="HJ30" i="3"/>
  <c r="HJ31" i="3"/>
  <c r="HJ32" i="3"/>
  <c r="GK22" i="3"/>
  <c r="GK23" i="3"/>
  <c r="HA21" i="3"/>
  <c r="HA22" i="3"/>
  <c r="HA23" i="3"/>
  <c r="HA24" i="3"/>
  <c r="GY23" i="3"/>
  <c r="GY24" i="3"/>
  <c r="GY25" i="3"/>
  <c r="GY26" i="3"/>
  <c r="GY27" i="3"/>
  <c r="GY28" i="3"/>
  <c r="GY29" i="3"/>
  <c r="GY30" i="3"/>
  <c r="GY31" i="3"/>
  <c r="GY32" i="3"/>
  <c r="GV29" i="3"/>
  <c r="GV30" i="3"/>
  <c r="GV31" i="3"/>
  <c r="GV32" i="3"/>
  <c r="GM8" i="3"/>
  <c r="GM12" i="3"/>
  <c r="GM20" i="3"/>
  <c r="GM19" i="3"/>
  <c r="GM13" i="3"/>
  <c r="GM21" i="3"/>
  <c r="GM18" i="3"/>
  <c r="GM17" i="3"/>
  <c r="GM11" i="3"/>
  <c r="GM16" i="3"/>
  <c r="GM10" i="3"/>
  <c r="GM9" i="3"/>
  <c r="GP25" i="3"/>
  <c r="GP8" i="3"/>
  <c r="GP14" i="3"/>
  <c r="GP20" i="3"/>
  <c r="GP26" i="3"/>
  <c r="GP21" i="3"/>
  <c r="GP13" i="3"/>
  <c r="GP19" i="3"/>
  <c r="GP27" i="3"/>
  <c r="GP18" i="3"/>
  <c r="GP28" i="3"/>
  <c r="GP22" i="3"/>
  <c r="GP12" i="3"/>
  <c r="GP17" i="3"/>
  <c r="GP29" i="3"/>
  <c r="GP23" i="3"/>
  <c r="GP11" i="3"/>
  <c r="GP16" i="3"/>
  <c r="GP10" i="3"/>
  <c r="GP32" i="3"/>
  <c r="GP15" i="3"/>
  <c r="GP31" i="3"/>
  <c r="GP9" i="3"/>
  <c r="GP24" i="3"/>
  <c r="GP30" i="3"/>
  <c r="GO33" i="3"/>
  <c r="GH35" i="3"/>
  <c r="HJ34" i="3"/>
  <c r="HK34" i="3"/>
  <c r="HL34" i="3"/>
  <c r="HM34" i="3"/>
  <c r="HN34" i="3"/>
  <c r="HO34" i="3"/>
  <c r="HP34" i="3"/>
  <c r="HI34" i="3"/>
  <c r="HA34" i="3"/>
  <c r="GS34" i="3"/>
  <c r="HB34" i="3"/>
  <c r="GT34" i="3"/>
  <c r="HC34" i="3"/>
  <c r="GU34" i="3"/>
  <c r="HD34" i="3"/>
  <c r="GV34" i="3"/>
  <c r="HE34" i="3"/>
  <c r="GW34" i="3"/>
  <c r="HF34" i="3"/>
  <c r="GX34" i="3"/>
  <c r="GQ34" i="3"/>
  <c r="GR34" i="3"/>
  <c r="GZ34" i="3"/>
  <c r="GO34" i="3"/>
  <c r="HH34" i="3"/>
  <c r="GY34" i="3"/>
  <c r="GP34" i="3"/>
  <c r="HG34" i="3"/>
  <c r="GK34" i="3"/>
  <c r="GL34" i="3"/>
  <c r="GN34" i="3"/>
  <c r="CQ26" i="3"/>
  <c r="GA25" i="3"/>
  <c r="GE25" i="3" s="1"/>
  <c r="GM33" i="3" s="1"/>
  <c r="GK24" i="3"/>
  <c r="GU23" i="3"/>
  <c r="GU24" i="3"/>
  <c r="GU25" i="3"/>
  <c r="GU26" i="3"/>
  <c r="GU27" i="3"/>
  <c r="GU28" i="3"/>
  <c r="GU29" i="3"/>
  <c r="GU30" i="3"/>
  <c r="GU31" i="3"/>
  <c r="GU32" i="3"/>
  <c r="GT21" i="3"/>
  <c r="GT22" i="3"/>
  <c r="GT23" i="3"/>
  <c r="GT24" i="3"/>
  <c r="GT25" i="3"/>
  <c r="GT26" i="3"/>
  <c r="GT27" i="3"/>
  <c r="GT28" i="3"/>
  <c r="GT29" i="3"/>
  <c r="GT30" i="3"/>
  <c r="GT31" i="3"/>
  <c r="GT32" i="3"/>
  <c r="GN20" i="3"/>
  <c r="GN14" i="3"/>
  <c r="GN12" i="3"/>
  <c r="GN17" i="3"/>
  <c r="GN21" i="3"/>
  <c r="GN13" i="3"/>
  <c r="GN11" i="3"/>
  <c r="GN19" i="3"/>
  <c r="GN27" i="3"/>
  <c r="GN18" i="3"/>
  <c r="GN9" i="3"/>
  <c r="GN22" i="3"/>
  <c r="GN28" i="3"/>
  <c r="GN29" i="3"/>
  <c r="GN8" i="3"/>
  <c r="GN23" i="3"/>
  <c r="GN16" i="3"/>
  <c r="GN10" i="3"/>
  <c r="GN26" i="3"/>
  <c r="GN24" i="3"/>
  <c r="GN30" i="3"/>
  <c r="GN32" i="3"/>
  <c r="GN25" i="3"/>
  <c r="GN31" i="3"/>
  <c r="GN15" i="3"/>
  <c r="GN33" i="3"/>
  <c r="GW33" i="3"/>
  <c r="HI21" i="3"/>
  <c r="HI22" i="3"/>
  <c r="HI23" i="3"/>
  <c r="HI24" i="3"/>
  <c r="GK21" i="3"/>
  <c r="GV33" i="3"/>
  <c r="GT33" i="3"/>
  <c r="GL20" i="3"/>
  <c r="GL14" i="3"/>
  <c r="GL8" i="3"/>
  <c r="GL23" i="3"/>
  <c r="GL19" i="3"/>
  <c r="GL13" i="3"/>
  <c r="GL29" i="3"/>
  <c r="GL21" i="3"/>
  <c r="GL27" i="3"/>
  <c r="GL9" i="3"/>
  <c r="GL22" i="3"/>
  <c r="GL12" i="3"/>
  <c r="GL18" i="3"/>
  <c r="GL28" i="3"/>
  <c r="GL17" i="3"/>
  <c r="GL11" i="3"/>
  <c r="GL32" i="3"/>
  <c r="GL16" i="3"/>
  <c r="GL30" i="3"/>
  <c r="GL26" i="3"/>
  <c r="GL24" i="3"/>
  <c r="GL10" i="3"/>
  <c r="GL25" i="3"/>
  <c r="GL31" i="3"/>
  <c r="GL15" i="3"/>
  <c r="GO31" i="3"/>
  <c r="GO16" i="3"/>
  <c r="GO30" i="3"/>
  <c r="GO15" i="3"/>
  <c r="GO26" i="3"/>
  <c r="GO27" i="3"/>
  <c r="GO8" i="3"/>
  <c r="GO17" i="3"/>
  <c r="GO29" i="3"/>
  <c r="GO32" i="3"/>
  <c r="GO28" i="3"/>
  <c r="GS21" i="3"/>
  <c r="GS22" i="3"/>
  <c r="GS23" i="3"/>
  <c r="GS24" i="3"/>
  <c r="CQ28" i="3"/>
  <c r="GA27" i="3"/>
  <c r="GE27" i="3" s="1"/>
  <c r="GO25" i="3" s="1"/>
  <c r="GN7" i="3"/>
  <c r="GZ29" i="3"/>
  <c r="GZ30" i="3"/>
  <c r="GZ31" i="3"/>
  <c r="GZ32" i="3"/>
  <c r="HB21" i="3"/>
  <c r="HB22" i="3"/>
  <c r="HB23" i="3"/>
  <c r="HB24" i="3"/>
  <c r="HB25" i="3"/>
  <c r="HB26" i="3"/>
  <c r="HB27" i="3"/>
  <c r="HB28" i="3"/>
  <c r="HB29" i="3"/>
  <c r="HB30" i="3"/>
  <c r="HB31" i="3"/>
  <c r="HB32" i="3"/>
  <c r="GQ32" i="3"/>
  <c r="GQ31" i="3"/>
  <c r="GQ14" i="3"/>
  <c r="GQ8" i="3"/>
  <c r="GQ9" i="3"/>
  <c r="GQ20" i="3"/>
  <c r="GQ26" i="3"/>
  <c r="GQ21" i="3"/>
  <c r="GQ27" i="3"/>
  <c r="GQ19" i="3"/>
  <c r="GQ13" i="3"/>
  <c r="GQ29" i="3"/>
  <c r="GQ18" i="3"/>
  <c r="GQ12" i="3"/>
  <c r="GQ22" i="3"/>
  <c r="GQ28" i="3"/>
  <c r="GQ17" i="3"/>
  <c r="GQ23" i="3"/>
  <c r="GQ11" i="3"/>
  <c r="GQ16" i="3"/>
  <c r="GQ30" i="3"/>
  <c r="GQ24" i="3"/>
  <c r="GQ10" i="3"/>
  <c r="GQ15" i="3"/>
  <c r="GQ25" i="3"/>
  <c r="GZ33" i="3"/>
  <c r="GR31" i="3"/>
  <c r="GR18" i="3"/>
  <c r="GR12" i="3"/>
  <c r="GR23" i="3"/>
  <c r="GR32" i="3"/>
  <c r="GR22" i="3"/>
  <c r="GR28" i="3"/>
  <c r="GR9" i="3"/>
  <c r="GR17" i="3"/>
  <c r="GR29" i="3"/>
  <c r="GR11" i="3"/>
  <c r="GR24" i="3"/>
  <c r="GR30" i="3"/>
  <c r="GR16" i="3"/>
  <c r="GR10" i="3"/>
  <c r="GR15" i="3"/>
  <c r="GR8" i="3"/>
  <c r="GR25" i="3"/>
  <c r="GR14" i="3"/>
  <c r="GR13" i="3"/>
  <c r="GR20" i="3"/>
  <c r="GR26" i="3"/>
  <c r="GR19" i="3"/>
  <c r="GR21" i="3"/>
  <c r="GR27" i="3"/>
  <c r="GM7" i="3"/>
  <c r="GI35" i="3"/>
  <c r="GJ34" i="3"/>
  <c r="EF34" i="3"/>
  <c r="ED35" i="3"/>
  <c r="BC69" i="3"/>
  <c r="CV76" i="3" s="1"/>
  <c r="DT67" i="3"/>
  <c r="FM19" i="3"/>
  <c r="BX39" i="3"/>
  <c r="DT35" i="3"/>
  <c r="EE35" i="3"/>
  <c r="BX71" i="3"/>
  <c r="BC53" i="3"/>
  <c r="BX55" i="3"/>
  <c r="AX39" i="3"/>
  <c r="BC37" i="3"/>
  <c r="AX55" i="3"/>
  <c r="AX71" i="3"/>
  <c r="P5" i="3"/>
  <c r="P7" i="3"/>
  <c r="P6" i="3"/>
  <c r="F2" i="4" l="1"/>
  <c r="A1" i="7"/>
  <c r="K2" i="7" s="1"/>
  <c r="DC76" i="3"/>
  <c r="DA76" i="3"/>
  <c r="CZ76" i="3"/>
  <c r="CW76" i="3"/>
  <c r="CY76" i="3"/>
  <c r="DD76" i="3"/>
  <c r="F42" i="13"/>
  <c r="I13" i="1"/>
  <c r="E37" i="13"/>
  <c r="E34" i="13"/>
  <c r="E29" i="13"/>
  <c r="E41" i="13"/>
  <c r="F34" i="13"/>
  <c r="F29" i="13"/>
  <c r="F30" i="13"/>
  <c r="F38" i="13"/>
  <c r="F37" i="13"/>
  <c r="F41" i="13"/>
  <c r="F33" i="13"/>
  <c r="F5" i="13"/>
  <c r="F5" i="4"/>
  <c r="GO19" i="3"/>
  <c r="GO13" i="3"/>
  <c r="GO14" i="3"/>
  <c r="GM14" i="3"/>
  <c r="GO12" i="3"/>
  <c r="GO9" i="3"/>
  <c r="GO10" i="3"/>
  <c r="GO11" i="3"/>
  <c r="GM15" i="3"/>
  <c r="CW21" i="3"/>
  <c r="GO18" i="3"/>
  <c r="GM22" i="3"/>
  <c r="GM23" i="3"/>
  <c r="GM29" i="3"/>
  <c r="HQ29" i="3" s="1"/>
  <c r="GM31" i="3"/>
  <c r="HQ31" i="3" s="1"/>
  <c r="GM26" i="3"/>
  <c r="HQ26" i="3" s="1"/>
  <c r="GM24" i="3"/>
  <c r="GM25" i="3"/>
  <c r="HQ25" i="3" s="1"/>
  <c r="GM27" i="3"/>
  <c r="HQ27" i="3" s="1"/>
  <c r="GM34" i="3"/>
  <c r="HQ34" i="3" s="1"/>
  <c r="GM30" i="3"/>
  <c r="HQ30" i="3" s="1"/>
  <c r="HQ33" i="3"/>
  <c r="GO24" i="3"/>
  <c r="GO23" i="3"/>
  <c r="GO21" i="3"/>
  <c r="HQ21" i="3" s="1"/>
  <c r="GO22" i="3"/>
  <c r="GO20" i="3"/>
  <c r="HQ20" i="3" s="1"/>
  <c r="HY23" i="3" s="1"/>
  <c r="GH36" i="3"/>
  <c r="HN35" i="3"/>
  <c r="HO35" i="3"/>
  <c r="HP35" i="3"/>
  <c r="HI35" i="3"/>
  <c r="HJ35" i="3"/>
  <c r="HK35" i="3"/>
  <c r="HL35" i="3"/>
  <c r="HM35" i="3"/>
  <c r="HA35" i="3"/>
  <c r="GS35" i="3"/>
  <c r="HB35" i="3"/>
  <c r="GT35" i="3"/>
  <c r="HC35" i="3"/>
  <c r="GU35" i="3"/>
  <c r="HD35" i="3"/>
  <c r="GV35" i="3"/>
  <c r="HE35" i="3"/>
  <c r="GW35" i="3"/>
  <c r="HF35" i="3"/>
  <c r="GX35" i="3"/>
  <c r="HG35" i="3"/>
  <c r="GY35" i="3"/>
  <c r="HH35" i="3"/>
  <c r="GZ35" i="3"/>
  <c r="GK35" i="3"/>
  <c r="GL35" i="3"/>
  <c r="GM35" i="3"/>
  <c r="GN35" i="3"/>
  <c r="GO35" i="3"/>
  <c r="GP35" i="3"/>
  <c r="GQ35" i="3"/>
  <c r="GR35" i="3"/>
  <c r="GM32" i="3"/>
  <c r="HQ32" i="3" s="1"/>
  <c r="GM28" i="3"/>
  <c r="HQ28" i="3" s="1"/>
  <c r="GJ35" i="3"/>
  <c r="GI36" i="3"/>
  <c r="CV74" i="3"/>
  <c r="CV72" i="3"/>
  <c r="CV78" i="3"/>
  <c r="CV79" i="3"/>
  <c r="BC82" i="3"/>
  <c r="CV82" i="3"/>
  <c r="BC80" i="3"/>
  <c r="CV80" i="3"/>
  <c r="BC83" i="3"/>
  <c r="BC77" i="3"/>
  <c r="CV75" i="3"/>
  <c r="EF35" i="3"/>
  <c r="BC75" i="3"/>
  <c r="ED36" i="3"/>
  <c r="BC79" i="3"/>
  <c r="BC72" i="3"/>
  <c r="BC81" i="3"/>
  <c r="BC73" i="3"/>
  <c r="CV81" i="3"/>
  <c r="CV73" i="3"/>
  <c r="CV77" i="3"/>
  <c r="BC74" i="3"/>
  <c r="CV83" i="3"/>
  <c r="BC76" i="3"/>
  <c r="BC78" i="3"/>
  <c r="EE36" i="3"/>
  <c r="EF36" i="3" s="1"/>
  <c r="CV44" i="3"/>
  <c r="BC44" i="3"/>
  <c r="CV43" i="3"/>
  <c r="BC43" i="3"/>
  <c r="CV42" i="3"/>
  <c r="BC42" i="3"/>
  <c r="CV41" i="3"/>
  <c r="BC41" i="3"/>
  <c r="CV40" i="3"/>
  <c r="BC40" i="3"/>
  <c r="BC46" i="3"/>
  <c r="BC45" i="3"/>
  <c r="CV51" i="3"/>
  <c r="BC51" i="3"/>
  <c r="CV50" i="3"/>
  <c r="BC50" i="3"/>
  <c r="CV46" i="3"/>
  <c r="CV49" i="3"/>
  <c r="BC49" i="3"/>
  <c r="CV48" i="3"/>
  <c r="BC48" i="3"/>
  <c r="CV47" i="3"/>
  <c r="BC47" i="3"/>
  <c r="CV45" i="3"/>
  <c r="CV60" i="3"/>
  <c r="BC60" i="3"/>
  <c r="CV59" i="3"/>
  <c r="BC59" i="3"/>
  <c r="CV58" i="3"/>
  <c r="BC58" i="3"/>
  <c r="CV57" i="3"/>
  <c r="BC57" i="3"/>
  <c r="CV61" i="3"/>
  <c r="CV56" i="3"/>
  <c r="BC56" i="3"/>
  <c r="CV67" i="3"/>
  <c r="BC67" i="3"/>
  <c r="CV66" i="3"/>
  <c r="BC66" i="3"/>
  <c r="BC62" i="3"/>
  <c r="CV65" i="3"/>
  <c r="BC65" i="3"/>
  <c r="CV62" i="3"/>
  <c r="CV64" i="3"/>
  <c r="BC64" i="3"/>
  <c r="CV63" i="3"/>
  <c r="BC63" i="3"/>
  <c r="BC61" i="3"/>
  <c r="E31" i="13" l="1"/>
  <c r="DJ61" i="3"/>
  <c r="DD61" i="3"/>
  <c r="DM61" i="3"/>
  <c r="DL61" i="3"/>
  <c r="DK61" i="3"/>
  <c r="CY61" i="3"/>
  <c r="DA61" i="3"/>
  <c r="DC61" i="3"/>
  <c r="DH61" i="3"/>
  <c r="DG61" i="3"/>
  <c r="CW61" i="3"/>
  <c r="DN61" i="3"/>
  <c r="DI61" i="3"/>
  <c r="CZ61" i="3"/>
  <c r="DD42" i="3"/>
  <c r="DC42" i="3"/>
  <c r="CZ42" i="3"/>
  <c r="CY42" i="3"/>
  <c r="DN42" i="3"/>
  <c r="DI42" i="3"/>
  <c r="DL42" i="3"/>
  <c r="DK42" i="3"/>
  <c r="DH42" i="3"/>
  <c r="DG42" i="3"/>
  <c r="DM42" i="3"/>
  <c r="DJ42" i="3"/>
  <c r="DJ64" i="3"/>
  <c r="DK64" i="3"/>
  <c r="DL64" i="3"/>
  <c r="DM64" i="3"/>
  <c r="DB64" i="3"/>
  <c r="CW64" i="3"/>
  <c r="DA64" i="3"/>
  <c r="CX64" i="3"/>
  <c r="DG64" i="3"/>
  <c r="DN64" i="3"/>
  <c r="DH64" i="3"/>
  <c r="DI64" i="3"/>
  <c r="DB67" i="3"/>
  <c r="CY67" i="3"/>
  <c r="DL67" i="3"/>
  <c r="DM67" i="3"/>
  <c r="DK67" i="3"/>
  <c r="DJ67" i="3"/>
  <c r="DH67" i="3"/>
  <c r="DG67" i="3"/>
  <c r="DN67" i="3"/>
  <c r="DC67" i="3"/>
  <c r="DI67" i="3"/>
  <c r="DA67" i="3"/>
  <c r="CW67" i="3"/>
  <c r="CX67" i="3"/>
  <c r="DK62" i="3"/>
  <c r="DM62" i="3"/>
  <c r="DL62" i="3"/>
  <c r="DJ62" i="3"/>
  <c r="DB62" i="3"/>
  <c r="DI62" i="3"/>
  <c r="CW62" i="3"/>
  <c r="DH62" i="3"/>
  <c r="DG62" i="3"/>
  <c r="DA62" i="3"/>
  <c r="CX62" i="3"/>
  <c r="DN62" i="3"/>
  <c r="DL57" i="3"/>
  <c r="DJ57" i="3"/>
  <c r="DK57" i="3"/>
  <c r="CY57" i="3"/>
  <c r="DM57" i="3"/>
  <c r="DD57" i="3"/>
  <c r="CZ57" i="3"/>
  <c r="DI57" i="3"/>
  <c r="DN57" i="3"/>
  <c r="DH57" i="3"/>
  <c r="DG57" i="3"/>
  <c r="DC57" i="3"/>
  <c r="DL59" i="3"/>
  <c r="DK59" i="3"/>
  <c r="DJ59" i="3"/>
  <c r="DM59" i="3"/>
  <c r="CY59" i="3"/>
  <c r="DD59" i="3"/>
  <c r="DA59" i="3"/>
  <c r="CW59" i="3"/>
  <c r="DI59" i="3"/>
  <c r="DN59" i="3"/>
  <c r="DH59" i="3"/>
  <c r="DG59" i="3"/>
  <c r="DC59" i="3"/>
  <c r="CZ59" i="3"/>
  <c r="DC50" i="3"/>
  <c r="DB50" i="3"/>
  <c r="DA50" i="3"/>
  <c r="CY50" i="3"/>
  <c r="CX50" i="3"/>
  <c r="CW50" i="3"/>
  <c r="DI50" i="3"/>
  <c r="DL50" i="3"/>
  <c r="DN50" i="3"/>
  <c r="DM50" i="3"/>
  <c r="DJ50" i="3"/>
  <c r="DG50" i="3"/>
  <c r="DK50" i="3"/>
  <c r="DH50" i="3"/>
  <c r="DD41" i="3"/>
  <c r="DC41" i="3"/>
  <c r="CZ41" i="3"/>
  <c r="CY41" i="3"/>
  <c r="DL41" i="3"/>
  <c r="DI41" i="3"/>
  <c r="DN41" i="3"/>
  <c r="DK41" i="3"/>
  <c r="DG41" i="3"/>
  <c r="DM41" i="3"/>
  <c r="DJ41" i="3"/>
  <c r="DH41" i="3"/>
  <c r="DD43" i="3"/>
  <c r="DC43" i="3"/>
  <c r="DA43" i="3"/>
  <c r="CZ43" i="3"/>
  <c r="CY43" i="3"/>
  <c r="CW43" i="3"/>
  <c r="DI43" i="3"/>
  <c r="DL43" i="3"/>
  <c r="DN43" i="3"/>
  <c r="DJ43" i="3"/>
  <c r="DG43" i="3"/>
  <c r="DK43" i="3"/>
  <c r="DM43" i="3"/>
  <c r="DH43" i="3"/>
  <c r="DC77" i="3"/>
  <c r="DA77" i="3"/>
  <c r="CZ77" i="3"/>
  <c r="DD77" i="3"/>
  <c r="CW77" i="3"/>
  <c r="CY77" i="3"/>
  <c r="CZ74" i="3"/>
  <c r="DC74" i="3"/>
  <c r="CY74" i="3"/>
  <c r="DD74" i="3"/>
  <c r="DM65" i="3"/>
  <c r="CY65" i="3"/>
  <c r="DB65" i="3"/>
  <c r="DK65" i="3"/>
  <c r="DL65" i="3"/>
  <c r="DJ65" i="3"/>
  <c r="CW65" i="3"/>
  <c r="DH65" i="3"/>
  <c r="DG65" i="3"/>
  <c r="DI65" i="3"/>
  <c r="DN65" i="3"/>
  <c r="CX65" i="3"/>
  <c r="DA65" i="3"/>
  <c r="DC65" i="3"/>
  <c r="DK63" i="3"/>
  <c r="DJ63" i="3"/>
  <c r="DB63" i="3"/>
  <c r="DL63" i="3"/>
  <c r="DM63" i="3"/>
  <c r="CX63" i="3"/>
  <c r="DN63" i="3"/>
  <c r="DG63" i="3"/>
  <c r="DH63" i="3"/>
  <c r="DI63" i="3"/>
  <c r="DA63" i="3"/>
  <c r="CW63" i="3"/>
  <c r="DL66" i="3"/>
  <c r="CY66" i="3"/>
  <c r="DK66" i="3"/>
  <c r="DJ66" i="3"/>
  <c r="DB66" i="3"/>
  <c r="DM66" i="3"/>
  <c r="CW66" i="3"/>
  <c r="DA66" i="3"/>
  <c r="CX66" i="3"/>
  <c r="DI66" i="3"/>
  <c r="DN66" i="3"/>
  <c r="DH66" i="3"/>
  <c r="DG66" i="3"/>
  <c r="DC66" i="3"/>
  <c r="CY56" i="3"/>
  <c r="DD56" i="3"/>
  <c r="DM56" i="3"/>
  <c r="DK56" i="3"/>
  <c r="DJ56" i="3"/>
  <c r="DL56" i="3"/>
  <c r="DH56" i="3"/>
  <c r="DC56" i="3"/>
  <c r="CZ56" i="3"/>
  <c r="DN56" i="3"/>
  <c r="DG56" i="3"/>
  <c r="DI56" i="3"/>
  <c r="DB47" i="3"/>
  <c r="DA47" i="3"/>
  <c r="CX47" i="3"/>
  <c r="CW47" i="3"/>
  <c r="DL47" i="3"/>
  <c r="DN47" i="3"/>
  <c r="DI47" i="3"/>
  <c r="DG47" i="3"/>
  <c r="DK47" i="3"/>
  <c r="DM47" i="3"/>
  <c r="DH47" i="3"/>
  <c r="DJ47" i="3"/>
  <c r="DC49" i="3"/>
  <c r="DB49" i="3"/>
  <c r="DA49" i="3"/>
  <c r="CY49" i="3"/>
  <c r="CX49" i="3"/>
  <c r="CW49" i="3"/>
  <c r="DN49" i="3"/>
  <c r="DI49" i="3"/>
  <c r="DL49" i="3"/>
  <c r="DM49" i="3"/>
  <c r="DG49" i="3"/>
  <c r="DH49" i="3"/>
  <c r="DJ49" i="3"/>
  <c r="DK49" i="3"/>
  <c r="CZ73" i="3"/>
  <c r="DC73" i="3"/>
  <c r="DD73" i="3"/>
  <c r="CY73" i="3"/>
  <c r="DB80" i="3"/>
  <c r="DA80" i="3"/>
  <c r="CX80" i="3"/>
  <c r="CW80" i="3"/>
  <c r="DB79" i="3"/>
  <c r="DA79" i="3"/>
  <c r="CX79" i="3"/>
  <c r="CW79" i="3"/>
  <c r="DJ58" i="3"/>
  <c r="CY58" i="3"/>
  <c r="DD58" i="3"/>
  <c r="DK58" i="3"/>
  <c r="DM58" i="3"/>
  <c r="DL58" i="3"/>
  <c r="DN58" i="3"/>
  <c r="DH58" i="3"/>
  <c r="DG58" i="3"/>
  <c r="DC58" i="3"/>
  <c r="CZ58" i="3"/>
  <c r="DI58" i="3"/>
  <c r="DB46" i="3"/>
  <c r="DA46" i="3"/>
  <c r="CX46" i="3"/>
  <c r="CW46" i="3"/>
  <c r="DL46" i="3"/>
  <c r="DI46" i="3"/>
  <c r="DN46" i="3"/>
  <c r="DH46" i="3"/>
  <c r="DJ46" i="3"/>
  <c r="DM46" i="3"/>
  <c r="DG46" i="3"/>
  <c r="DK46" i="3"/>
  <c r="CY40" i="3"/>
  <c r="DD40" i="3"/>
  <c r="DC40" i="3"/>
  <c r="CZ40" i="3"/>
  <c r="DN40" i="3"/>
  <c r="DI40" i="3"/>
  <c r="DL40" i="3"/>
  <c r="DM40" i="3"/>
  <c r="DH40" i="3"/>
  <c r="DG40" i="3"/>
  <c r="DK40" i="3"/>
  <c r="DJ40" i="3"/>
  <c r="DD44" i="3"/>
  <c r="DC44" i="3"/>
  <c r="DA44" i="3"/>
  <c r="CZ44" i="3"/>
  <c r="CY44" i="3"/>
  <c r="CW44" i="3"/>
  <c r="DN44" i="3"/>
  <c r="DI44" i="3"/>
  <c r="DL44" i="3"/>
  <c r="DK44" i="3"/>
  <c r="DH44" i="3"/>
  <c r="DJ44" i="3"/>
  <c r="DG44" i="3"/>
  <c r="DM44" i="3"/>
  <c r="DB83" i="3"/>
  <c r="DA83" i="3"/>
  <c r="DC83" i="3"/>
  <c r="CY83" i="3"/>
  <c r="CX83" i="3"/>
  <c r="CW83" i="3"/>
  <c r="DA81" i="3"/>
  <c r="DC81" i="3"/>
  <c r="DB81" i="3"/>
  <c r="CY81" i="3"/>
  <c r="CX81" i="3"/>
  <c r="CW81" i="3"/>
  <c r="DA75" i="3"/>
  <c r="DC75" i="3"/>
  <c r="CZ75" i="3"/>
  <c r="DD75" i="3"/>
  <c r="CY75" i="3"/>
  <c r="CW75" i="3"/>
  <c r="DA78" i="3"/>
  <c r="DB78" i="3"/>
  <c r="CX78" i="3"/>
  <c r="CW78" i="3"/>
  <c r="CY60" i="3"/>
  <c r="DD60" i="3"/>
  <c r="DL60" i="3"/>
  <c r="DK60" i="3"/>
  <c r="DJ60" i="3"/>
  <c r="DM60" i="3"/>
  <c r="DC60" i="3"/>
  <c r="CZ60" i="3"/>
  <c r="DN60" i="3"/>
  <c r="DI60" i="3"/>
  <c r="CW60" i="3"/>
  <c r="DA60" i="3"/>
  <c r="DH60" i="3"/>
  <c r="DG60" i="3"/>
  <c r="DC51" i="3"/>
  <c r="DB51" i="3"/>
  <c r="DA51" i="3"/>
  <c r="CY51" i="3"/>
  <c r="CX51" i="3"/>
  <c r="CW51" i="3"/>
  <c r="DN51" i="3"/>
  <c r="DI51" i="3"/>
  <c r="DL51" i="3"/>
  <c r="DK51" i="3"/>
  <c r="DM51" i="3"/>
  <c r="DH51" i="3"/>
  <c r="DJ51" i="3"/>
  <c r="DG51" i="3"/>
  <c r="DD45" i="3"/>
  <c r="DA45" i="3"/>
  <c r="CZ45" i="3"/>
  <c r="CY45" i="3"/>
  <c r="CW45" i="3"/>
  <c r="DC45" i="3"/>
  <c r="DI45" i="3"/>
  <c r="DL45" i="3"/>
  <c r="DN45" i="3"/>
  <c r="DK45" i="3"/>
  <c r="DM45" i="3"/>
  <c r="DH45" i="3"/>
  <c r="DJ45" i="3"/>
  <c r="DG45" i="3"/>
  <c r="DB48" i="3"/>
  <c r="CW48" i="3"/>
  <c r="DA48" i="3"/>
  <c r="CX48" i="3"/>
  <c r="DI48" i="3"/>
  <c r="DL48" i="3"/>
  <c r="DN48" i="3"/>
  <c r="DJ48" i="3"/>
  <c r="DK48" i="3"/>
  <c r="DG48" i="3"/>
  <c r="DM48" i="3"/>
  <c r="DH48" i="3"/>
  <c r="DA82" i="3"/>
  <c r="DB82" i="3"/>
  <c r="DC82" i="3"/>
  <c r="CX82" i="3"/>
  <c r="CW82" i="3"/>
  <c r="CY82" i="3"/>
  <c r="CZ72" i="3"/>
  <c r="DC72" i="3"/>
  <c r="DD72" i="3"/>
  <c r="CY72" i="3"/>
  <c r="E43" i="13"/>
  <c r="E35" i="13"/>
  <c r="E39" i="13"/>
  <c r="HY30" i="3"/>
  <c r="HY34" i="3"/>
  <c r="HY24" i="3"/>
  <c r="HQ22" i="3"/>
  <c r="HY25" i="3" s="1"/>
  <c r="HQ23" i="3"/>
  <c r="HY32" i="3" s="1"/>
  <c r="HY40" i="3"/>
  <c r="HQ24" i="3"/>
  <c r="HY33" i="3" s="1"/>
  <c r="HQ35" i="3"/>
  <c r="GH37" i="3"/>
  <c r="HI36" i="3"/>
  <c r="HJ36" i="3"/>
  <c r="HK36" i="3"/>
  <c r="HL36" i="3"/>
  <c r="HM36" i="3"/>
  <c r="HN36" i="3"/>
  <c r="HP36" i="3"/>
  <c r="HO36" i="3"/>
  <c r="HE36" i="3"/>
  <c r="GW36" i="3"/>
  <c r="HF36" i="3"/>
  <c r="GX36" i="3"/>
  <c r="HG36" i="3"/>
  <c r="GY36" i="3"/>
  <c r="HH36" i="3"/>
  <c r="GZ36" i="3"/>
  <c r="HA36" i="3"/>
  <c r="GS36" i="3"/>
  <c r="HB36" i="3"/>
  <c r="GT36" i="3"/>
  <c r="HC36" i="3"/>
  <c r="GU36" i="3"/>
  <c r="GM36" i="3"/>
  <c r="HD36" i="3"/>
  <c r="GV36" i="3"/>
  <c r="GN36" i="3"/>
  <c r="GO36" i="3"/>
  <c r="GP36" i="3"/>
  <c r="GQ36" i="3"/>
  <c r="GR36" i="3"/>
  <c r="GL36" i="3"/>
  <c r="GK36" i="3"/>
  <c r="GJ36" i="3"/>
  <c r="GI37" i="3"/>
  <c r="ED37" i="3"/>
  <c r="EE37" i="3"/>
  <c r="JG11" i="3"/>
  <c r="JG16" i="3" s="1"/>
  <c r="JG21" i="3" s="1"/>
  <c r="JG26" i="3" s="1"/>
  <c r="JG31" i="3" s="1"/>
  <c r="JG36" i="3" s="1"/>
  <c r="JG41" i="3" s="1"/>
  <c r="JG46" i="3" s="1"/>
  <c r="JG51" i="3" s="1"/>
  <c r="JG56" i="3" s="1"/>
  <c r="JG61" i="3" s="1"/>
  <c r="JG66" i="3" s="1"/>
  <c r="JG71" i="3" s="1"/>
  <c r="JG76" i="3" s="1"/>
  <c r="JG81" i="3" s="1"/>
  <c r="JG86" i="3" s="1"/>
  <c r="JG91" i="3" s="1"/>
  <c r="JG96" i="3" s="1"/>
  <c r="JG101" i="3" s="1"/>
  <c r="JG12" i="3"/>
  <c r="JG17" i="3" s="1"/>
  <c r="JG22" i="3" s="1"/>
  <c r="JG27" i="3" s="1"/>
  <c r="JG32" i="3" s="1"/>
  <c r="JG37" i="3" s="1"/>
  <c r="JG42" i="3" s="1"/>
  <c r="JG47" i="3" s="1"/>
  <c r="JG52" i="3" s="1"/>
  <c r="JG57" i="3" s="1"/>
  <c r="JG62" i="3" s="1"/>
  <c r="JG67" i="3" s="1"/>
  <c r="JG72" i="3" s="1"/>
  <c r="JG77" i="3" s="1"/>
  <c r="JG82" i="3" s="1"/>
  <c r="JG87" i="3" s="1"/>
  <c r="JG92" i="3" s="1"/>
  <c r="JG97" i="3" s="1"/>
  <c r="JG102" i="3" s="1"/>
  <c r="JG13" i="3"/>
  <c r="JG18" i="3" s="1"/>
  <c r="JG23" i="3" s="1"/>
  <c r="JG28" i="3" s="1"/>
  <c r="JG33" i="3" s="1"/>
  <c r="JG38" i="3" s="1"/>
  <c r="JG43" i="3" s="1"/>
  <c r="JG48" i="3" s="1"/>
  <c r="JG53" i="3" s="1"/>
  <c r="JG58" i="3" s="1"/>
  <c r="JG63" i="3" s="1"/>
  <c r="JG68" i="3" s="1"/>
  <c r="JG73" i="3" s="1"/>
  <c r="JG78" i="3" s="1"/>
  <c r="JG83" i="3" s="1"/>
  <c r="JG88" i="3" s="1"/>
  <c r="JG93" i="3" s="1"/>
  <c r="JG98" i="3" s="1"/>
  <c r="JG103" i="3" s="1"/>
  <c r="JG14" i="3"/>
  <c r="JG19" i="3" s="1"/>
  <c r="JG24" i="3" s="1"/>
  <c r="JG29" i="3" s="1"/>
  <c r="JG34" i="3" s="1"/>
  <c r="JG39" i="3" s="1"/>
  <c r="JG44" i="3" s="1"/>
  <c r="JG49" i="3" s="1"/>
  <c r="JG54" i="3" s="1"/>
  <c r="JG59" i="3" s="1"/>
  <c r="JG64" i="3" s="1"/>
  <c r="JG69" i="3" s="1"/>
  <c r="JG74" i="3" s="1"/>
  <c r="JG79" i="3" s="1"/>
  <c r="JG84" i="3" s="1"/>
  <c r="JG89" i="3" s="1"/>
  <c r="JG94" i="3" s="1"/>
  <c r="JG99" i="3" s="1"/>
  <c r="JG104" i="3" s="1"/>
  <c r="JG10" i="3"/>
  <c r="JG15" i="3" s="1"/>
  <c r="JG20" i="3" s="1"/>
  <c r="JG25" i="3" s="1"/>
  <c r="JG30" i="3" s="1"/>
  <c r="JG35" i="3" s="1"/>
  <c r="JG40" i="3" s="1"/>
  <c r="JG45" i="3" s="1"/>
  <c r="JG50" i="3" s="1"/>
  <c r="JG55" i="3" s="1"/>
  <c r="JG60" i="3" s="1"/>
  <c r="JG65" i="3" s="1"/>
  <c r="JG70" i="3" s="1"/>
  <c r="JG75" i="3" s="1"/>
  <c r="JG80" i="3" s="1"/>
  <c r="JG85" i="3" s="1"/>
  <c r="JG90" i="3" s="1"/>
  <c r="JG95" i="3" s="1"/>
  <c r="JG100" i="3" s="1"/>
  <c r="HY39" i="3" l="1"/>
  <c r="DO60" i="3"/>
  <c r="DO67" i="3"/>
  <c r="DO62" i="3"/>
  <c r="DO51" i="3"/>
  <c r="DO45" i="3"/>
  <c r="DO61" i="3"/>
  <c r="DO44" i="3"/>
  <c r="DO46" i="3"/>
  <c r="DO50" i="3"/>
  <c r="DO64" i="3"/>
  <c r="DO47" i="3"/>
  <c r="DO48" i="3"/>
  <c r="DO40" i="3"/>
  <c r="DO58" i="3"/>
  <c r="DO66" i="3"/>
  <c r="DO63" i="3"/>
  <c r="DO65" i="3"/>
  <c r="DO49" i="3"/>
  <c r="DO56" i="3"/>
  <c r="DO43" i="3"/>
  <c r="DO41" i="3"/>
  <c r="DO42" i="3"/>
  <c r="DO57" i="3"/>
  <c r="DO59" i="3"/>
  <c r="HY31" i="3"/>
  <c r="HY26" i="3"/>
  <c r="HY41" i="3"/>
  <c r="HY27" i="3"/>
  <c r="HY29" i="3"/>
  <c r="HY28" i="3"/>
  <c r="HQ36" i="3"/>
  <c r="GH38" i="3"/>
  <c r="HI37" i="3"/>
  <c r="HJ37" i="3"/>
  <c r="HK37" i="3"/>
  <c r="HL37" i="3"/>
  <c r="HM37" i="3"/>
  <c r="HN37" i="3"/>
  <c r="HO37" i="3"/>
  <c r="HP37" i="3"/>
  <c r="HA37" i="3"/>
  <c r="GS37" i="3"/>
  <c r="HB37" i="3"/>
  <c r="GT37" i="3"/>
  <c r="HC37" i="3"/>
  <c r="GU37" i="3"/>
  <c r="HD37" i="3"/>
  <c r="GV37" i="3"/>
  <c r="HE37" i="3"/>
  <c r="GW37" i="3"/>
  <c r="HF37" i="3"/>
  <c r="GX37" i="3"/>
  <c r="GQ37" i="3"/>
  <c r="GR37" i="3"/>
  <c r="HG37" i="3"/>
  <c r="GY37" i="3"/>
  <c r="HH37" i="3"/>
  <c r="GZ37" i="3"/>
  <c r="GO37" i="3"/>
  <c r="GK37" i="3"/>
  <c r="GL37" i="3"/>
  <c r="GM37" i="3"/>
  <c r="GN37" i="3"/>
  <c r="GP37" i="3"/>
  <c r="GJ37" i="3"/>
  <c r="GI38" i="3"/>
  <c r="EF37" i="3"/>
  <c r="ED38" i="3"/>
  <c r="EE38" i="3"/>
  <c r="V46" i="13"/>
  <c r="U46" i="13"/>
  <c r="P46" i="13"/>
  <c r="O46" i="13"/>
  <c r="J46" i="13"/>
  <c r="I46" i="13"/>
  <c r="C46" i="13"/>
  <c r="D46" i="13"/>
  <c r="B46" i="13" l="1"/>
  <c r="T46" i="13"/>
  <c r="N46" i="13"/>
  <c r="H46" i="13"/>
  <c r="HQ37" i="3"/>
  <c r="GH39" i="3"/>
  <c r="HL38" i="3"/>
  <c r="HM38" i="3"/>
  <c r="HN38" i="3"/>
  <c r="HO38" i="3"/>
  <c r="HP38" i="3"/>
  <c r="HK38" i="3"/>
  <c r="HI38" i="3"/>
  <c r="HJ38" i="3"/>
  <c r="HA38" i="3"/>
  <c r="GS38" i="3"/>
  <c r="HB38" i="3"/>
  <c r="GT38" i="3"/>
  <c r="HC38" i="3"/>
  <c r="GU38" i="3"/>
  <c r="HD38" i="3"/>
  <c r="GV38" i="3"/>
  <c r="HE38" i="3"/>
  <c r="GW38" i="3"/>
  <c r="HF38" i="3"/>
  <c r="GX38" i="3"/>
  <c r="HG38" i="3"/>
  <c r="GY38" i="3"/>
  <c r="HH38" i="3"/>
  <c r="GZ38" i="3"/>
  <c r="GK38" i="3"/>
  <c r="GL38" i="3"/>
  <c r="GM38" i="3"/>
  <c r="GN38" i="3"/>
  <c r="GO38" i="3"/>
  <c r="GP38" i="3"/>
  <c r="GQ38" i="3"/>
  <c r="GR38" i="3"/>
  <c r="GJ38" i="3"/>
  <c r="GI39" i="3"/>
  <c r="EF38" i="3"/>
  <c r="ED39" i="3"/>
  <c r="EE39" i="3"/>
  <c r="C8" i="16"/>
  <c r="R46" i="13" l="1"/>
  <c r="AQ58" i="7" s="1"/>
  <c r="X46" i="13"/>
  <c r="AQ82" i="7" s="1"/>
  <c r="L46" i="13"/>
  <c r="F46" i="13"/>
  <c r="T10" i="7" s="1"/>
  <c r="HQ38" i="3"/>
  <c r="GH40" i="3"/>
  <c r="HP39" i="3"/>
  <c r="HO39" i="3"/>
  <c r="HI39" i="3"/>
  <c r="HJ39" i="3"/>
  <c r="HK39" i="3"/>
  <c r="HL39" i="3"/>
  <c r="HM39" i="3"/>
  <c r="HN39" i="3"/>
  <c r="HE39" i="3"/>
  <c r="GW39" i="3"/>
  <c r="HF39" i="3"/>
  <c r="GX39" i="3"/>
  <c r="HG39" i="3"/>
  <c r="GY39" i="3"/>
  <c r="HH39" i="3"/>
  <c r="GZ39" i="3"/>
  <c r="HA39" i="3"/>
  <c r="GS39" i="3"/>
  <c r="HB39" i="3"/>
  <c r="GT39" i="3"/>
  <c r="GM39" i="3"/>
  <c r="GN39" i="3"/>
  <c r="GO39" i="3"/>
  <c r="GP39" i="3"/>
  <c r="HC39" i="3"/>
  <c r="GU39" i="3"/>
  <c r="GQ39" i="3"/>
  <c r="HD39" i="3"/>
  <c r="GV39" i="3"/>
  <c r="GR39" i="3"/>
  <c r="GL39" i="3"/>
  <c r="GK39" i="3"/>
  <c r="GI40" i="3"/>
  <c r="GJ39" i="3"/>
  <c r="EF39" i="3"/>
  <c r="ED40" i="3"/>
  <c r="EE40" i="3"/>
  <c r="L94" i="7"/>
  <c r="L93" i="7"/>
  <c r="L92" i="7"/>
  <c r="L91" i="7"/>
  <c r="L90" i="7"/>
  <c r="L89" i="7"/>
  <c r="L88" i="7"/>
  <c r="L87" i="7"/>
  <c r="L86" i="7"/>
  <c r="L85" i="7"/>
  <c r="L84" i="7"/>
  <c r="L83" i="7"/>
  <c r="L70" i="7"/>
  <c r="L69" i="7"/>
  <c r="L68" i="7"/>
  <c r="L67" i="7"/>
  <c r="L66" i="7"/>
  <c r="L65" i="7"/>
  <c r="L64" i="7"/>
  <c r="L63" i="7"/>
  <c r="L62" i="7"/>
  <c r="L61" i="7"/>
  <c r="L60" i="7"/>
  <c r="L59" i="7"/>
  <c r="L46" i="7"/>
  <c r="L45" i="7"/>
  <c r="L44" i="7"/>
  <c r="L43" i="7"/>
  <c r="L42" i="7"/>
  <c r="L41" i="7"/>
  <c r="L40" i="7"/>
  <c r="L39" i="7"/>
  <c r="L38" i="7"/>
  <c r="L37" i="7"/>
  <c r="L36" i="7"/>
  <c r="L35" i="7"/>
  <c r="T82" i="7" l="1"/>
  <c r="T34" i="7"/>
  <c r="AQ34" i="7"/>
  <c r="AQ10" i="7"/>
  <c r="T58" i="7"/>
  <c r="HQ39" i="3"/>
  <c r="GH41" i="3"/>
  <c r="HI40" i="3"/>
  <c r="HJ40" i="3"/>
  <c r="HK40" i="3"/>
  <c r="HL40" i="3"/>
  <c r="HM40" i="3"/>
  <c r="HN40" i="3"/>
  <c r="HO40" i="3"/>
  <c r="HP40" i="3"/>
  <c r="HA40" i="3"/>
  <c r="GS40" i="3"/>
  <c r="HB40" i="3"/>
  <c r="GT40" i="3"/>
  <c r="HC40" i="3"/>
  <c r="GU40" i="3"/>
  <c r="HD40" i="3"/>
  <c r="GV40" i="3"/>
  <c r="HE40" i="3"/>
  <c r="GW40" i="3"/>
  <c r="HF40" i="3"/>
  <c r="GX40" i="3"/>
  <c r="GQ40" i="3"/>
  <c r="GR40" i="3"/>
  <c r="GP40" i="3"/>
  <c r="GO40" i="3"/>
  <c r="HG40" i="3"/>
  <c r="GY40" i="3"/>
  <c r="GK40" i="3"/>
  <c r="HH40" i="3"/>
  <c r="GZ40" i="3"/>
  <c r="GL40" i="3"/>
  <c r="GM40" i="3"/>
  <c r="GN40" i="3"/>
  <c r="GI41" i="3"/>
  <c r="GJ40" i="3"/>
  <c r="EF40" i="3"/>
  <c r="ED41" i="3"/>
  <c r="EE41" i="3"/>
  <c r="IE8" i="3"/>
  <c r="IC6" i="3"/>
  <c r="FR72" i="3"/>
  <c r="FR73" i="3"/>
  <c r="FR74" i="3"/>
  <c r="FR75" i="3"/>
  <c r="FR76" i="3"/>
  <c r="FR77" i="3"/>
  <c r="FR78" i="3"/>
  <c r="FR79" i="3"/>
  <c r="FR80" i="3"/>
  <c r="FR81" i="3"/>
  <c r="FR82" i="3"/>
  <c r="FR71" i="3"/>
  <c r="FR56" i="3"/>
  <c r="FR57" i="3"/>
  <c r="FR58" i="3"/>
  <c r="FR59" i="3"/>
  <c r="FR60" i="3"/>
  <c r="FR61" i="3"/>
  <c r="FR62" i="3"/>
  <c r="FR63" i="3"/>
  <c r="FR64" i="3"/>
  <c r="FR65" i="3"/>
  <c r="FR66" i="3"/>
  <c r="FR55" i="3"/>
  <c r="FR40" i="3"/>
  <c r="FR41" i="3"/>
  <c r="FR42" i="3"/>
  <c r="FR43" i="3"/>
  <c r="FR44" i="3"/>
  <c r="FR45" i="3"/>
  <c r="FR46" i="3"/>
  <c r="FR47" i="3"/>
  <c r="FR48" i="3"/>
  <c r="FR49" i="3"/>
  <c r="FR50" i="3"/>
  <c r="FR39" i="3"/>
  <c r="FR24" i="3"/>
  <c r="FR25" i="3"/>
  <c r="FR26" i="3"/>
  <c r="FR27" i="3"/>
  <c r="FR28" i="3"/>
  <c r="FR29" i="3"/>
  <c r="FR30" i="3"/>
  <c r="FR31" i="3"/>
  <c r="FR32" i="3"/>
  <c r="FR33" i="3"/>
  <c r="FR34" i="3"/>
  <c r="FR23" i="3"/>
  <c r="DX72" i="3"/>
  <c r="DY72" i="3" s="1"/>
  <c r="DX73" i="3"/>
  <c r="DX74" i="3"/>
  <c r="DX75" i="3"/>
  <c r="DX76" i="3"/>
  <c r="DY76" i="3" s="1"/>
  <c r="DX77" i="3"/>
  <c r="DX78" i="3"/>
  <c r="DX71" i="3"/>
  <c r="DX56" i="3"/>
  <c r="DX57" i="3"/>
  <c r="DX58" i="3"/>
  <c r="DX59" i="3"/>
  <c r="DX60" i="3"/>
  <c r="DX61" i="3"/>
  <c r="DX62" i="3"/>
  <c r="DX55" i="3"/>
  <c r="HQ40" i="3" l="1"/>
  <c r="GH42" i="3"/>
  <c r="HJ41" i="3"/>
  <c r="HI41" i="3"/>
  <c r="HK41" i="3"/>
  <c r="HL41" i="3"/>
  <c r="HM41" i="3"/>
  <c r="HN41" i="3"/>
  <c r="HO41" i="3"/>
  <c r="HP41" i="3"/>
  <c r="HA41" i="3"/>
  <c r="GS41" i="3"/>
  <c r="HB41" i="3"/>
  <c r="GT41" i="3"/>
  <c r="HC41" i="3"/>
  <c r="GU41" i="3"/>
  <c r="HD41" i="3"/>
  <c r="GV41" i="3"/>
  <c r="HE41" i="3"/>
  <c r="GW41" i="3"/>
  <c r="HF41" i="3"/>
  <c r="GX41" i="3"/>
  <c r="HG41" i="3"/>
  <c r="GY41" i="3"/>
  <c r="HH41" i="3"/>
  <c r="GZ41" i="3"/>
  <c r="GK41" i="3"/>
  <c r="GL41" i="3"/>
  <c r="GM41" i="3"/>
  <c r="GN41" i="3"/>
  <c r="GO41" i="3"/>
  <c r="GP41" i="3"/>
  <c r="GQ41" i="3"/>
  <c r="GR41" i="3"/>
  <c r="GI42" i="3"/>
  <c r="GJ41" i="3"/>
  <c r="EF41" i="3"/>
  <c r="DY71" i="3"/>
  <c r="DY78" i="3"/>
  <c r="ED42" i="3"/>
  <c r="EE42" i="3"/>
  <c r="DY74" i="3"/>
  <c r="DY73" i="3"/>
  <c r="IE9" i="3"/>
  <c r="IE6" i="3"/>
  <c r="DY77" i="3"/>
  <c r="DY75" i="3"/>
  <c r="IE7" i="3"/>
  <c r="HQ41" i="3" l="1"/>
  <c r="GH43" i="3"/>
  <c r="HN42" i="3"/>
  <c r="HO42" i="3"/>
  <c r="HP42" i="3"/>
  <c r="HM42" i="3"/>
  <c r="HI42" i="3"/>
  <c r="HJ42" i="3"/>
  <c r="HK42" i="3"/>
  <c r="HL42" i="3"/>
  <c r="HE42" i="3"/>
  <c r="GW42" i="3"/>
  <c r="HF42" i="3"/>
  <c r="GX42" i="3"/>
  <c r="HG42" i="3"/>
  <c r="GY42" i="3"/>
  <c r="HH42" i="3"/>
  <c r="GZ42" i="3"/>
  <c r="HA42" i="3"/>
  <c r="GS42" i="3"/>
  <c r="HB42" i="3"/>
  <c r="GT42" i="3"/>
  <c r="GM42" i="3"/>
  <c r="GN42" i="3"/>
  <c r="GL42" i="3"/>
  <c r="GO42" i="3"/>
  <c r="GP42" i="3"/>
  <c r="GQ42" i="3"/>
  <c r="GR42" i="3"/>
  <c r="GK42" i="3"/>
  <c r="HC42" i="3"/>
  <c r="GU42" i="3"/>
  <c r="HD42" i="3"/>
  <c r="GV42" i="3"/>
  <c r="GJ42" i="3"/>
  <c r="GI43" i="3"/>
  <c r="EF42" i="3"/>
  <c r="ED43" i="3"/>
  <c r="EE43" i="3"/>
  <c r="DX23" i="3"/>
  <c r="AU47" i="3"/>
  <c r="DV46" i="3" s="1"/>
  <c r="AT47" i="3"/>
  <c r="AO47" i="3"/>
  <c r="AU46" i="3"/>
  <c r="DV45" i="3" s="1"/>
  <c r="AT46" i="3"/>
  <c r="AO46" i="3"/>
  <c r="AU45" i="3"/>
  <c r="DV44" i="3" s="1"/>
  <c r="AT45" i="3"/>
  <c r="AO45" i="3"/>
  <c r="AU44" i="3"/>
  <c r="DV43" i="3" s="1"/>
  <c r="AT44" i="3"/>
  <c r="AO44" i="3"/>
  <c r="AU43" i="3"/>
  <c r="DV42" i="3" s="1"/>
  <c r="AT43" i="3"/>
  <c r="AO43" i="3"/>
  <c r="AU42" i="3"/>
  <c r="DV41" i="3" s="1"/>
  <c r="AT42" i="3"/>
  <c r="AO42" i="3"/>
  <c r="AU41" i="3"/>
  <c r="DV40" i="3" s="1"/>
  <c r="AT41" i="3"/>
  <c r="AO41" i="3"/>
  <c r="AU40" i="3"/>
  <c r="DV39" i="3" s="1"/>
  <c r="AT40" i="3"/>
  <c r="AO40" i="3"/>
  <c r="AU63" i="3"/>
  <c r="DV62" i="3" s="1"/>
  <c r="AT63" i="3"/>
  <c r="AO63" i="3"/>
  <c r="AU62" i="3"/>
  <c r="DV61" i="3" s="1"/>
  <c r="AT62" i="3"/>
  <c r="AO62" i="3"/>
  <c r="AU61" i="3"/>
  <c r="DV60" i="3" s="1"/>
  <c r="AT61" i="3"/>
  <c r="AO61" i="3"/>
  <c r="AU60" i="3"/>
  <c r="DV59" i="3" s="1"/>
  <c r="AT60" i="3"/>
  <c r="AO60" i="3"/>
  <c r="AU59" i="3"/>
  <c r="DV58" i="3" s="1"/>
  <c r="AT59" i="3"/>
  <c r="AO59" i="3"/>
  <c r="AU58" i="3"/>
  <c r="DV57" i="3" s="1"/>
  <c r="AT58" i="3"/>
  <c r="AO58" i="3"/>
  <c r="AU57" i="3"/>
  <c r="DV56" i="3" s="1"/>
  <c r="AT57" i="3"/>
  <c r="AO57" i="3"/>
  <c r="AU56" i="3"/>
  <c r="DV55" i="3" s="1"/>
  <c r="AT56" i="3"/>
  <c r="AO56" i="3"/>
  <c r="BC7" i="3"/>
  <c r="AO73" i="3"/>
  <c r="AT73" i="3"/>
  <c r="AU73" i="3"/>
  <c r="DV72" i="3" s="1"/>
  <c r="AO74" i="3"/>
  <c r="AT74" i="3"/>
  <c r="AU74" i="3"/>
  <c r="DV73" i="3" s="1"/>
  <c r="AO75" i="3"/>
  <c r="AT75" i="3"/>
  <c r="AU75" i="3"/>
  <c r="DV74" i="3" s="1"/>
  <c r="AO76" i="3"/>
  <c r="AT76" i="3"/>
  <c r="AU76" i="3"/>
  <c r="DV75" i="3" s="1"/>
  <c r="AO77" i="3"/>
  <c r="AT77" i="3"/>
  <c r="AU77" i="3"/>
  <c r="DV76" i="3" s="1"/>
  <c r="AO78" i="3"/>
  <c r="AT78" i="3"/>
  <c r="AU78" i="3"/>
  <c r="DV77" i="3" s="1"/>
  <c r="AO79" i="3"/>
  <c r="AT79" i="3"/>
  <c r="AU79" i="3"/>
  <c r="DV78" i="3" s="1"/>
  <c r="AO25" i="3"/>
  <c r="AT25" i="3"/>
  <c r="AU25" i="3"/>
  <c r="DV24" i="3" s="1"/>
  <c r="AO26" i="3"/>
  <c r="AT26" i="3"/>
  <c r="AU26" i="3"/>
  <c r="DV25" i="3" s="1"/>
  <c r="AO27" i="3"/>
  <c r="AT27" i="3"/>
  <c r="AU27" i="3"/>
  <c r="DV26" i="3" s="1"/>
  <c r="AO28" i="3"/>
  <c r="AT28" i="3"/>
  <c r="AU28" i="3"/>
  <c r="DV27" i="3" s="1"/>
  <c r="AO29" i="3"/>
  <c r="AT29" i="3"/>
  <c r="AU29" i="3"/>
  <c r="DV28" i="3" s="1"/>
  <c r="AO30" i="3"/>
  <c r="AT30" i="3"/>
  <c r="AU30" i="3"/>
  <c r="DV29" i="3" s="1"/>
  <c r="AO31" i="3"/>
  <c r="AT31" i="3"/>
  <c r="AU31" i="3"/>
  <c r="DV30" i="3" s="1"/>
  <c r="AU72" i="3"/>
  <c r="DV71" i="3" s="1"/>
  <c r="AT72" i="3"/>
  <c r="AO72" i="3"/>
  <c r="AU24" i="3"/>
  <c r="AO24" i="3"/>
  <c r="T41" i="14"/>
  <c r="T42" i="14"/>
  <c r="T43" i="14"/>
  <c r="L41" i="14"/>
  <c r="M41" i="14" s="1"/>
  <c r="L42" i="14"/>
  <c r="M42" i="14" s="1"/>
  <c r="L43" i="14"/>
  <c r="M43" i="14" s="1"/>
  <c r="T41" i="15"/>
  <c r="T42" i="15"/>
  <c r="T43" i="15"/>
  <c r="L41" i="15"/>
  <c r="M41" i="15" s="1"/>
  <c r="L42" i="15"/>
  <c r="M42" i="15" s="1"/>
  <c r="L43" i="15"/>
  <c r="AM61" i="3" s="1"/>
  <c r="T41" i="16"/>
  <c r="T42" i="16"/>
  <c r="T43" i="16"/>
  <c r="L41" i="16"/>
  <c r="M41" i="16" s="1"/>
  <c r="L42" i="16"/>
  <c r="M42" i="16" s="1"/>
  <c r="L43" i="16"/>
  <c r="M43" i="16" s="1"/>
  <c r="AV29" i="3" l="1"/>
  <c r="AV25" i="3"/>
  <c r="AV28" i="3"/>
  <c r="AV24" i="3"/>
  <c r="AW24" i="3"/>
  <c r="AX24" i="3" s="1"/>
  <c r="AV30" i="3"/>
  <c r="AV31" i="3"/>
  <c r="AV27" i="3"/>
  <c r="AV26" i="3"/>
  <c r="DU62" i="3"/>
  <c r="FD20" i="3" s="1"/>
  <c r="AV63" i="3"/>
  <c r="DU61" i="3"/>
  <c r="FC16" i="3" s="1"/>
  <c r="AV62" i="3"/>
  <c r="DU56" i="3"/>
  <c r="AV57" i="3"/>
  <c r="DU60" i="3"/>
  <c r="FB42" i="3" s="1"/>
  <c r="AV61" i="3"/>
  <c r="DU55" i="3"/>
  <c r="EW13" i="3" s="1"/>
  <c r="AV56" i="3"/>
  <c r="DU59" i="3"/>
  <c r="FA42" i="3" s="1"/>
  <c r="AV60" i="3"/>
  <c r="DU58" i="3"/>
  <c r="EZ20" i="3" s="1"/>
  <c r="AV59" i="3"/>
  <c r="DU57" i="3"/>
  <c r="EY42" i="3" s="1"/>
  <c r="AV58" i="3"/>
  <c r="DU71" i="3"/>
  <c r="FE42" i="3" s="1"/>
  <c r="AV72" i="3"/>
  <c r="DU76" i="3"/>
  <c r="FJ20" i="3" s="1"/>
  <c r="AV77" i="3"/>
  <c r="DU72" i="3"/>
  <c r="FF19" i="3" s="1"/>
  <c r="AV73" i="3"/>
  <c r="DU78" i="3"/>
  <c r="FL17" i="3" s="1"/>
  <c r="AV79" i="3"/>
  <c r="DU75" i="3"/>
  <c r="FI23" i="3" s="1"/>
  <c r="AV76" i="3"/>
  <c r="DU77" i="3"/>
  <c r="FK42" i="3" s="1"/>
  <c r="AV78" i="3"/>
  <c r="DU73" i="3"/>
  <c r="FG21" i="3" s="1"/>
  <c r="AV74" i="3"/>
  <c r="DU74" i="3"/>
  <c r="FH14" i="3" s="1"/>
  <c r="AV75" i="3"/>
  <c r="DU44" i="3"/>
  <c r="ET42" i="3" s="1"/>
  <c r="AV45" i="3"/>
  <c r="DU39" i="3"/>
  <c r="EO11" i="3" s="1"/>
  <c r="AV40" i="3"/>
  <c r="DU43" i="3"/>
  <c r="ES42" i="3" s="1"/>
  <c r="AV44" i="3"/>
  <c r="DU42" i="3"/>
  <c r="ER23" i="3" s="1"/>
  <c r="AV43" i="3"/>
  <c r="DU46" i="3"/>
  <c r="EV7" i="3" s="1"/>
  <c r="AV47" i="3"/>
  <c r="DU40" i="3"/>
  <c r="EP17" i="3" s="1"/>
  <c r="AV41" i="3"/>
  <c r="DU41" i="3"/>
  <c r="EQ20" i="3" s="1"/>
  <c r="AV42" i="3"/>
  <c r="DU45" i="3"/>
  <c r="EU19" i="3" s="1"/>
  <c r="AV46" i="3"/>
  <c r="DU25" i="3"/>
  <c r="EI9" i="3" s="1"/>
  <c r="DU29" i="3"/>
  <c r="EM42" i="3" s="1"/>
  <c r="DU30" i="3"/>
  <c r="EN40" i="3" s="1"/>
  <c r="DU28" i="3"/>
  <c r="DU26" i="3"/>
  <c r="EJ42" i="3" s="1"/>
  <c r="DU27" i="3"/>
  <c r="EK15" i="3" s="1"/>
  <c r="DU24" i="3"/>
  <c r="DV23" i="3"/>
  <c r="DU23" i="3"/>
  <c r="EG7" i="3" s="1"/>
  <c r="Z42" i="16"/>
  <c r="Z43" i="15"/>
  <c r="HQ42" i="3"/>
  <c r="GH44" i="3"/>
  <c r="HI43" i="3"/>
  <c r="HJ43" i="3"/>
  <c r="HK43" i="3"/>
  <c r="HL43" i="3"/>
  <c r="HM43" i="3"/>
  <c r="HN43" i="3"/>
  <c r="HO43" i="3"/>
  <c r="HP43" i="3"/>
  <c r="HA43" i="3"/>
  <c r="GS43" i="3"/>
  <c r="HB43" i="3"/>
  <c r="GT43" i="3"/>
  <c r="HC43" i="3"/>
  <c r="GU43" i="3"/>
  <c r="HD43" i="3"/>
  <c r="GV43" i="3"/>
  <c r="HE43" i="3"/>
  <c r="GW43" i="3"/>
  <c r="HF43" i="3"/>
  <c r="GX43" i="3"/>
  <c r="GQ43" i="3"/>
  <c r="HG43" i="3"/>
  <c r="GR43" i="3"/>
  <c r="GO43" i="3"/>
  <c r="GY43" i="3"/>
  <c r="GZ43" i="3"/>
  <c r="GP43" i="3"/>
  <c r="HH43" i="3"/>
  <c r="GK43" i="3"/>
  <c r="GL43" i="3"/>
  <c r="GM43" i="3"/>
  <c r="GN43" i="3"/>
  <c r="GJ43" i="3"/>
  <c r="GI44" i="3"/>
  <c r="EF43" i="3"/>
  <c r="EX42" i="3"/>
  <c r="FJ18" i="3"/>
  <c r="FJ14" i="3"/>
  <c r="FJ12" i="3"/>
  <c r="FJ29" i="3"/>
  <c r="FJ34" i="3"/>
  <c r="EQ7" i="3"/>
  <c r="EQ34" i="3"/>
  <c r="EQ28" i="3"/>
  <c r="EQ26" i="3"/>
  <c r="EQ37" i="3"/>
  <c r="EW16" i="3"/>
  <c r="EW15" i="3"/>
  <c r="EW14" i="3"/>
  <c r="EW11" i="3"/>
  <c r="EW10" i="3"/>
  <c r="EW29" i="3"/>
  <c r="EW9" i="3"/>
  <c r="EW30" i="3"/>
  <c r="EW31" i="3"/>
  <c r="EW8" i="3"/>
  <c r="EW7" i="3"/>
  <c r="EW32" i="3"/>
  <c r="EW41" i="3"/>
  <c r="EO14" i="3"/>
  <c r="EO9" i="3"/>
  <c r="EO39" i="3"/>
  <c r="FE14" i="3"/>
  <c r="FE29" i="3"/>
  <c r="FE41" i="3"/>
  <c r="EK16" i="3"/>
  <c r="EK28" i="3"/>
  <c r="EK34" i="3"/>
  <c r="EK38" i="3"/>
  <c r="FL19" i="3"/>
  <c r="FL21" i="3"/>
  <c r="FH24" i="3"/>
  <c r="FH11" i="3"/>
  <c r="FH35" i="3"/>
  <c r="EX20" i="3"/>
  <c r="EX21" i="3"/>
  <c r="EX19" i="3"/>
  <c r="EX22" i="3"/>
  <c r="EX17" i="3"/>
  <c r="EX18" i="3"/>
  <c r="EX23" i="3"/>
  <c r="EX16" i="3"/>
  <c r="EX24" i="3"/>
  <c r="EX15" i="3"/>
  <c r="EX14" i="3"/>
  <c r="EX25" i="3"/>
  <c r="EX13" i="3"/>
  <c r="EX26" i="3"/>
  <c r="EX12" i="3"/>
  <c r="EX27" i="3"/>
  <c r="EX11" i="3"/>
  <c r="EX28" i="3"/>
  <c r="EX10" i="3"/>
  <c r="EX29" i="3"/>
  <c r="EX9" i="3"/>
  <c r="EX30" i="3"/>
  <c r="EX31" i="3"/>
  <c r="EX8" i="3"/>
  <c r="EX7" i="3"/>
  <c r="EX32" i="3"/>
  <c r="EX33" i="3"/>
  <c r="EX34" i="3"/>
  <c r="EX35" i="3"/>
  <c r="EX36" i="3"/>
  <c r="EX37" i="3"/>
  <c r="EX38" i="3"/>
  <c r="EX39" i="3"/>
  <c r="EX40" i="3"/>
  <c r="EX41" i="3"/>
  <c r="FB20" i="3"/>
  <c r="FB21" i="3"/>
  <c r="FB19" i="3"/>
  <c r="FB17" i="3"/>
  <c r="FB18" i="3"/>
  <c r="FB22" i="3"/>
  <c r="FB23" i="3"/>
  <c r="FB16" i="3"/>
  <c r="FB15" i="3"/>
  <c r="FB24" i="3"/>
  <c r="FB25" i="3"/>
  <c r="FB14" i="3"/>
  <c r="FB26" i="3"/>
  <c r="FB13" i="3"/>
  <c r="FB12" i="3"/>
  <c r="FB27" i="3"/>
  <c r="FB28" i="3"/>
  <c r="FB11" i="3"/>
  <c r="FB10" i="3"/>
  <c r="FB29" i="3"/>
  <c r="FB30" i="3"/>
  <c r="FB9" i="3"/>
  <c r="FB31" i="3"/>
  <c r="FB8" i="3"/>
  <c r="FB7" i="3"/>
  <c r="FB32" i="3"/>
  <c r="FB33" i="3"/>
  <c r="FB34" i="3"/>
  <c r="FB35" i="3"/>
  <c r="FB36" i="3"/>
  <c r="FB37" i="3"/>
  <c r="FB38" i="3"/>
  <c r="FB39" i="3"/>
  <c r="FB40" i="3"/>
  <c r="FB41" i="3"/>
  <c r="EP19" i="3"/>
  <c r="EP23" i="3"/>
  <c r="EP14" i="3"/>
  <c r="EP27" i="3"/>
  <c r="EP10" i="3"/>
  <c r="EP8" i="3"/>
  <c r="EP33" i="3"/>
  <c r="EP37" i="3"/>
  <c r="EP41" i="3"/>
  <c r="ET20" i="3"/>
  <c r="ET21" i="3"/>
  <c r="ET19" i="3"/>
  <c r="ET17" i="3"/>
  <c r="ET18" i="3"/>
  <c r="ET22" i="3"/>
  <c r="ET16" i="3"/>
  <c r="ET23" i="3"/>
  <c r="ET15" i="3"/>
  <c r="ET24" i="3"/>
  <c r="ET25" i="3"/>
  <c r="ET14" i="3"/>
  <c r="ET13" i="3"/>
  <c r="ET26" i="3"/>
  <c r="ET27" i="3"/>
  <c r="ET12" i="3"/>
  <c r="ET11" i="3"/>
  <c r="ET28" i="3"/>
  <c r="ET29" i="3"/>
  <c r="ET10" i="3"/>
  <c r="ET9" i="3"/>
  <c r="ET30" i="3"/>
  <c r="ET8" i="3"/>
  <c r="ET31" i="3"/>
  <c r="ET32" i="3"/>
  <c r="ET7" i="3"/>
  <c r="ET33" i="3"/>
  <c r="ET34" i="3"/>
  <c r="ET35" i="3"/>
  <c r="ET36" i="3"/>
  <c r="ET37" i="3"/>
  <c r="ET38" i="3"/>
  <c r="ET39" i="3"/>
  <c r="ET40" i="3"/>
  <c r="ET41" i="3"/>
  <c r="ED44" i="3"/>
  <c r="EX43" i="3"/>
  <c r="FB43" i="3"/>
  <c r="EQ43" i="3"/>
  <c r="EJ43" i="3"/>
  <c r="ET43" i="3"/>
  <c r="FA43" i="3"/>
  <c r="EJ36" i="3"/>
  <c r="EJ40" i="3"/>
  <c r="FG17" i="3"/>
  <c r="FG35" i="3"/>
  <c r="EE44" i="3"/>
  <c r="DY23" i="3"/>
  <c r="DZ23" i="3" s="1"/>
  <c r="CV16" i="3"/>
  <c r="CV11" i="3"/>
  <c r="CV15" i="3"/>
  <c r="CV14" i="3"/>
  <c r="CV10" i="3"/>
  <c r="CV9" i="3"/>
  <c r="CV19" i="3"/>
  <c r="CV8" i="3"/>
  <c r="CV18" i="3"/>
  <c r="CV13" i="3"/>
  <c r="CV17" i="3"/>
  <c r="CV12" i="3"/>
  <c r="AH77" i="3"/>
  <c r="AH76" i="3"/>
  <c r="AH75" i="3"/>
  <c r="AH60" i="3"/>
  <c r="AH59" i="3"/>
  <c r="AH45" i="3"/>
  <c r="AH44" i="3"/>
  <c r="AH43" i="3"/>
  <c r="BC12" i="3"/>
  <c r="Z43" i="16"/>
  <c r="AM77" i="3"/>
  <c r="W41" i="16"/>
  <c r="AM60" i="3"/>
  <c r="W41" i="15"/>
  <c r="AM43" i="3"/>
  <c r="AM45" i="3"/>
  <c r="W42" i="14"/>
  <c r="W43" i="14"/>
  <c r="AM44" i="3"/>
  <c r="W41" i="14"/>
  <c r="Z43" i="14"/>
  <c r="Z42" i="14"/>
  <c r="Z41" i="14"/>
  <c r="M43" i="15"/>
  <c r="AM59" i="3"/>
  <c r="Z42" i="15"/>
  <c r="Z41" i="15"/>
  <c r="W42" i="16"/>
  <c r="Z41" i="16"/>
  <c r="AM76" i="3"/>
  <c r="W43" i="16"/>
  <c r="AM75" i="3"/>
  <c r="W42" i="15"/>
  <c r="AW28" i="3"/>
  <c r="DW27" i="3" s="1"/>
  <c r="EA27" i="3" s="1"/>
  <c r="AW45" i="3"/>
  <c r="AW72" i="3"/>
  <c r="AW26" i="3"/>
  <c r="DW25" i="3" s="1"/>
  <c r="EA25" i="3" s="1"/>
  <c r="AW74" i="3"/>
  <c r="AW41" i="3"/>
  <c r="AW42" i="3"/>
  <c r="AW61" i="3"/>
  <c r="AW57" i="3"/>
  <c r="AW60" i="3"/>
  <c r="AW31" i="3"/>
  <c r="DW30" i="3" s="1"/>
  <c r="EA30" i="3" s="1"/>
  <c r="AW44" i="3"/>
  <c r="BC19" i="3"/>
  <c r="BC11" i="3"/>
  <c r="AW43" i="3"/>
  <c r="AW58" i="3"/>
  <c r="AW73" i="3"/>
  <c r="BC18" i="3"/>
  <c r="AW59" i="3"/>
  <c r="BC17" i="3"/>
  <c r="AW47" i="3"/>
  <c r="AW46" i="3"/>
  <c r="BC16" i="3"/>
  <c r="AW25" i="3"/>
  <c r="DW24" i="3" s="1"/>
  <c r="EA24" i="3" s="1"/>
  <c r="EH24" i="3" s="1"/>
  <c r="AW63" i="3"/>
  <c r="AW62" i="3"/>
  <c r="AW75" i="3"/>
  <c r="BC15" i="3"/>
  <c r="AW77" i="3"/>
  <c r="AW76" i="3"/>
  <c r="BC14" i="3"/>
  <c r="AW29" i="3"/>
  <c r="DW28" i="3" s="1"/>
  <c r="EA28" i="3" s="1"/>
  <c r="AW79" i="3"/>
  <c r="AW78" i="3"/>
  <c r="BC13" i="3"/>
  <c r="AW30" i="3"/>
  <c r="DW29" i="3" s="1"/>
  <c r="EA29" i="3" s="1"/>
  <c r="AW27" i="3"/>
  <c r="DW26" i="3" s="1"/>
  <c r="EA26" i="3" s="1"/>
  <c r="AW56" i="3"/>
  <c r="AW40" i="3"/>
  <c r="DW23" i="3"/>
  <c r="BC10" i="3"/>
  <c r="BC8" i="3"/>
  <c r="BC9" i="3"/>
  <c r="EQ33" i="3" l="1"/>
  <c r="EQ10" i="3"/>
  <c r="EQ17" i="3"/>
  <c r="FI42" i="3"/>
  <c r="FF35" i="3"/>
  <c r="FF7" i="3"/>
  <c r="FF28" i="3"/>
  <c r="FI36" i="3"/>
  <c r="FF13" i="3"/>
  <c r="FF17" i="3"/>
  <c r="FK8" i="3"/>
  <c r="FF20" i="3"/>
  <c r="FF25" i="3"/>
  <c r="FK22" i="3"/>
  <c r="FF39" i="3"/>
  <c r="FF24" i="3"/>
  <c r="FF38" i="3"/>
  <c r="FF16" i="3"/>
  <c r="FF34" i="3"/>
  <c r="FF22" i="3"/>
  <c r="FG34" i="3"/>
  <c r="FH40" i="3"/>
  <c r="FE36" i="3"/>
  <c r="FF31" i="3"/>
  <c r="FJ38" i="3"/>
  <c r="FG9" i="3"/>
  <c r="FG43" i="3"/>
  <c r="FE35" i="3"/>
  <c r="FF9" i="3"/>
  <c r="FG12" i="3"/>
  <c r="FH9" i="3"/>
  <c r="FE31" i="3"/>
  <c r="FF29" i="3"/>
  <c r="FJ31" i="3"/>
  <c r="FG22" i="3"/>
  <c r="FE13" i="3"/>
  <c r="FF12" i="3"/>
  <c r="EZ12" i="3"/>
  <c r="EZ27" i="3"/>
  <c r="FA40" i="3"/>
  <c r="FA39" i="3"/>
  <c r="FA9" i="3"/>
  <c r="EW28" i="3"/>
  <c r="EW40" i="3"/>
  <c r="EW12" i="3"/>
  <c r="EW39" i="3"/>
  <c r="FC23" i="3"/>
  <c r="FA30" i="3"/>
  <c r="FA15" i="3"/>
  <c r="FA24" i="3"/>
  <c r="FC10" i="3"/>
  <c r="FC37" i="3"/>
  <c r="EZ43" i="3"/>
  <c r="FD10" i="3"/>
  <c r="EZ37" i="3"/>
  <c r="FC34" i="3"/>
  <c r="FC28" i="3"/>
  <c r="FC22" i="3"/>
  <c r="FC42" i="3"/>
  <c r="FC35" i="3"/>
  <c r="FC12" i="3"/>
  <c r="FC17" i="3"/>
  <c r="FC33" i="3"/>
  <c r="FC27" i="3"/>
  <c r="FC19" i="3"/>
  <c r="EY39" i="3"/>
  <c r="EY35" i="3"/>
  <c r="FC18" i="3"/>
  <c r="FC21" i="3"/>
  <c r="FC7" i="3"/>
  <c r="FC26" i="3"/>
  <c r="FC20" i="3"/>
  <c r="EY32" i="3"/>
  <c r="FC8" i="3"/>
  <c r="FC14" i="3"/>
  <c r="EY30" i="3"/>
  <c r="FC11" i="3"/>
  <c r="FC43" i="3"/>
  <c r="FC32" i="3"/>
  <c r="FC41" i="3"/>
  <c r="FC31" i="3"/>
  <c r="FC25" i="3"/>
  <c r="EY27" i="3"/>
  <c r="FC36" i="3"/>
  <c r="FC13" i="3"/>
  <c r="FC40" i="3"/>
  <c r="FC9" i="3"/>
  <c r="FC24" i="3"/>
  <c r="EY14" i="3"/>
  <c r="EZ38" i="3"/>
  <c r="FC39" i="3"/>
  <c r="FC30" i="3"/>
  <c r="FC15" i="3"/>
  <c r="EY22" i="3"/>
  <c r="FC38" i="3"/>
  <c r="FC29" i="3"/>
  <c r="EQ41" i="3"/>
  <c r="EQ38" i="3"/>
  <c r="EQ21" i="3"/>
  <c r="EU8" i="3"/>
  <c r="EQ30" i="3"/>
  <c r="EQ24" i="3"/>
  <c r="EQ27" i="3"/>
  <c r="ER32" i="3"/>
  <c r="ER11" i="3"/>
  <c r="ER27" i="3"/>
  <c r="ES30" i="3"/>
  <c r="ER16" i="3"/>
  <c r="EQ11" i="3"/>
  <c r="EQ14" i="3"/>
  <c r="ER43" i="3"/>
  <c r="ER37" i="3"/>
  <c r="ER36" i="3"/>
  <c r="EQ15" i="3"/>
  <c r="ER35" i="3"/>
  <c r="ER12" i="3"/>
  <c r="ER34" i="3"/>
  <c r="ER22" i="3"/>
  <c r="ER31" i="3"/>
  <c r="ER18" i="3"/>
  <c r="ER42" i="3"/>
  <c r="ER28" i="3"/>
  <c r="ER17" i="3"/>
  <c r="ER29" i="3"/>
  <c r="ER21" i="3"/>
  <c r="ER41" i="3"/>
  <c r="ER33" i="3"/>
  <c r="ER40" i="3"/>
  <c r="ER30" i="3"/>
  <c r="ER39" i="3"/>
  <c r="ER9" i="3"/>
  <c r="ER38" i="3"/>
  <c r="ER10" i="3"/>
  <c r="EI43" i="3"/>
  <c r="EI22" i="3"/>
  <c r="EI42" i="3"/>
  <c r="EK8" i="3"/>
  <c r="EJ41" i="3"/>
  <c r="EJ39" i="3"/>
  <c r="EJ38" i="3"/>
  <c r="EJ15" i="3"/>
  <c r="EJ37" i="3"/>
  <c r="EJ34" i="3"/>
  <c r="EJ33" i="3"/>
  <c r="EJ32" i="3"/>
  <c r="EJ35" i="3"/>
  <c r="EJ9" i="3"/>
  <c r="EI11" i="3"/>
  <c r="ER26" i="3"/>
  <c r="ER19" i="3"/>
  <c r="ER13" i="3"/>
  <c r="ER20" i="3"/>
  <c r="ER25" i="3"/>
  <c r="ER14" i="3"/>
  <c r="ER24" i="3"/>
  <c r="ER7" i="3"/>
  <c r="ER15" i="3"/>
  <c r="ER8" i="3"/>
  <c r="EZ40" i="3"/>
  <c r="EZ28" i="3"/>
  <c r="EZ19" i="3"/>
  <c r="EZ36" i="3"/>
  <c r="EZ13" i="3"/>
  <c r="EZ42" i="3"/>
  <c r="EZ34" i="3"/>
  <c r="EZ14" i="3"/>
  <c r="FD26" i="3"/>
  <c r="EZ33" i="3"/>
  <c r="EZ25" i="3"/>
  <c r="FD13" i="3"/>
  <c r="EZ7" i="3"/>
  <c r="EZ24" i="3"/>
  <c r="FD25" i="3"/>
  <c r="EZ31" i="3"/>
  <c r="EZ16" i="3"/>
  <c r="FD23" i="3"/>
  <c r="EZ8" i="3"/>
  <c r="EZ23" i="3"/>
  <c r="FD19" i="3"/>
  <c r="EZ30" i="3"/>
  <c r="EZ17" i="3"/>
  <c r="EZ10" i="3"/>
  <c r="EZ22" i="3"/>
  <c r="EZ41" i="3"/>
  <c r="EZ29" i="3"/>
  <c r="EZ21" i="3"/>
  <c r="FG42" i="3"/>
  <c r="FG25" i="3"/>
  <c r="FL27" i="3"/>
  <c r="FE39" i="3"/>
  <c r="FE11" i="3"/>
  <c r="FL32" i="3"/>
  <c r="FG39" i="3"/>
  <c r="FG24" i="3"/>
  <c r="FL26" i="3"/>
  <c r="FE38" i="3"/>
  <c r="FE28" i="3"/>
  <c r="FG38" i="3"/>
  <c r="FG16" i="3"/>
  <c r="FL22" i="3"/>
  <c r="FE37" i="3"/>
  <c r="FE12" i="3"/>
  <c r="FG32" i="3"/>
  <c r="FG20" i="3"/>
  <c r="FE7" i="3"/>
  <c r="FE15" i="3"/>
  <c r="FG8" i="3"/>
  <c r="FE43" i="3"/>
  <c r="FE8" i="3"/>
  <c r="FE16" i="3"/>
  <c r="FG10" i="3"/>
  <c r="FL34" i="3"/>
  <c r="FE30" i="3"/>
  <c r="FG28" i="3"/>
  <c r="FL33" i="3"/>
  <c r="FE9" i="3"/>
  <c r="FG13" i="3"/>
  <c r="FL12" i="3"/>
  <c r="FE40" i="3"/>
  <c r="FE10" i="3"/>
  <c r="FJ23" i="3"/>
  <c r="FL7" i="3"/>
  <c r="FL13" i="3"/>
  <c r="FL20" i="3"/>
  <c r="FI34" i="3"/>
  <c r="FI27" i="3"/>
  <c r="FI18" i="3"/>
  <c r="FI19" i="3"/>
  <c r="FL41" i="3"/>
  <c r="FL8" i="3"/>
  <c r="FL14" i="3"/>
  <c r="FI7" i="3"/>
  <c r="FI26" i="3"/>
  <c r="FI21" i="3"/>
  <c r="FI33" i="3"/>
  <c r="FL40" i="3"/>
  <c r="FL9" i="3"/>
  <c r="FL15" i="3"/>
  <c r="FI32" i="3"/>
  <c r="FI13" i="3"/>
  <c r="FI20" i="3"/>
  <c r="FI22" i="3"/>
  <c r="FL39" i="3"/>
  <c r="FL30" i="3"/>
  <c r="FL24" i="3"/>
  <c r="FI31" i="3"/>
  <c r="FI14" i="3"/>
  <c r="FL25" i="3"/>
  <c r="FL38" i="3"/>
  <c r="FL29" i="3"/>
  <c r="FL23" i="3"/>
  <c r="FI41" i="3"/>
  <c r="FI8" i="3"/>
  <c r="FI25" i="3"/>
  <c r="FI17" i="3"/>
  <c r="FI28" i="3"/>
  <c r="FL31" i="3"/>
  <c r="FI12" i="3"/>
  <c r="FL37" i="3"/>
  <c r="FL10" i="3"/>
  <c r="FL16" i="3"/>
  <c r="FI40" i="3"/>
  <c r="FI30" i="3"/>
  <c r="FI15" i="3"/>
  <c r="FI11" i="3"/>
  <c r="FI35" i="3"/>
  <c r="FL36" i="3"/>
  <c r="FL11" i="3"/>
  <c r="FL18" i="3"/>
  <c r="FI39" i="3"/>
  <c r="FI9" i="3"/>
  <c r="FI24" i="3"/>
  <c r="FI43" i="3"/>
  <c r="FL35" i="3"/>
  <c r="FL28" i="3"/>
  <c r="FI38" i="3"/>
  <c r="FI10" i="3"/>
  <c r="FI16" i="3"/>
  <c r="FI37" i="3"/>
  <c r="FI29" i="3"/>
  <c r="FA38" i="3"/>
  <c r="FA10" i="3"/>
  <c r="FA37" i="3"/>
  <c r="FA29" i="3"/>
  <c r="FA16" i="3"/>
  <c r="FD7" i="3"/>
  <c r="FD14" i="3"/>
  <c r="FA23" i="3"/>
  <c r="FA36" i="3"/>
  <c r="FA11" i="3"/>
  <c r="FA22" i="3"/>
  <c r="FD8" i="3"/>
  <c r="FD15" i="3"/>
  <c r="FA35" i="3"/>
  <c r="FA28" i="3"/>
  <c r="FA17" i="3"/>
  <c r="FD9" i="3"/>
  <c r="FD24" i="3"/>
  <c r="FA34" i="3"/>
  <c r="FA27" i="3"/>
  <c r="FA18" i="3"/>
  <c r="FD29" i="3"/>
  <c r="FD16" i="3"/>
  <c r="FA33" i="3"/>
  <c r="FA7" i="3"/>
  <c r="FA26" i="3"/>
  <c r="FA21" i="3"/>
  <c r="FD11" i="3"/>
  <c r="FD18" i="3"/>
  <c r="FA12" i="3"/>
  <c r="FA32" i="3"/>
  <c r="FA13" i="3"/>
  <c r="FA20" i="3"/>
  <c r="FD28" i="3"/>
  <c r="FD17" i="3"/>
  <c r="FA19" i="3"/>
  <c r="FA8" i="3"/>
  <c r="FA14" i="3"/>
  <c r="FD12" i="3"/>
  <c r="FD22" i="3"/>
  <c r="FA41" i="3"/>
  <c r="FA31" i="3"/>
  <c r="FA25" i="3"/>
  <c r="FD27" i="3"/>
  <c r="FD21" i="3"/>
  <c r="EV8" i="3"/>
  <c r="EV13" i="3"/>
  <c r="EN36" i="3"/>
  <c r="EN39" i="3"/>
  <c r="EN35" i="3"/>
  <c r="EN33" i="3"/>
  <c r="EN15" i="3"/>
  <c r="EM33" i="3"/>
  <c r="EM29" i="3"/>
  <c r="EM25" i="3"/>
  <c r="EL23" i="3"/>
  <c r="EK42" i="3"/>
  <c r="DI16" i="3"/>
  <c r="DH16" i="3"/>
  <c r="DJ16" i="3"/>
  <c r="FK29" i="3"/>
  <c r="ES43" i="3"/>
  <c r="FH39" i="3"/>
  <c r="FH30" i="3"/>
  <c r="FH15" i="3"/>
  <c r="ES26" i="3"/>
  <c r="EU12" i="3"/>
  <c r="EV9" i="3"/>
  <c r="DJ12" i="3"/>
  <c r="DG12" i="3"/>
  <c r="DI12" i="3"/>
  <c r="DH12" i="3"/>
  <c r="FK12" i="3"/>
  <c r="FH38" i="3"/>
  <c r="FH10" i="3"/>
  <c r="FH23" i="3"/>
  <c r="ES17" i="3"/>
  <c r="EU16" i="3"/>
  <c r="EV10" i="3"/>
  <c r="DI17" i="3"/>
  <c r="DH17" i="3"/>
  <c r="DJ17" i="3"/>
  <c r="FK14" i="3"/>
  <c r="FH37" i="3"/>
  <c r="FH29" i="3"/>
  <c r="FH16" i="3"/>
  <c r="EU21" i="3"/>
  <c r="EV11" i="3"/>
  <c r="DG11" i="3"/>
  <c r="DJ11" i="3"/>
  <c r="DI11" i="3"/>
  <c r="DH11" i="3"/>
  <c r="DI13" i="3"/>
  <c r="DH13" i="3"/>
  <c r="DG13" i="3"/>
  <c r="DJ13" i="3"/>
  <c r="FK23" i="3"/>
  <c r="FH36" i="3"/>
  <c r="FH28" i="3"/>
  <c r="FH22" i="3"/>
  <c r="EV12" i="3"/>
  <c r="DJ18" i="3"/>
  <c r="DI18" i="3"/>
  <c r="DH18" i="3"/>
  <c r="FH17" i="3"/>
  <c r="DJ8" i="3"/>
  <c r="DI8" i="3"/>
  <c r="DG8" i="3"/>
  <c r="DH8" i="3"/>
  <c r="FH34" i="3"/>
  <c r="FH12" i="3"/>
  <c r="FH18" i="3"/>
  <c r="EV14" i="3"/>
  <c r="DI19" i="3"/>
  <c r="DH19" i="3"/>
  <c r="DJ19" i="3"/>
  <c r="FK43" i="3"/>
  <c r="FH33" i="3"/>
  <c r="FH27" i="3"/>
  <c r="FH19" i="3"/>
  <c r="EU40" i="3"/>
  <c r="EV15" i="3"/>
  <c r="DI9" i="3"/>
  <c r="DH9" i="3"/>
  <c r="DG9" i="3"/>
  <c r="DJ9" i="3"/>
  <c r="FH7" i="3"/>
  <c r="FH13" i="3"/>
  <c r="FH21" i="3"/>
  <c r="EU36" i="3"/>
  <c r="EV16" i="3"/>
  <c r="DH10" i="3"/>
  <c r="DG10" i="3"/>
  <c r="DJ10" i="3"/>
  <c r="DI10" i="3"/>
  <c r="FH43" i="3"/>
  <c r="FH32" i="3"/>
  <c r="FH26" i="3"/>
  <c r="FH20" i="3"/>
  <c r="EU23" i="3"/>
  <c r="EV17" i="3"/>
  <c r="DH14" i="3"/>
  <c r="DG14" i="3"/>
  <c r="DJ14" i="3"/>
  <c r="DI14" i="3"/>
  <c r="FK38" i="3"/>
  <c r="FH42" i="3"/>
  <c r="FH8" i="3"/>
  <c r="FH25" i="3"/>
  <c r="EU34" i="3"/>
  <c r="EM41" i="3"/>
  <c r="FF42" i="3"/>
  <c r="DG15" i="3"/>
  <c r="DJ15" i="3"/>
  <c r="DI15" i="3"/>
  <c r="DH15" i="3"/>
  <c r="FK34" i="3"/>
  <c r="FH41" i="3"/>
  <c r="FH31" i="3"/>
  <c r="ES33" i="3"/>
  <c r="EU27" i="3"/>
  <c r="EM37" i="3"/>
  <c r="EY38" i="3"/>
  <c r="EY34" i="3"/>
  <c r="EY8" i="3"/>
  <c r="EY10" i="3"/>
  <c r="EY12" i="3"/>
  <c r="EY15" i="3"/>
  <c r="EY18" i="3"/>
  <c r="EY43" i="3"/>
  <c r="EY41" i="3"/>
  <c r="EY37" i="3"/>
  <c r="EY33" i="3"/>
  <c r="EY31" i="3"/>
  <c r="EY29" i="3"/>
  <c r="EY13" i="3"/>
  <c r="EY16" i="3"/>
  <c r="EY19" i="3"/>
  <c r="EY40" i="3"/>
  <c r="EY36" i="3"/>
  <c r="EY7" i="3"/>
  <c r="EY9" i="3"/>
  <c r="EY11" i="3"/>
  <c r="EY25" i="3"/>
  <c r="EY23" i="3"/>
  <c r="EY20" i="3"/>
  <c r="BS35" i="3"/>
  <c r="BS31" i="3"/>
  <c r="BS27" i="3"/>
  <c r="BS32" i="3"/>
  <c r="BS34" i="3"/>
  <c r="BS30" i="3"/>
  <c r="BS26" i="3"/>
  <c r="BS28" i="3"/>
  <c r="BS33" i="3"/>
  <c r="BS29" i="3"/>
  <c r="BS25" i="3"/>
  <c r="BS24" i="3"/>
  <c r="BI47" i="3"/>
  <c r="BI49" i="3"/>
  <c r="BI46" i="3"/>
  <c r="BI48" i="3"/>
  <c r="BI51" i="3"/>
  <c r="BI50" i="3"/>
  <c r="ES40" i="3"/>
  <c r="ES34" i="3"/>
  <c r="ES28" i="3"/>
  <c r="ES24" i="3"/>
  <c r="ES19" i="3"/>
  <c r="EU39" i="3"/>
  <c r="EU35" i="3"/>
  <c r="EU31" i="3"/>
  <c r="EU26" i="3"/>
  <c r="EU24" i="3"/>
  <c r="EU9" i="3"/>
  <c r="EU13" i="3"/>
  <c r="EU18" i="3"/>
  <c r="EU20" i="3"/>
  <c r="BR35" i="3"/>
  <c r="BR31" i="3"/>
  <c r="BR27" i="3"/>
  <c r="BR32" i="3"/>
  <c r="BR34" i="3"/>
  <c r="BR30" i="3"/>
  <c r="BR26" i="3"/>
  <c r="BR24" i="3"/>
  <c r="BR33" i="3"/>
  <c r="BR29" i="3"/>
  <c r="BR25" i="3"/>
  <c r="BR28" i="3"/>
  <c r="BH50" i="3"/>
  <c r="BH43" i="3"/>
  <c r="BH47" i="3"/>
  <c r="BH49" i="3"/>
  <c r="BH46" i="3"/>
  <c r="BH45" i="3"/>
  <c r="BH48" i="3"/>
  <c r="BH51" i="3"/>
  <c r="BH44" i="3"/>
  <c r="EU43" i="3"/>
  <c r="ES39" i="3"/>
  <c r="ES31" i="3"/>
  <c r="ES11" i="3"/>
  <c r="ES15" i="3"/>
  <c r="ES20" i="3"/>
  <c r="EU38" i="3"/>
  <c r="EU33" i="3"/>
  <c r="EU28" i="3"/>
  <c r="EU22" i="3"/>
  <c r="EU32" i="3"/>
  <c r="EU10" i="3"/>
  <c r="EU14" i="3"/>
  <c r="EU17" i="3"/>
  <c r="EU42" i="3"/>
  <c r="ES36" i="3"/>
  <c r="ES9" i="3"/>
  <c r="ES13" i="3"/>
  <c r="ES18" i="3"/>
  <c r="EU41" i="3"/>
  <c r="EU37" i="3"/>
  <c r="EU29" i="3"/>
  <c r="EU25" i="3"/>
  <c r="EU30" i="3"/>
  <c r="EU7" i="3"/>
  <c r="EU11" i="3"/>
  <c r="EU15" i="3"/>
  <c r="BQ29" i="3"/>
  <c r="BG40" i="3"/>
  <c r="BG45" i="3"/>
  <c r="BG44" i="3"/>
  <c r="BG43" i="3"/>
  <c r="BG42" i="3"/>
  <c r="BG41" i="3"/>
  <c r="EJ29" i="3"/>
  <c r="EI38" i="3"/>
  <c r="EJ31" i="3"/>
  <c r="EI8" i="3"/>
  <c r="EJ30" i="3"/>
  <c r="EI41" i="3"/>
  <c r="EI12" i="3"/>
  <c r="EK37" i="3"/>
  <c r="EK31" i="3"/>
  <c r="EK17" i="3"/>
  <c r="EM40" i="3"/>
  <c r="EM32" i="3"/>
  <c r="EM24" i="3"/>
  <c r="EM43" i="3"/>
  <c r="EK40" i="3"/>
  <c r="EK36" i="3"/>
  <c r="EK32" i="3"/>
  <c r="EK30" i="3"/>
  <c r="EK26" i="3"/>
  <c r="EM39" i="3"/>
  <c r="EM35" i="3"/>
  <c r="EM31" i="3"/>
  <c r="EM27" i="3"/>
  <c r="EM23" i="3"/>
  <c r="EK18" i="3"/>
  <c r="EK41" i="3"/>
  <c r="EK33" i="3"/>
  <c r="EK27" i="3"/>
  <c r="EM36" i="3"/>
  <c r="EM28" i="3"/>
  <c r="EM9" i="3"/>
  <c r="EK43" i="3"/>
  <c r="EK39" i="3"/>
  <c r="EK35" i="3"/>
  <c r="EK7" i="3"/>
  <c r="EK29" i="3"/>
  <c r="EM38" i="3"/>
  <c r="EM34" i="3"/>
  <c r="EM30" i="3"/>
  <c r="EM26" i="3"/>
  <c r="BQ48" i="3"/>
  <c r="BQ44" i="3"/>
  <c r="BQ40" i="3"/>
  <c r="BQ51" i="3"/>
  <c r="BQ47" i="3"/>
  <c r="BQ43" i="3"/>
  <c r="BQ50" i="3"/>
  <c r="BQ46" i="3"/>
  <c r="BQ42" i="3"/>
  <c r="BQ45" i="3"/>
  <c r="BQ41" i="3"/>
  <c r="BQ49" i="3"/>
  <c r="BG57" i="3"/>
  <c r="BG58" i="3"/>
  <c r="BG59" i="3"/>
  <c r="BG56" i="3"/>
  <c r="BG60" i="3"/>
  <c r="BG61" i="3"/>
  <c r="EY28" i="3"/>
  <c r="EY26" i="3"/>
  <c r="EY24" i="3"/>
  <c r="EY17" i="3"/>
  <c r="EY21" i="3"/>
  <c r="EZ39" i="3"/>
  <c r="EZ35" i="3"/>
  <c r="EZ32" i="3"/>
  <c r="EZ9" i="3"/>
  <c r="EZ11" i="3"/>
  <c r="EZ26" i="3"/>
  <c r="EZ15" i="3"/>
  <c r="EZ18" i="3"/>
  <c r="BR48" i="3"/>
  <c r="BR44" i="3"/>
  <c r="BR40" i="3"/>
  <c r="BR51" i="3"/>
  <c r="BR47" i="3"/>
  <c r="BR43" i="3"/>
  <c r="BR50" i="3"/>
  <c r="BR46" i="3"/>
  <c r="BR42" i="3"/>
  <c r="BR49" i="3"/>
  <c r="BR45" i="3"/>
  <c r="BR41" i="3"/>
  <c r="BH67" i="3"/>
  <c r="BH64" i="3"/>
  <c r="BH66" i="3"/>
  <c r="BH62" i="3"/>
  <c r="BH63" i="3"/>
  <c r="BH65" i="3"/>
  <c r="BH60" i="3"/>
  <c r="BH59" i="3"/>
  <c r="BH61" i="3"/>
  <c r="BR67" i="3"/>
  <c r="BR63" i="3"/>
  <c r="BR59" i="3"/>
  <c r="BR66" i="3"/>
  <c r="BR62" i="3"/>
  <c r="BR58" i="3"/>
  <c r="BR65" i="3"/>
  <c r="BR61" i="3"/>
  <c r="BR57" i="3"/>
  <c r="BR64" i="3"/>
  <c r="BR60" i="3"/>
  <c r="BR56" i="3"/>
  <c r="BH83" i="3"/>
  <c r="BH82" i="3"/>
  <c r="BH81" i="3"/>
  <c r="BH75" i="3"/>
  <c r="BH79" i="3"/>
  <c r="BH78" i="3"/>
  <c r="BH77" i="3"/>
  <c r="BH76" i="3"/>
  <c r="BH80" i="3"/>
  <c r="FK37" i="3"/>
  <c r="FK31" i="3"/>
  <c r="FK27" i="3"/>
  <c r="FK25" i="3"/>
  <c r="FK19" i="3"/>
  <c r="FJ37" i="3"/>
  <c r="FJ8" i="3"/>
  <c r="FJ27" i="3"/>
  <c r="FJ16" i="3"/>
  <c r="BS67" i="3"/>
  <c r="BS63" i="3"/>
  <c r="BS59" i="3"/>
  <c r="BS66" i="3"/>
  <c r="BS62" i="3"/>
  <c r="BS58" i="3"/>
  <c r="BS65" i="3"/>
  <c r="BS61" i="3"/>
  <c r="BS57" i="3"/>
  <c r="BS64" i="3"/>
  <c r="BS60" i="3"/>
  <c r="BS56" i="3"/>
  <c r="BI83" i="3"/>
  <c r="BI82" i="3"/>
  <c r="BI81" i="3"/>
  <c r="BI79" i="3"/>
  <c r="BI78" i="3"/>
  <c r="BI80" i="3"/>
  <c r="FG41" i="3"/>
  <c r="FG37" i="3"/>
  <c r="FG33" i="3"/>
  <c r="FG31" i="3"/>
  <c r="FG29" i="3"/>
  <c r="FG27" i="3"/>
  <c r="FG14" i="3"/>
  <c r="FG23" i="3"/>
  <c r="FG19" i="3"/>
  <c r="FK40" i="3"/>
  <c r="FK36" i="3"/>
  <c r="FK32" i="3"/>
  <c r="FK30" i="3"/>
  <c r="FK11" i="3"/>
  <c r="FK26" i="3"/>
  <c r="FK24" i="3"/>
  <c r="FK17" i="3"/>
  <c r="FK21" i="3"/>
  <c r="FF43" i="3"/>
  <c r="FF41" i="3"/>
  <c r="FF37" i="3"/>
  <c r="FF33" i="3"/>
  <c r="FF8" i="3"/>
  <c r="FF10" i="3"/>
  <c r="FF27" i="3"/>
  <c r="FF14" i="3"/>
  <c r="FF23" i="3"/>
  <c r="FF21" i="3"/>
  <c r="FJ40" i="3"/>
  <c r="FJ36" i="3"/>
  <c r="FJ32" i="3"/>
  <c r="FJ30" i="3"/>
  <c r="FJ28" i="3"/>
  <c r="FJ26" i="3"/>
  <c r="FJ24" i="3"/>
  <c r="FJ17" i="3"/>
  <c r="FJ21" i="3"/>
  <c r="BQ67" i="3"/>
  <c r="BQ63" i="3"/>
  <c r="BQ59" i="3"/>
  <c r="BQ66" i="3"/>
  <c r="BQ62" i="3"/>
  <c r="BQ58" i="3"/>
  <c r="BQ65" i="3"/>
  <c r="BQ61" i="3"/>
  <c r="BQ57" i="3"/>
  <c r="BQ60" i="3"/>
  <c r="BQ64" i="3"/>
  <c r="BQ56" i="3"/>
  <c r="BG76" i="3"/>
  <c r="BG75" i="3"/>
  <c r="BG77" i="3"/>
  <c r="BG72" i="3"/>
  <c r="BG73" i="3"/>
  <c r="BG74" i="3"/>
  <c r="FK41" i="3"/>
  <c r="FK33" i="3"/>
  <c r="FK10" i="3"/>
  <c r="FK16" i="3"/>
  <c r="FJ43" i="3"/>
  <c r="FJ42" i="3"/>
  <c r="FJ41" i="3"/>
  <c r="FJ33" i="3"/>
  <c r="FJ10" i="3"/>
  <c r="FJ25" i="3"/>
  <c r="FJ19" i="3"/>
  <c r="FG40" i="3"/>
  <c r="FG36" i="3"/>
  <c r="FG7" i="3"/>
  <c r="FG30" i="3"/>
  <c r="FG11" i="3"/>
  <c r="FG26" i="3"/>
  <c r="FG15" i="3"/>
  <c r="FG18" i="3"/>
  <c r="FK39" i="3"/>
  <c r="FK35" i="3"/>
  <c r="FK7" i="3"/>
  <c r="FK9" i="3"/>
  <c r="FK28" i="3"/>
  <c r="FK13" i="3"/>
  <c r="FK15" i="3"/>
  <c r="FK18" i="3"/>
  <c r="FK20" i="3"/>
  <c r="FF40" i="3"/>
  <c r="FF36" i="3"/>
  <c r="FF32" i="3"/>
  <c r="FF30" i="3"/>
  <c r="FF11" i="3"/>
  <c r="FF26" i="3"/>
  <c r="FF15" i="3"/>
  <c r="FF18" i="3"/>
  <c r="FJ39" i="3"/>
  <c r="FJ35" i="3"/>
  <c r="FJ7" i="3"/>
  <c r="FJ9" i="3"/>
  <c r="FJ11" i="3"/>
  <c r="FJ13" i="3"/>
  <c r="FJ15" i="3"/>
  <c r="FJ22" i="3"/>
  <c r="EP7" i="3"/>
  <c r="EP28" i="3"/>
  <c r="EP22" i="3"/>
  <c r="EO29" i="3"/>
  <c r="EP42" i="3"/>
  <c r="EP43" i="3"/>
  <c r="EP39" i="3"/>
  <c r="EP35" i="3"/>
  <c r="EP32" i="3"/>
  <c r="EP30" i="3"/>
  <c r="EP11" i="3"/>
  <c r="EP13" i="3"/>
  <c r="EP24" i="3"/>
  <c r="EP18" i="3"/>
  <c r="EP20" i="3"/>
  <c r="EQ42" i="3"/>
  <c r="ES38" i="3"/>
  <c r="ES32" i="3"/>
  <c r="ES7" i="3"/>
  <c r="ES29" i="3"/>
  <c r="ES12" i="3"/>
  <c r="ES25" i="3"/>
  <c r="ES23" i="3"/>
  <c r="ES22" i="3"/>
  <c r="EO41" i="3"/>
  <c r="EO7" i="3"/>
  <c r="EO10" i="3"/>
  <c r="EO12" i="3"/>
  <c r="EO16" i="3"/>
  <c r="EQ40" i="3"/>
  <c r="EQ36" i="3"/>
  <c r="EQ32" i="3"/>
  <c r="EQ23" i="3"/>
  <c r="EQ25" i="3"/>
  <c r="EQ8" i="3"/>
  <c r="EQ12" i="3"/>
  <c r="EQ16" i="3"/>
  <c r="EQ19" i="3"/>
  <c r="EP40" i="3"/>
  <c r="EP36" i="3"/>
  <c r="EP9" i="3"/>
  <c r="EP26" i="3"/>
  <c r="EP15" i="3"/>
  <c r="EP21" i="3"/>
  <c r="EO38" i="3"/>
  <c r="EO15" i="3"/>
  <c r="EO43" i="3"/>
  <c r="EP38" i="3"/>
  <c r="EP34" i="3"/>
  <c r="EP31" i="3"/>
  <c r="EP29" i="3"/>
  <c r="EP12" i="3"/>
  <c r="EP25" i="3"/>
  <c r="EP16" i="3"/>
  <c r="EO42" i="3"/>
  <c r="ES41" i="3"/>
  <c r="ES37" i="3"/>
  <c r="ES35" i="3"/>
  <c r="ES8" i="3"/>
  <c r="ES10" i="3"/>
  <c r="ES27" i="3"/>
  <c r="ES14" i="3"/>
  <c r="ES16" i="3"/>
  <c r="ES21" i="3"/>
  <c r="EO40" i="3"/>
  <c r="EO8" i="3"/>
  <c r="EO28" i="3"/>
  <c r="EO13" i="3"/>
  <c r="EQ39" i="3"/>
  <c r="EQ35" i="3"/>
  <c r="EQ29" i="3"/>
  <c r="EQ31" i="3"/>
  <c r="EQ22" i="3"/>
  <c r="EQ9" i="3"/>
  <c r="EQ13" i="3"/>
  <c r="EQ18" i="3"/>
  <c r="EH13" i="3"/>
  <c r="EL7" i="3"/>
  <c r="EN38" i="3"/>
  <c r="EN37" i="3"/>
  <c r="EN43" i="3"/>
  <c r="EN34" i="3"/>
  <c r="EN32" i="3"/>
  <c r="EN31" i="3"/>
  <c r="EH9" i="3"/>
  <c r="EN42" i="3"/>
  <c r="EN30" i="3"/>
  <c r="EH10" i="3"/>
  <c r="EN41" i="3"/>
  <c r="EN29" i="3"/>
  <c r="EH12" i="3"/>
  <c r="EH43" i="3"/>
  <c r="EH14" i="3"/>
  <c r="EL33" i="3"/>
  <c r="EI10" i="3"/>
  <c r="EL22" i="3"/>
  <c r="EL21" i="3"/>
  <c r="EI40" i="3"/>
  <c r="EI39" i="3"/>
  <c r="EI37" i="3"/>
  <c r="EI36" i="3"/>
  <c r="EI35" i="3"/>
  <c r="EI7" i="3"/>
  <c r="EL34" i="3"/>
  <c r="EL16" i="3"/>
  <c r="EL32" i="3"/>
  <c r="EL24" i="3"/>
  <c r="EL8" i="3"/>
  <c r="EL42" i="3"/>
  <c r="EL41" i="3"/>
  <c r="EL9" i="3"/>
  <c r="EL40" i="3"/>
  <c r="EL10" i="3"/>
  <c r="EL39" i="3"/>
  <c r="EL11" i="3"/>
  <c r="EL43" i="3"/>
  <c r="EL38" i="3"/>
  <c r="EL12" i="3"/>
  <c r="EL37" i="3"/>
  <c r="EL13" i="3"/>
  <c r="EL36" i="3"/>
  <c r="EL14" i="3"/>
  <c r="EL35" i="3"/>
  <c r="EH7" i="3"/>
  <c r="EH8" i="3"/>
  <c r="EH11" i="3"/>
  <c r="EG8" i="3"/>
  <c r="EH33" i="3"/>
  <c r="EH40" i="3"/>
  <c r="EH39" i="3"/>
  <c r="EH38" i="3"/>
  <c r="EH37" i="3"/>
  <c r="EH42" i="3"/>
  <c r="EH36" i="3"/>
  <c r="EH35" i="3"/>
  <c r="EH23" i="3"/>
  <c r="EH34" i="3"/>
  <c r="EH22" i="3"/>
  <c r="EH21" i="3"/>
  <c r="EH32" i="3"/>
  <c r="EH41" i="3"/>
  <c r="EN11" i="3"/>
  <c r="EH19" i="3"/>
  <c r="EL18" i="3"/>
  <c r="EJ10" i="3"/>
  <c r="EN12" i="3"/>
  <c r="EK9" i="3"/>
  <c r="EI13" i="3"/>
  <c r="EN13" i="3"/>
  <c r="EK10" i="3"/>
  <c r="EH20" i="3"/>
  <c r="EL17" i="3"/>
  <c r="EI14" i="3"/>
  <c r="EJ11" i="3"/>
  <c r="EN14" i="3"/>
  <c r="EL19" i="3"/>
  <c r="EI15" i="3"/>
  <c r="EJ12" i="3"/>
  <c r="EK11" i="3"/>
  <c r="EI16" i="3"/>
  <c r="EJ13" i="3"/>
  <c r="EN7" i="3"/>
  <c r="EL20" i="3"/>
  <c r="EI18" i="3"/>
  <c r="EJ14" i="3"/>
  <c r="EK12" i="3"/>
  <c r="EH15" i="3"/>
  <c r="EI17" i="3"/>
  <c r="EM7" i="3"/>
  <c r="EN10" i="3"/>
  <c r="EJ7" i="3"/>
  <c r="EN8" i="3"/>
  <c r="EI19" i="3"/>
  <c r="EH16" i="3"/>
  <c r="EI21" i="3"/>
  <c r="EJ8" i="3"/>
  <c r="EN9" i="3"/>
  <c r="EK13" i="3"/>
  <c r="EH17" i="3"/>
  <c r="EL15" i="3"/>
  <c r="EI20" i="3"/>
  <c r="EM8" i="3"/>
  <c r="EK14" i="3"/>
  <c r="EH18" i="3"/>
  <c r="HQ43" i="3"/>
  <c r="GH45" i="3"/>
  <c r="HI44" i="3"/>
  <c r="HJ44" i="3"/>
  <c r="HK44" i="3"/>
  <c r="HL44" i="3"/>
  <c r="HM44" i="3"/>
  <c r="HN44" i="3"/>
  <c r="HO44" i="3"/>
  <c r="HP44" i="3"/>
  <c r="HA44" i="3"/>
  <c r="GS44" i="3"/>
  <c r="HB44" i="3"/>
  <c r="GT44" i="3"/>
  <c r="HC44" i="3"/>
  <c r="GU44" i="3"/>
  <c r="HD44" i="3"/>
  <c r="GV44" i="3"/>
  <c r="HE44" i="3"/>
  <c r="GW44" i="3"/>
  <c r="HF44" i="3"/>
  <c r="GX44" i="3"/>
  <c r="HG44" i="3"/>
  <c r="GY44" i="3"/>
  <c r="HH44" i="3"/>
  <c r="GZ44" i="3"/>
  <c r="GK44" i="3"/>
  <c r="GL44" i="3"/>
  <c r="GM44" i="3"/>
  <c r="GN44" i="3"/>
  <c r="GO44" i="3"/>
  <c r="GP44" i="3"/>
  <c r="GQ44" i="3"/>
  <c r="GR44" i="3"/>
  <c r="EJ28" i="3"/>
  <c r="EH31" i="3"/>
  <c r="EI34" i="3"/>
  <c r="EL31" i="3"/>
  <c r="EN28" i="3"/>
  <c r="EK25" i="3"/>
  <c r="EM22" i="3"/>
  <c r="GI45" i="3"/>
  <c r="GJ44" i="3"/>
  <c r="EF44" i="3"/>
  <c r="AX77" i="3"/>
  <c r="DW76" i="3"/>
  <c r="AX40" i="3"/>
  <c r="DW39" i="3"/>
  <c r="EA39" i="3" s="1"/>
  <c r="EO17" i="3" s="1"/>
  <c r="AX75" i="3"/>
  <c r="DW74" i="3"/>
  <c r="AX43" i="3"/>
  <c r="DW42" i="3"/>
  <c r="AX72" i="3"/>
  <c r="DW71" i="3"/>
  <c r="EA71" i="3" s="1"/>
  <c r="ED45" i="3"/>
  <c r="FE44" i="3"/>
  <c r="FF44" i="3"/>
  <c r="FG44" i="3"/>
  <c r="FH44" i="3"/>
  <c r="FI44" i="3"/>
  <c r="FJ44" i="3"/>
  <c r="FK44" i="3"/>
  <c r="EX44" i="3"/>
  <c r="FL44" i="3"/>
  <c r="FB44" i="3"/>
  <c r="EO44" i="3"/>
  <c r="EP44" i="3"/>
  <c r="EH44" i="3"/>
  <c r="EQ44" i="3"/>
  <c r="EI44" i="3"/>
  <c r="ER44" i="3"/>
  <c r="EJ44" i="3"/>
  <c r="ES44" i="3"/>
  <c r="EK44" i="3"/>
  <c r="ET44" i="3"/>
  <c r="EL44" i="3"/>
  <c r="EU44" i="3"/>
  <c r="EM44" i="3"/>
  <c r="EV44" i="3"/>
  <c r="EN44" i="3"/>
  <c r="EY44" i="3"/>
  <c r="EZ44" i="3"/>
  <c r="FC44" i="3"/>
  <c r="FA44" i="3"/>
  <c r="AX56" i="3"/>
  <c r="DW55" i="3"/>
  <c r="EA55" i="3" s="1"/>
  <c r="AX62" i="3"/>
  <c r="DW61" i="3"/>
  <c r="AX45" i="3"/>
  <c r="DW44" i="3"/>
  <c r="AX58" i="3"/>
  <c r="DW57" i="3"/>
  <c r="AX44" i="3"/>
  <c r="DW43" i="3"/>
  <c r="AX73" i="3"/>
  <c r="DW72" i="3"/>
  <c r="AX78" i="3"/>
  <c r="DW77" i="3"/>
  <c r="AX46" i="3"/>
  <c r="DW45" i="3"/>
  <c r="AX60" i="3"/>
  <c r="DW59" i="3"/>
  <c r="AX63" i="3"/>
  <c r="DW62" i="3"/>
  <c r="EA62" i="3" s="1"/>
  <c r="AX79" i="3"/>
  <c r="DW78" i="3"/>
  <c r="EA78" i="3" s="1"/>
  <c r="AX47" i="3"/>
  <c r="DW46" i="3"/>
  <c r="EA46" i="3" s="1"/>
  <c r="EV43" i="3" s="1"/>
  <c r="AX57" i="3"/>
  <c r="DW56" i="3"/>
  <c r="AX61" i="3"/>
  <c r="DW60" i="3"/>
  <c r="AX74" i="3"/>
  <c r="DW73" i="3"/>
  <c r="AX59" i="3"/>
  <c r="DW58" i="3"/>
  <c r="AX42" i="3"/>
  <c r="DW41" i="3"/>
  <c r="AX76" i="3"/>
  <c r="DW75" i="3"/>
  <c r="AX41" i="3"/>
  <c r="DW40" i="3"/>
  <c r="EI25" i="3"/>
  <c r="EI28" i="3"/>
  <c r="EI31" i="3"/>
  <c r="EI24" i="3"/>
  <c r="EI27" i="3"/>
  <c r="EI30" i="3"/>
  <c r="EI33" i="3"/>
  <c r="EI23" i="3"/>
  <c r="EI26" i="3"/>
  <c r="EI29" i="3"/>
  <c r="EI32" i="3"/>
  <c r="EL25" i="3"/>
  <c r="EL28" i="3"/>
  <c r="EL27" i="3"/>
  <c r="EL30" i="3"/>
  <c r="EL26" i="3"/>
  <c r="EL29" i="3"/>
  <c r="EK20" i="3"/>
  <c r="EK19" i="3"/>
  <c r="EK22" i="3"/>
  <c r="EK21" i="3"/>
  <c r="EK24" i="3"/>
  <c r="EK23" i="3"/>
  <c r="EH28" i="3"/>
  <c r="EH27" i="3"/>
  <c r="EH30" i="3"/>
  <c r="EH25" i="3"/>
  <c r="EH26" i="3"/>
  <c r="EH29" i="3"/>
  <c r="EN17" i="3"/>
  <c r="EN20" i="3"/>
  <c r="EN23" i="3"/>
  <c r="EN26" i="3"/>
  <c r="EN16" i="3"/>
  <c r="EN19" i="3"/>
  <c r="EN22" i="3"/>
  <c r="EN25" i="3"/>
  <c r="EN18" i="3"/>
  <c r="EN21" i="3"/>
  <c r="EN24" i="3"/>
  <c r="EN27" i="3"/>
  <c r="EM11" i="3"/>
  <c r="EM14" i="3"/>
  <c r="EM17" i="3"/>
  <c r="EM20" i="3"/>
  <c r="EM10" i="3"/>
  <c r="EM13" i="3"/>
  <c r="EM16" i="3"/>
  <c r="EM19" i="3"/>
  <c r="EM12" i="3"/>
  <c r="EM15" i="3"/>
  <c r="EM18" i="3"/>
  <c r="EM21" i="3"/>
  <c r="EJ16" i="3"/>
  <c r="EJ19" i="3"/>
  <c r="EJ22" i="3"/>
  <c r="EJ25" i="3"/>
  <c r="EJ18" i="3"/>
  <c r="EJ21" i="3"/>
  <c r="EJ24" i="3"/>
  <c r="EJ27" i="3"/>
  <c r="EJ17" i="3"/>
  <c r="EJ20" i="3"/>
  <c r="EJ23" i="3"/>
  <c r="EJ26" i="3"/>
  <c r="EA23" i="3"/>
  <c r="EG16" i="3" s="1"/>
  <c r="EE45" i="3"/>
  <c r="AX26" i="3"/>
  <c r="AX27" i="3"/>
  <c r="AX28" i="3"/>
  <c r="AX30" i="3"/>
  <c r="AX31" i="3"/>
  <c r="AX29" i="3"/>
  <c r="CV31" i="3"/>
  <c r="CV25" i="3"/>
  <c r="CV24" i="3"/>
  <c r="CV32" i="3"/>
  <c r="CV33" i="3"/>
  <c r="CV34" i="3"/>
  <c r="CV29" i="3"/>
  <c r="CV35" i="3"/>
  <c r="CV28" i="3"/>
  <c r="CV27" i="3"/>
  <c r="CV30" i="3"/>
  <c r="CV26" i="3"/>
  <c r="AK75" i="3"/>
  <c r="AK76" i="3"/>
  <c r="AK77" i="3"/>
  <c r="BD21" i="3"/>
  <c r="BN5" i="3"/>
  <c r="AH61" i="3"/>
  <c r="AK59" i="3"/>
  <c r="AK60" i="3"/>
  <c r="AK43" i="3"/>
  <c r="AK44" i="3"/>
  <c r="AK45" i="3"/>
  <c r="W43" i="15"/>
  <c r="AX25" i="3"/>
  <c r="BC30" i="3"/>
  <c r="BQ30" i="3" s="1"/>
  <c r="BC31" i="3"/>
  <c r="BQ31" i="3" s="1"/>
  <c r="BC32" i="3"/>
  <c r="BQ32" i="3" s="1"/>
  <c r="BC25" i="3"/>
  <c r="BQ25" i="3" s="1"/>
  <c r="BC33" i="3"/>
  <c r="BQ33" i="3" s="1"/>
  <c r="BC26" i="3"/>
  <c r="BQ26" i="3" s="1"/>
  <c r="BC34" i="3"/>
  <c r="BQ34" i="3" s="1"/>
  <c r="BC27" i="3"/>
  <c r="BQ27" i="3" s="1"/>
  <c r="BC35" i="3"/>
  <c r="BQ35" i="3" s="1"/>
  <c r="BC28" i="3"/>
  <c r="BQ28" i="3" s="1"/>
  <c r="BC24" i="3"/>
  <c r="BQ24" i="3" s="1"/>
  <c r="BC29" i="3"/>
  <c r="EV41" i="3" l="1"/>
  <c r="EV42" i="3"/>
  <c r="DG34" i="3"/>
  <c r="DI34" i="3"/>
  <c r="DJ34" i="3"/>
  <c r="DH34" i="3"/>
  <c r="CX34" i="3"/>
  <c r="CW34" i="3"/>
  <c r="CY34" i="3"/>
  <c r="DG33" i="3"/>
  <c r="DI33" i="3"/>
  <c r="DJ33" i="3"/>
  <c r="DH33" i="3"/>
  <c r="CY33" i="3"/>
  <c r="CX33" i="3"/>
  <c r="CW33" i="3"/>
  <c r="DI32" i="3"/>
  <c r="DJ32" i="3"/>
  <c r="DH32" i="3"/>
  <c r="CX32" i="3"/>
  <c r="DI24" i="3"/>
  <c r="DJ24" i="3"/>
  <c r="CZ24" i="3"/>
  <c r="CY24" i="3"/>
  <c r="DI31" i="3"/>
  <c r="DJ31" i="3"/>
  <c r="DH31" i="3"/>
  <c r="CX31" i="3"/>
  <c r="DI26" i="3"/>
  <c r="DJ26" i="3"/>
  <c r="CZ26" i="3"/>
  <c r="CY26" i="3"/>
  <c r="DI29" i="3"/>
  <c r="DJ29" i="3"/>
  <c r="CZ29" i="3"/>
  <c r="CY29" i="3"/>
  <c r="DI25" i="3"/>
  <c r="DJ25" i="3"/>
  <c r="CZ25" i="3"/>
  <c r="CY25" i="3"/>
  <c r="DI30" i="3"/>
  <c r="DH30" i="3"/>
  <c r="DJ30" i="3"/>
  <c r="CX30" i="3"/>
  <c r="DI28" i="3"/>
  <c r="DJ28" i="3"/>
  <c r="CZ28" i="3"/>
  <c r="CY28" i="3"/>
  <c r="DI27" i="3"/>
  <c r="DJ27" i="3"/>
  <c r="CZ27" i="3"/>
  <c r="CY27" i="3"/>
  <c r="DG35" i="3"/>
  <c r="DI35" i="3"/>
  <c r="DJ35" i="3"/>
  <c r="DH35" i="3"/>
  <c r="CW35" i="3"/>
  <c r="CY35" i="3"/>
  <c r="CX35" i="3"/>
  <c r="FE32" i="3"/>
  <c r="FE33" i="3"/>
  <c r="FE34" i="3"/>
  <c r="BS48" i="3"/>
  <c r="BS44" i="3"/>
  <c r="BS40" i="3"/>
  <c r="BS51" i="3"/>
  <c r="BS47" i="3"/>
  <c r="BS43" i="3"/>
  <c r="BS50" i="3"/>
  <c r="BS46" i="3"/>
  <c r="BS42" i="3"/>
  <c r="BS49" i="3"/>
  <c r="BS45" i="3"/>
  <c r="BS41" i="3"/>
  <c r="BI67" i="3"/>
  <c r="BI62" i="3"/>
  <c r="BI65" i="3"/>
  <c r="BI63" i="3"/>
  <c r="BI64" i="3"/>
  <c r="BI66" i="3"/>
  <c r="FE19" i="3"/>
  <c r="FE17" i="3"/>
  <c r="FE24" i="3"/>
  <c r="FE26" i="3"/>
  <c r="FE21" i="3"/>
  <c r="FE23" i="3"/>
  <c r="FE25" i="3"/>
  <c r="FE27" i="3"/>
  <c r="FE18" i="3"/>
  <c r="FE22" i="3"/>
  <c r="FE20" i="3"/>
  <c r="EW19" i="3"/>
  <c r="EW22" i="3"/>
  <c r="EW26" i="3"/>
  <c r="EW21" i="3"/>
  <c r="EW23" i="3"/>
  <c r="EW25" i="3"/>
  <c r="EW17" i="3"/>
  <c r="EW27" i="3"/>
  <c r="EW20" i="3"/>
  <c r="EW18" i="3"/>
  <c r="EW24" i="3"/>
  <c r="EO20" i="3"/>
  <c r="EO19" i="3"/>
  <c r="EO27" i="3"/>
  <c r="EO18" i="3"/>
  <c r="EG17" i="3"/>
  <c r="EG15" i="3"/>
  <c r="EG35" i="3"/>
  <c r="EG36" i="3"/>
  <c r="EG31" i="3"/>
  <c r="EG26" i="3"/>
  <c r="EG37" i="3"/>
  <c r="EG27" i="3"/>
  <c r="EG38" i="3"/>
  <c r="EG28" i="3"/>
  <c r="EG39" i="3"/>
  <c r="EG29" i="3"/>
  <c r="EG40" i="3"/>
  <c r="EG30" i="3"/>
  <c r="EG41" i="3"/>
  <c r="EG42" i="3"/>
  <c r="EG32" i="3"/>
  <c r="EG33" i="3"/>
  <c r="EG34" i="3"/>
  <c r="EG43" i="3"/>
  <c r="EG44" i="3"/>
  <c r="EW42" i="3"/>
  <c r="EW34" i="3"/>
  <c r="EW35" i="3"/>
  <c r="EW36" i="3"/>
  <c r="EW37" i="3"/>
  <c r="EW38" i="3"/>
  <c r="EW33" i="3"/>
  <c r="EV27" i="3"/>
  <c r="EV23" i="3"/>
  <c r="EV24" i="3"/>
  <c r="EV22" i="3"/>
  <c r="EV25" i="3"/>
  <c r="EV20" i="3"/>
  <c r="EV21" i="3"/>
  <c r="EV26" i="3"/>
  <c r="EV19" i="3"/>
  <c r="EV18" i="3"/>
  <c r="EO30" i="3"/>
  <c r="EO23" i="3"/>
  <c r="EO24" i="3"/>
  <c r="EO25" i="3"/>
  <c r="EO26" i="3"/>
  <c r="EO21" i="3"/>
  <c r="EO22" i="3"/>
  <c r="FL43" i="3"/>
  <c r="FL42" i="3"/>
  <c r="EG18" i="3"/>
  <c r="EG10" i="3"/>
  <c r="EG11" i="3"/>
  <c r="EG9" i="3"/>
  <c r="EG14" i="3"/>
  <c r="EG13" i="3"/>
  <c r="EG12" i="3"/>
  <c r="FD39" i="3"/>
  <c r="FD32" i="3"/>
  <c r="FD33" i="3"/>
  <c r="FD34" i="3"/>
  <c r="FD35" i="3"/>
  <c r="FD36" i="3"/>
  <c r="FD37" i="3"/>
  <c r="FD38" i="3"/>
  <c r="FD30" i="3"/>
  <c r="FD31" i="3"/>
  <c r="HQ44" i="3"/>
  <c r="GH46" i="3"/>
  <c r="HL45" i="3"/>
  <c r="HM45" i="3"/>
  <c r="HN45" i="3"/>
  <c r="HO45" i="3"/>
  <c r="HP45" i="3"/>
  <c r="HK45" i="3"/>
  <c r="HI45" i="3"/>
  <c r="HJ45" i="3"/>
  <c r="HE45" i="3"/>
  <c r="GW45" i="3"/>
  <c r="HF45" i="3"/>
  <c r="GX45" i="3"/>
  <c r="HG45" i="3"/>
  <c r="GY45" i="3"/>
  <c r="HH45" i="3"/>
  <c r="GZ45" i="3"/>
  <c r="HA45" i="3"/>
  <c r="GS45" i="3"/>
  <c r="HB45" i="3"/>
  <c r="GT45" i="3"/>
  <c r="HC45" i="3"/>
  <c r="GU45" i="3"/>
  <c r="GM45" i="3"/>
  <c r="GK45" i="3"/>
  <c r="HD45" i="3"/>
  <c r="GV45" i="3"/>
  <c r="GN45" i="3"/>
  <c r="GO45" i="3"/>
  <c r="GP45" i="3"/>
  <c r="GL45" i="3"/>
  <c r="GQ45" i="3"/>
  <c r="GR45" i="3"/>
  <c r="EV40" i="3"/>
  <c r="EO37" i="3"/>
  <c r="EG25" i="3"/>
  <c r="FD44" i="3"/>
  <c r="EW43" i="3"/>
  <c r="GI46" i="3"/>
  <c r="GJ45" i="3"/>
  <c r="EF45" i="3"/>
  <c r="EW44" i="3"/>
  <c r="EO33" i="3"/>
  <c r="EO31" i="3"/>
  <c r="EO34" i="3"/>
  <c r="EO32" i="3"/>
  <c r="EO35" i="3"/>
  <c r="EO36" i="3"/>
  <c r="EV36" i="3"/>
  <c r="EV37" i="3"/>
  <c r="EV38" i="3"/>
  <c r="EV39" i="3"/>
  <c r="EV30" i="3"/>
  <c r="EV31" i="3"/>
  <c r="EV34" i="3"/>
  <c r="EV33" i="3"/>
  <c r="EV28" i="3"/>
  <c r="EV29" i="3"/>
  <c r="EV32" i="3"/>
  <c r="EV35" i="3"/>
  <c r="FD42" i="3"/>
  <c r="FD43" i="3"/>
  <c r="FD40" i="3"/>
  <c r="FD41" i="3"/>
  <c r="ED46" i="3"/>
  <c r="FI45" i="3"/>
  <c r="FJ45" i="3"/>
  <c r="FK45" i="3"/>
  <c r="FL45" i="3"/>
  <c r="FE45" i="3"/>
  <c r="EX45" i="3"/>
  <c r="FF45" i="3"/>
  <c r="FB45" i="3"/>
  <c r="FG45" i="3"/>
  <c r="EI45" i="3"/>
  <c r="ER45" i="3"/>
  <c r="EJ45" i="3"/>
  <c r="ES45" i="3"/>
  <c r="EK45" i="3"/>
  <c r="ET45" i="3"/>
  <c r="FH45" i="3"/>
  <c r="EL45" i="3"/>
  <c r="EU45" i="3"/>
  <c r="EM45" i="3"/>
  <c r="EV45" i="3"/>
  <c r="EN45" i="3"/>
  <c r="EO45" i="3"/>
  <c r="EG45" i="3"/>
  <c r="EP45" i="3"/>
  <c r="EH45" i="3"/>
  <c r="EQ45" i="3"/>
  <c r="FD45" i="3"/>
  <c r="EY45" i="3"/>
  <c r="FA45" i="3"/>
  <c r="EZ45" i="3"/>
  <c r="EW45" i="3"/>
  <c r="FC45" i="3"/>
  <c r="EG21" i="3"/>
  <c r="EG24" i="3"/>
  <c r="EG22" i="3"/>
  <c r="EG20" i="3"/>
  <c r="EG23" i="3"/>
  <c r="EG19" i="3"/>
  <c r="EE46" i="3"/>
  <c r="BN53" i="3"/>
  <c r="BD69" i="3"/>
  <c r="AK61" i="3"/>
  <c r="BN21" i="3"/>
  <c r="BD37" i="3"/>
  <c r="BN37" i="3"/>
  <c r="BD53" i="3"/>
  <c r="FO70" i="3"/>
  <c r="FO38" i="3"/>
  <c r="FO54" i="3"/>
  <c r="FM20" i="3" l="1"/>
  <c r="FT23" i="3" s="1"/>
  <c r="FM28" i="3"/>
  <c r="FM41" i="3"/>
  <c r="FM27" i="3"/>
  <c r="FM29" i="3"/>
  <c r="FM39" i="3"/>
  <c r="FM26" i="3"/>
  <c r="FM21" i="3"/>
  <c r="FM22" i="3"/>
  <c r="FM23" i="3"/>
  <c r="FM24" i="3"/>
  <c r="FM38" i="3"/>
  <c r="FM42" i="3"/>
  <c r="FM30" i="3"/>
  <c r="FM25" i="3"/>
  <c r="FM43" i="3"/>
  <c r="FM44" i="3"/>
  <c r="HQ45" i="3"/>
  <c r="FM37" i="3"/>
  <c r="GH47" i="3"/>
  <c r="HP46" i="3"/>
  <c r="HO46" i="3"/>
  <c r="HI46" i="3"/>
  <c r="HJ46" i="3"/>
  <c r="HK46" i="3"/>
  <c r="HL46" i="3"/>
  <c r="HM46" i="3"/>
  <c r="HN46" i="3"/>
  <c r="HA46" i="3"/>
  <c r="GS46" i="3"/>
  <c r="HB46" i="3"/>
  <c r="GT46" i="3"/>
  <c r="HC46" i="3"/>
  <c r="GU46" i="3"/>
  <c r="HD46" i="3"/>
  <c r="GV46" i="3"/>
  <c r="HE46" i="3"/>
  <c r="GW46" i="3"/>
  <c r="HF46" i="3"/>
  <c r="GX46" i="3"/>
  <c r="GQ46" i="3"/>
  <c r="GR46" i="3"/>
  <c r="HG46" i="3"/>
  <c r="GY46" i="3"/>
  <c r="HH46" i="3"/>
  <c r="GZ46" i="3"/>
  <c r="GK46" i="3"/>
  <c r="GL46" i="3"/>
  <c r="GP46" i="3"/>
  <c r="GM46" i="3"/>
  <c r="GN46" i="3"/>
  <c r="GO46" i="3"/>
  <c r="FM40" i="3"/>
  <c r="HZ23" i="3"/>
  <c r="AG11" i="7" s="1"/>
  <c r="HZ26" i="3"/>
  <c r="AG14" i="7" s="1"/>
  <c r="HZ25" i="3"/>
  <c r="AG13" i="7" s="1"/>
  <c r="HZ28" i="3"/>
  <c r="AG16" i="7" s="1"/>
  <c r="HZ24" i="3"/>
  <c r="AG12" i="7" s="1"/>
  <c r="HZ29" i="3"/>
  <c r="AG17" i="7" s="1"/>
  <c r="HZ33" i="3"/>
  <c r="AG21" i="7" s="1"/>
  <c r="HZ30" i="3"/>
  <c r="AG18" i="7" s="1"/>
  <c r="HZ32" i="3"/>
  <c r="AG20" i="7" s="1"/>
  <c r="HZ31" i="3"/>
  <c r="AG19" i="7" s="1"/>
  <c r="HZ27" i="3"/>
  <c r="AG15" i="7" s="1"/>
  <c r="GJ46" i="3"/>
  <c r="GI47" i="3"/>
  <c r="FM33" i="3"/>
  <c r="FM31" i="3"/>
  <c r="HZ34" i="3" s="1"/>
  <c r="AG22" i="7" s="1"/>
  <c r="EF46" i="3"/>
  <c r="FM36" i="3"/>
  <c r="FM32" i="3"/>
  <c r="FM34" i="3"/>
  <c r="FM45" i="3"/>
  <c r="FM35" i="3"/>
  <c r="ED47" i="3"/>
  <c r="FB46" i="3"/>
  <c r="FC46" i="3"/>
  <c r="FE46" i="3"/>
  <c r="FF46" i="3"/>
  <c r="FH46" i="3"/>
  <c r="FI46" i="3"/>
  <c r="FJ46" i="3"/>
  <c r="FL46" i="3"/>
  <c r="EX46" i="3"/>
  <c r="EY46" i="3"/>
  <c r="EM46" i="3"/>
  <c r="EV46" i="3"/>
  <c r="EN46" i="3"/>
  <c r="EO46" i="3"/>
  <c r="EG46" i="3"/>
  <c r="EP46" i="3"/>
  <c r="EH46" i="3"/>
  <c r="EQ46" i="3"/>
  <c r="EI46" i="3"/>
  <c r="ER46" i="3"/>
  <c r="EJ46" i="3"/>
  <c r="ES46" i="3"/>
  <c r="EK46" i="3"/>
  <c r="ET46" i="3"/>
  <c r="EL46" i="3"/>
  <c r="EU46" i="3"/>
  <c r="FA46" i="3"/>
  <c r="EZ46" i="3"/>
  <c r="FK46" i="3"/>
  <c r="EW46" i="3"/>
  <c r="FG46" i="3"/>
  <c r="FD46" i="3"/>
  <c r="EE47" i="3"/>
  <c r="T42" i="6"/>
  <c r="T43" i="6"/>
  <c r="T44" i="6"/>
  <c r="L42" i="6"/>
  <c r="L43" i="6"/>
  <c r="L44" i="6"/>
  <c r="FT24" i="3" l="1"/>
  <c r="FT32" i="3"/>
  <c r="FT33" i="3"/>
  <c r="FT31" i="3"/>
  <c r="FT30" i="3"/>
  <c r="FT25" i="3"/>
  <c r="FT27" i="3"/>
  <c r="FT29" i="3"/>
  <c r="FT28" i="3"/>
  <c r="FT26" i="3"/>
  <c r="HQ46" i="3"/>
  <c r="FT42" i="3"/>
  <c r="GH48" i="3"/>
  <c r="HI47" i="3"/>
  <c r="HJ47" i="3"/>
  <c r="HK47" i="3"/>
  <c r="HL47" i="3"/>
  <c r="HM47" i="3"/>
  <c r="HN47" i="3"/>
  <c r="HO47" i="3"/>
  <c r="HP47" i="3"/>
  <c r="HA47" i="3"/>
  <c r="GS47" i="3"/>
  <c r="HB47" i="3"/>
  <c r="GT47" i="3"/>
  <c r="HC47" i="3"/>
  <c r="GU47" i="3"/>
  <c r="HD47" i="3"/>
  <c r="GV47" i="3"/>
  <c r="HE47" i="3"/>
  <c r="GW47" i="3"/>
  <c r="HF47" i="3"/>
  <c r="GX47" i="3"/>
  <c r="HG47" i="3"/>
  <c r="GY47" i="3"/>
  <c r="HH47" i="3"/>
  <c r="GZ47" i="3"/>
  <c r="GK47" i="3"/>
  <c r="GL47" i="3"/>
  <c r="GM47" i="3"/>
  <c r="GN47" i="3"/>
  <c r="GO47" i="3"/>
  <c r="GP47" i="3"/>
  <c r="GQ47" i="3"/>
  <c r="GR47" i="3"/>
  <c r="FT34" i="3"/>
  <c r="FT39" i="3"/>
  <c r="HZ39" i="3"/>
  <c r="AG35" i="7" s="1"/>
  <c r="FT41" i="3"/>
  <c r="HZ41" i="3"/>
  <c r="AG37" i="7" s="1"/>
  <c r="FT43" i="3"/>
  <c r="FT40" i="3"/>
  <c r="HZ40" i="3"/>
  <c r="AG36" i="7" s="1"/>
  <c r="GI48" i="3"/>
  <c r="GJ47" i="3"/>
  <c r="EF47" i="3"/>
  <c r="FM46" i="3"/>
  <c r="ED48" i="3"/>
  <c r="FH47" i="3"/>
  <c r="FI47" i="3"/>
  <c r="FJ47" i="3"/>
  <c r="EX47" i="3"/>
  <c r="FL47" i="3"/>
  <c r="EY47" i="3"/>
  <c r="FB47" i="3"/>
  <c r="FC47" i="3"/>
  <c r="FE47" i="3"/>
  <c r="EO47" i="3"/>
  <c r="EG47" i="3"/>
  <c r="EP47" i="3"/>
  <c r="EH47" i="3"/>
  <c r="EQ47" i="3"/>
  <c r="FF47" i="3"/>
  <c r="EI47" i="3"/>
  <c r="ER47" i="3"/>
  <c r="EJ47" i="3"/>
  <c r="ES47" i="3"/>
  <c r="EK47" i="3"/>
  <c r="ET47" i="3"/>
  <c r="EL47" i="3"/>
  <c r="EU47" i="3"/>
  <c r="EM47" i="3"/>
  <c r="EV47" i="3"/>
  <c r="EN47" i="3"/>
  <c r="EZ47" i="3"/>
  <c r="FK47" i="3"/>
  <c r="FG47" i="3"/>
  <c r="FD47" i="3"/>
  <c r="EW47" i="3"/>
  <c r="FA47" i="3"/>
  <c r="EE48" i="3"/>
  <c r="M44" i="6"/>
  <c r="AM30" i="3"/>
  <c r="Z44" i="6"/>
  <c r="M43" i="6"/>
  <c r="AM29" i="3"/>
  <c r="Z43" i="6"/>
  <c r="M42" i="6"/>
  <c r="AM28" i="3"/>
  <c r="Z42" i="6"/>
  <c r="F26" i="4"/>
  <c r="HQ47" i="3" l="1"/>
  <c r="GH49" i="3"/>
  <c r="HK48" i="3"/>
  <c r="HL48" i="3"/>
  <c r="HM48" i="3"/>
  <c r="HN48" i="3"/>
  <c r="HO48" i="3"/>
  <c r="HJ48" i="3"/>
  <c r="HP48" i="3"/>
  <c r="HI48" i="3"/>
  <c r="HE48" i="3"/>
  <c r="GW48" i="3"/>
  <c r="HF48" i="3"/>
  <c r="GX48" i="3"/>
  <c r="HG48" i="3"/>
  <c r="GY48" i="3"/>
  <c r="HH48" i="3"/>
  <c r="GZ48" i="3"/>
  <c r="HA48" i="3"/>
  <c r="GS48" i="3"/>
  <c r="HB48" i="3"/>
  <c r="GT48" i="3"/>
  <c r="GM48" i="3"/>
  <c r="GN48" i="3"/>
  <c r="GL48" i="3"/>
  <c r="GO48" i="3"/>
  <c r="GP48" i="3"/>
  <c r="GK48" i="3"/>
  <c r="HC48" i="3"/>
  <c r="GU48" i="3"/>
  <c r="GQ48" i="3"/>
  <c r="HD48" i="3"/>
  <c r="GV48" i="3"/>
  <c r="GR48" i="3"/>
  <c r="GJ48" i="3"/>
  <c r="GI49" i="3"/>
  <c r="FM47" i="3"/>
  <c r="EF48" i="3"/>
  <c r="ED49" i="3"/>
  <c r="FE48" i="3"/>
  <c r="FF48" i="3"/>
  <c r="FH48" i="3"/>
  <c r="EX48" i="3"/>
  <c r="FI48" i="3"/>
  <c r="EY48" i="3"/>
  <c r="FJ48" i="3"/>
  <c r="FB48" i="3"/>
  <c r="FL48" i="3"/>
  <c r="FC48" i="3"/>
  <c r="EI48" i="3"/>
  <c r="ER48" i="3"/>
  <c r="EJ48" i="3"/>
  <c r="ES48" i="3"/>
  <c r="EK48" i="3"/>
  <c r="ET48" i="3"/>
  <c r="EL48" i="3"/>
  <c r="EU48" i="3"/>
  <c r="EM48" i="3"/>
  <c r="EV48" i="3"/>
  <c r="EN48" i="3"/>
  <c r="EO48" i="3"/>
  <c r="EG48" i="3"/>
  <c r="EP48" i="3"/>
  <c r="EH48" i="3"/>
  <c r="EQ48" i="3"/>
  <c r="FG48" i="3"/>
  <c r="FD48" i="3"/>
  <c r="FA48" i="3"/>
  <c r="EZ48" i="3"/>
  <c r="FK48" i="3"/>
  <c r="EW48" i="3"/>
  <c r="EE49" i="3"/>
  <c r="AH30" i="3"/>
  <c r="AH29" i="3"/>
  <c r="AH28" i="3"/>
  <c r="W42" i="6"/>
  <c r="W43" i="6"/>
  <c r="W44" i="6"/>
  <c r="C16" i="16"/>
  <c r="BS18" i="3" l="1"/>
  <c r="BS14" i="3"/>
  <c r="BS10" i="3"/>
  <c r="BS17" i="3"/>
  <c r="BS13" i="3"/>
  <c r="BS9" i="3"/>
  <c r="BS16" i="3"/>
  <c r="BS12" i="3"/>
  <c r="BS8" i="3"/>
  <c r="BS11" i="3"/>
  <c r="BS19" i="3"/>
  <c r="BS15" i="3"/>
  <c r="BI32" i="3"/>
  <c r="BI30" i="3"/>
  <c r="BI35" i="3"/>
  <c r="BI34" i="3"/>
  <c r="BI33" i="3"/>
  <c r="BI31" i="3"/>
  <c r="BR18" i="3"/>
  <c r="BR14" i="3"/>
  <c r="BR10" i="3"/>
  <c r="BR17" i="3"/>
  <c r="BR13" i="3"/>
  <c r="BR9" i="3"/>
  <c r="BR16" i="3"/>
  <c r="BR12" i="3"/>
  <c r="BR8" i="3"/>
  <c r="BR19" i="3"/>
  <c r="BR15" i="3"/>
  <c r="BR11" i="3"/>
  <c r="BH32" i="3"/>
  <c r="BH28" i="3"/>
  <c r="BH31" i="3"/>
  <c r="BH29" i="3"/>
  <c r="BH35" i="3"/>
  <c r="BH34" i="3"/>
  <c r="BH33" i="3"/>
  <c r="BH30" i="3"/>
  <c r="BH27" i="3"/>
  <c r="BT18" i="3"/>
  <c r="BT14" i="3"/>
  <c r="BT10" i="3"/>
  <c r="BT17" i="3"/>
  <c r="BT13" i="3"/>
  <c r="BT9" i="3"/>
  <c r="BT16" i="3"/>
  <c r="BT12" i="3"/>
  <c r="BT8" i="3"/>
  <c r="BT15" i="3"/>
  <c r="BT19" i="3"/>
  <c r="BT11" i="3"/>
  <c r="BJ28" i="3"/>
  <c r="BJ25" i="3"/>
  <c r="BJ33" i="3"/>
  <c r="BJ26" i="3"/>
  <c r="BJ35" i="3"/>
  <c r="BJ34" i="3"/>
  <c r="BJ24" i="3"/>
  <c r="BJ27" i="3"/>
  <c r="BJ29" i="3"/>
  <c r="HQ48" i="3"/>
  <c r="GH50" i="3"/>
  <c r="HO49" i="3"/>
  <c r="HN49" i="3"/>
  <c r="HP49" i="3"/>
  <c r="HI49" i="3"/>
  <c r="HJ49" i="3"/>
  <c r="HK49" i="3"/>
  <c r="HL49" i="3"/>
  <c r="HM49" i="3"/>
  <c r="HA49" i="3"/>
  <c r="GS49" i="3"/>
  <c r="HB49" i="3"/>
  <c r="GT49" i="3"/>
  <c r="HC49" i="3"/>
  <c r="GU49" i="3"/>
  <c r="HD49" i="3"/>
  <c r="GV49" i="3"/>
  <c r="HE49" i="3"/>
  <c r="GW49" i="3"/>
  <c r="HF49" i="3"/>
  <c r="GX49" i="3"/>
  <c r="GQ49" i="3"/>
  <c r="GR49" i="3"/>
  <c r="GO49" i="3"/>
  <c r="GP49" i="3"/>
  <c r="HG49" i="3"/>
  <c r="GY49" i="3"/>
  <c r="GK49" i="3"/>
  <c r="HH49" i="3"/>
  <c r="GZ49" i="3"/>
  <c r="GL49" i="3"/>
  <c r="GM49" i="3"/>
  <c r="GN49" i="3"/>
  <c r="GJ49" i="3"/>
  <c r="GI50" i="3"/>
  <c r="EF49" i="3"/>
  <c r="FM48" i="3"/>
  <c r="ED50" i="3"/>
  <c r="FH49" i="3"/>
  <c r="FA49" i="3"/>
  <c r="FI49" i="3"/>
  <c r="FC49" i="3"/>
  <c r="FJ49" i="3"/>
  <c r="FL49" i="3"/>
  <c r="FE49" i="3"/>
  <c r="EW49" i="3"/>
  <c r="EM49" i="3"/>
  <c r="EV49" i="3"/>
  <c r="EY49" i="3"/>
  <c r="EN49" i="3"/>
  <c r="FF49" i="3"/>
  <c r="EO49" i="3"/>
  <c r="EG49" i="3"/>
  <c r="EP49" i="3"/>
  <c r="EH49" i="3"/>
  <c r="EQ49" i="3"/>
  <c r="EI49" i="3"/>
  <c r="ER49" i="3"/>
  <c r="EJ49" i="3"/>
  <c r="ES49" i="3"/>
  <c r="EK49" i="3"/>
  <c r="ET49" i="3"/>
  <c r="EL49" i="3"/>
  <c r="EU49" i="3"/>
  <c r="FB49" i="3"/>
  <c r="EX49" i="3"/>
  <c r="EZ49" i="3"/>
  <c r="FK49" i="3"/>
  <c r="FG49" i="3"/>
  <c r="FD49" i="3"/>
  <c r="EE50" i="3"/>
  <c r="AK30" i="3"/>
  <c r="AK29" i="3"/>
  <c r="AK28" i="3"/>
  <c r="T45" i="14"/>
  <c r="L45" i="14"/>
  <c r="AM47" i="3" s="1"/>
  <c r="T44" i="14"/>
  <c r="L44" i="14"/>
  <c r="T40" i="14"/>
  <c r="L40" i="14"/>
  <c r="AM42" i="3" s="1"/>
  <c r="T39" i="14"/>
  <c r="L39" i="14"/>
  <c r="AM41" i="3" s="1"/>
  <c r="T38" i="14"/>
  <c r="L38" i="14"/>
  <c r="L22" i="7"/>
  <c r="L21" i="7"/>
  <c r="L20" i="7"/>
  <c r="L19" i="7"/>
  <c r="L18" i="7"/>
  <c r="L17" i="7"/>
  <c r="L16" i="7"/>
  <c r="L15" i="7"/>
  <c r="L14" i="7"/>
  <c r="L13" i="7"/>
  <c r="L12" i="7"/>
  <c r="L11" i="7"/>
  <c r="G11" i="7"/>
  <c r="E22" i="7"/>
  <c r="E21" i="7"/>
  <c r="E20" i="7"/>
  <c r="E19" i="7"/>
  <c r="E18" i="7"/>
  <c r="E17" i="7"/>
  <c r="E16" i="7"/>
  <c r="E15" i="7"/>
  <c r="E14" i="7"/>
  <c r="E13" i="7"/>
  <c r="E12" i="7"/>
  <c r="HQ49" i="3" l="1"/>
  <c r="GH51" i="3"/>
  <c r="HI50" i="3"/>
  <c r="HJ50" i="3"/>
  <c r="HK50" i="3"/>
  <c r="HL50" i="3"/>
  <c r="HM50" i="3"/>
  <c r="HN50" i="3"/>
  <c r="HO50" i="3"/>
  <c r="HP50" i="3"/>
  <c r="HA50" i="3"/>
  <c r="GS50" i="3"/>
  <c r="HB50" i="3"/>
  <c r="GT50" i="3"/>
  <c r="HC50" i="3"/>
  <c r="GU50" i="3"/>
  <c r="HD50" i="3"/>
  <c r="GV50" i="3"/>
  <c r="HE50" i="3"/>
  <c r="GW50" i="3"/>
  <c r="HF50" i="3"/>
  <c r="GX50" i="3"/>
  <c r="HG50" i="3"/>
  <c r="GY50" i="3"/>
  <c r="HH50" i="3"/>
  <c r="GZ50" i="3"/>
  <c r="GK50" i="3"/>
  <c r="GL50" i="3"/>
  <c r="GM50" i="3"/>
  <c r="GN50" i="3"/>
  <c r="GO50" i="3"/>
  <c r="GP50" i="3"/>
  <c r="GQ50" i="3"/>
  <c r="GR50" i="3"/>
  <c r="GI51" i="3"/>
  <c r="GJ50" i="3"/>
  <c r="EF50" i="3"/>
  <c r="FM49" i="3"/>
  <c r="ED51" i="3"/>
  <c r="EW50" i="3"/>
  <c r="EY50" i="3"/>
  <c r="FE50" i="3"/>
  <c r="FA50" i="3"/>
  <c r="FF50" i="3"/>
  <c r="FC50" i="3"/>
  <c r="FH50" i="3"/>
  <c r="FI50" i="3"/>
  <c r="FJ50" i="3"/>
  <c r="FL50" i="3"/>
  <c r="EO50" i="3"/>
  <c r="EG50" i="3"/>
  <c r="EP50" i="3"/>
  <c r="EH50" i="3"/>
  <c r="EQ50" i="3"/>
  <c r="EI50" i="3"/>
  <c r="ER50" i="3"/>
  <c r="EJ50" i="3"/>
  <c r="ES50" i="3"/>
  <c r="EK50" i="3"/>
  <c r="ET50" i="3"/>
  <c r="EL50" i="3"/>
  <c r="EU50" i="3"/>
  <c r="EM50" i="3"/>
  <c r="EV50" i="3"/>
  <c r="EN50" i="3"/>
  <c r="FB50" i="3"/>
  <c r="EX50" i="3"/>
  <c r="EZ50" i="3"/>
  <c r="FK50" i="3"/>
  <c r="FG50" i="3"/>
  <c r="FD50" i="3"/>
  <c r="EE51" i="3"/>
  <c r="M44" i="14"/>
  <c r="AM46" i="3"/>
  <c r="Z44" i="14"/>
  <c r="M38" i="14"/>
  <c r="W38" i="14" s="1"/>
  <c r="AM40" i="3"/>
  <c r="M40" i="14"/>
  <c r="Z45" i="14"/>
  <c r="M39" i="14"/>
  <c r="Z39" i="14"/>
  <c r="Z40" i="14"/>
  <c r="Z38" i="14"/>
  <c r="M45" i="14"/>
  <c r="HQ50" i="3" l="1"/>
  <c r="GH52" i="3"/>
  <c r="HK51" i="3"/>
  <c r="HL51" i="3"/>
  <c r="HM51" i="3"/>
  <c r="HN51" i="3"/>
  <c r="HO51" i="3"/>
  <c r="HJ51" i="3"/>
  <c r="HP51" i="3"/>
  <c r="HI51" i="3"/>
  <c r="HE51" i="3"/>
  <c r="GW51" i="3"/>
  <c r="HF51" i="3"/>
  <c r="GX51" i="3"/>
  <c r="HG51" i="3"/>
  <c r="GY51" i="3"/>
  <c r="HH51" i="3"/>
  <c r="GZ51" i="3"/>
  <c r="HA51" i="3"/>
  <c r="GS51" i="3"/>
  <c r="HB51" i="3"/>
  <c r="GT51" i="3"/>
  <c r="GM51" i="3"/>
  <c r="GN51" i="3"/>
  <c r="GO51" i="3"/>
  <c r="GP51" i="3"/>
  <c r="GQ51" i="3"/>
  <c r="GR51" i="3"/>
  <c r="GL51" i="3"/>
  <c r="GK51" i="3"/>
  <c r="HC51" i="3"/>
  <c r="GU51" i="3"/>
  <c r="HD51" i="3"/>
  <c r="GV51" i="3"/>
  <c r="GI52" i="3"/>
  <c r="GJ51" i="3"/>
  <c r="EF51" i="3"/>
  <c r="FM50" i="3"/>
  <c r="ED52" i="3"/>
  <c r="FH51" i="3"/>
  <c r="FI51" i="3"/>
  <c r="FJ51" i="3"/>
  <c r="FL51" i="3"/>
  <c r="EW51" i="3"/>
  <c r="EY51" i="3"/>
  <c r="FA51" i="3"/>
  <c r="FC51" i="3"/>
  <c r="FE51" i="3"/>
  <c r="EI51" i="3"/>
  <c r="ER51" i="3"/>
  <c r="EJ51" i="3"/>
  <c r="ES51" i="3"/>
  <c r="EK51" i="3"/>
  <c r="ET51" i="3"/>
  <c r="EL51" i="3"/>
  <c r="EU51" i="3"/>
  <c r="EM51" i="3"/>
  <c r="EV51" i="3"/>
  <c r="EN51" i="3"/>
  <c r="FF51" i="3"/>
  <c r="EO51" i="3"/>
  <c r="EG51" i="3"/>
  <c r="EP51" i="3"/>
  <c r="EH51" i="3"/>
  <c r="EQ51" i="3"/>
  <c r="FG51" i="3"/>
  <c r="FD51" i="3"/>
  <c r="EX51" i="3"/>
  <c r="EZ51" i="3"/>
  <c r="FK51" i="3"/>
  <c r="FB51" i="3"/>
  <c r="EE52" i="3"/>
  <c r="W44" i="14"/>
  <c r="AH46" i="3"/>
  <c r="AH41" i="3"/>
  <c r="AH42" i="3"/>
  <c r="AH47" i="3"/>
  <c r="AH40" i="3"/>
  <c r="W40" i="14"/>
  <c r="W45" i="14"/>
  <c r="W39" i="14"/>
  <c r="BT35" i="3" l="1"/>
  <c r="BT31" i="3"/>
  <c r="BT27" i="3"/>
  <c r="BT32" i="3"/>
  <c r="BT34" i="3"/>
  <c r="BT30" i="3"/>
  <c r="BT26" i="3"/>
  <c r="BT28" i="3"/>
  <c r="BT33" i="3"/>
  <c r="BT29" i="3"/>
  <c r="BT25" i="3"/>
  <c r="BT24" i="3"/>
  <c r="BJ51" i="3"/>
  <c r="BJ44" i="3"/>
  <c r="BJ42" i="3"/>
  <c r="BJ49" i="3"/>
  <c r="BJ50" i="3"/>
  <c r="BJ45" i="3"/>
  <c r="BJ41" i="3"/>
  <c r="BJ43" i="3"/>
  <c r="BJ40" i="3"/>
  <c r="BU35" i="3"/>
  <c r="BU31" i="3"/>
  <c r="BU27" i="3"/>
  <c r="BU34" i="3"/>
  <c r="BU30" i="3"/>
  <c r="BU26" i="3"/>
  <c r="BU32" i="3"/>
  <c r="BU24" i="3"/>
  <c r="BU33" i="3"/>
  <c r="BU29" i="3"/>
  <c r="BU25" i="3"/>
  <c r="BU28" i="3"/>
  <c r="BK42" i="3"/>
  <c r="BK44" i="3"/>
  <c r="BK45" i="3"/>
  <c r="BK41" i="3"/>
  <c r="BK43" i="3"/>
  <c r="BK40" i="3"/>
  <c r="BP34" i="3"/>
  <c r="BP30" i="3"/>
  <c r="BP26" i="3"/>
  <c r="BP32" i="3"/>
  <c r="BP24" i="3"/>
  <c r="BP35" i="3"/>
  <c r="BP27" i="3"/>
  <c r="BP33" i="3"/>
  <c r="BP29" i="3"/>
  <c r="BP25" i="3"/>
  <c r="BP28" i="3"/>
  <c r="BP31" i="3"/>
  <c r="BF51" i="3"/>
  <c r="BF42" i="3"/>
  <c r="BF50" i="3"/>
  <c r="BF45" i="3"/>
  <c r="BF41" i="3"/>
  <c r="BF49" i="3"/>
  <c r="BF40" i="3"/>
  <c r="BF44" i="3"/>
  <c r="BF43" i="3"/>
  <c r="BO34" i="3"/>
  <c r="BO30" i="3"/>
  <c r="BO31" i="3"/>
  <c r="BO33" i="3"/>
  <c r="BO32" i="3"/>
  <c r="BO35" i="3"/>
  <c r="BE48" i="3"/>
  <c r="BE47" i="3"/>
  <c r="BE49" i="3"/>
  <c r="BE46" i="3"/>
  <c r="BE50" i="3"/>
  <c r="BE51" i="3"/>
  <c r="BN34" i="3"/>
  <c r="BN35" i="3"/>
  <c r="BN33" i="3"/>
  <c r="BD50" i="3"/>
  <c r="BD46" i="3"/>
  <c r="BD44" i="3"/>
  <c r="BD51" i="3"/>
  <c r="BD49" i="3"/>
  <c r="BD45" i="3"/>
  <c r="BD48" i="3"/>
  <c r="BD47" i="3"/>
  <c r="BD43" i="3"/>
  <c r="HQ51" i="3"/>
  <c r="GH53" i="3"/>
  <c r="HN52" i="3"/>
  <c r="HO52" i="3"/>
  <c r="HP52" i="3"/>
  <c r="HM52" i="3"/>
  <c r="HI52" i="3"/>
  <c r="HJ52" i="3"/>
  <c r="HK52" i="3"/>
  <c r="HL52" i="3"/>
  <c r="HA52" i="3"/>
  <c r="GS52" i="3"/>
  <c r="HB52" i="3"/>
  <c r="GT52" i="3"/>
  <c r="HC52" i="3"/>
  <c r="GU52" i="3"/>
  <c r="HD52" i="3"/>
  <c r="GV52" i="3"/>
  <c r="HE52" i="3"/>
  <c r="GW52" i="3"/>
  <c r="HF52" i="3"/>
  <c r="GX52" i="3"/>
  <c r="GQ52" i="3"/>
  <c r="GP52" i="3"/>
  <c r="GR52" i="3"/>
  <c r="HG52" i="3"/>
  <c r="GY52" i="3"/>
  <c r="GO52" i="3"/>
  <c r="HH52" i="3"/>
  <c r="GZ52" i="3"/>
  <c r="GK52" i="3"/>
  <c r="GL52" i="3"/>
  <c r="GM52" i="3"/>
  <c r="GN52" i="3"/>
  <c r="GI53" i="3"/>
  <c r="GJ52" i="3"/>
  <c r="EF52" i="3"/>
  <c r="FM51" i="3"/>
  <c r="ED53" i="3"/>
  <c r="EZ52" i="3"/>
  <c r="FA52" i="3"/>
  <c r="FC52" i="3"/>
  <c r="FD52" i="3"/>
  <c r="FE52" i="3"/>
  <c r="FF52" i="3"/>
  <c r="FI52" i="3"/>
  <c r="FJ52" i="3"/>
  <c r="EW52" i="3"/>
  <c r="EM52" i="3"/>
  <c r="EV52" i="3"/>
  <c r="EN52" i="3"/>
  <c r="EY52" i="3"/>
  <c r="EO52" i="3"/>
  <c r="EG52" i="3"/>
  <c r="EP52" i="3"/>
  <c r="EH52" i="3"/>
  <c r="EQ52" i="3"/>
  <c r="EI52" i="3"/>
  <c r="ER52" i="3"/>
  <c r="EJ52" i="3"/>
  <c r="ES52" i="3"/>
  <c r="EK52" i="3"/>
  <c r="ET52" i="3"/>
  <c r="EL52" i="3"/>
  <c r="EU52" i="3"/>
  <c r="EX52" i="3"/>
  <c r="FB52" i="3"/>
  <c r="FK52" i="3"/>
  <c r="FH52" i="3"/>
  <c r="FL52" i="3"/>
  <c r="FG52" i="3"/>
  <c r="EE53" i="3"/>
  <c r="AK41" i="3"/>
  <c r="AK46" i="3"/>
  <c r="AK42" i="3"/>
  <c r="AK47" i="3"/>
  <c r="AK40" i="3"/>
  <c r="E39" i="4"/>
  <c r="H33" i="4"/>
  <c r="I33" i="4"/>
  <c r="J33" i="4"/>
  <c r="K33" i="4"/>
  <c r="L33" i="4"/>
  <c r="M33" i="4"/>
  <c r="N33" i="4"/>
  <c r="O33" i="4"/>
  <c r="P33" i="4"/>
  <c r="Q33" i="4"/>
  <c r="R33" i="4"/>
  <c r="G33" i="4"/>
  <c r="F33" i="4"/>
  <c r="H31" i="4"/>
  <c r="I31" i="4"/>
  <c r="J31" i="4"/>
  <c r="K31" i="4"/>
  <c r="L31" i="4"/>
  <c r="M31" i="4"/>
  <c r="N31" i="4"/>
  <c r="O31" i="4"/>
  <c r="P31" i="4"/>
  <c r="Q31" i="4"/>
  <c r="R31" i="4"/>
  <c r="G31" i="4"/>
  <c r="F31" i="4"/>
  <c r="F29" i="4"/>
  <c r="H29" i="4"/>
  <c r="I29" i="4"/>
  <c r="J29" i="4"/>
  <c r="K29" i="4"/>
  <c r="L29" i="4"/>
  <c r="M29" i="4"/>
  <c r="N29" i="4"/>
  <c r="O29" i="4"/>
  <c r="P29" i="4"/>
  <c r="Q29" i="4"/>
  <c r="R29" i="4"/>
  <c r="G29" i="4"/>
  <c r="G27" i="4"/>
  <c r="H27" i="4"/>
  <c r="I27" i="4"/>
  <c r="J27" i="4"/>
  <c r="K27" i="4"/>
  <c r="L27" i="4"/>
  <c r="M27" i="4"/>
  <c r="N27" i="4"/>
  <c r="O27" i="4"/>
  <c r="P27" i="4"/>
  <c r="Q27" i="4"/>
  <c r="R27" i="4"/>
  <c r="F21" i="4"/>
  <c r="F27" i="4" s="1"/>
  <c r="F22" i="4"/>
  <c r="F24" i="4" s="1"/>
  <c r="BV35" i="3" l="1"/>
  <c r="BV33" i="3"/>
  <c r="BV34" i="3"/>
  <c r="HQ52" i="3"/>
  <c r="GH54" i="3"/>
  <c r="HI53" i="3"/>
  <c r="HJ53" i="3"/>
  <c r="HK53" i="3"/>
  <c r="HP53" i="3"/>
  <c r="HL53" i="3"/>
  <c r="HM53" i="3"/>
  <c r="HN53" i="3"/>
  <c r="HO53" i="3"/>
  <c r="HA53" i="3"/>
  <c r="GS53" i="3"/>
  <c r="HB53" i="3"/>
  <c r="GT53" i="3"/>
  <c r="HC53" i="3"/>
  <c r="GU53" i="3"/>
  <c r="HD53" i="3"/>
  <c r="GV53" i="3"/>
  <c r="HE53" i="3"/>
  <c r="GW53" i="3"/>
  <c r="HF53" i="3"/>
  <c r="GX53" i="3"/>
  <c r="HG53" i="3"/>
  <c r="GY53" i="3"/>
  <c r="HH53" i="3"/>
  <c r="GZ53" i="3"/>
  <c r="GK53" i="3"/>
  <c r="GL53" i="3"/>
  <c r="GM53" i="3"/>
  <c r="GN53" i="3"/>
  <c r="GO53" i="3"/>
  <c r="GP53" i="3"/>
  <c r="GQ53" i="3"/>
  <c r="GR53" i="3"/>
  <c r="GI54" i="3"/>
  <c r="GJ53" i="3"/>
  <c r="EF53" i="3"/>
  <c r="FM52" i="3"/>
  <c r="ED54" i="3"/>
  <c r="EW53" i="3"/>
  <c r="EY53" i="3"/>
  <c r="EZ53" i="3"/>
  <c r="FA53" i="3"/>
  <c r="FE53" i="3"/>
  <c r="FC53" i="3"/>
  <c r="FF53" i="3"/>
  <c r="FD53" i="3"/>
  <c r="FI53" i="3"/>
  <c r="EO53" i="3"/>
  <c r="EG53" i="3"/>
  <c r="EP53" i="3"/>
  <c r="EH53" i="3"/>
  <c r="EQ53" i="3"/>
  <c r="EI53" i="3"/>
  <c r="ER53" i="3"/>
  <c r="EJ53" i="3"/>
  <c r="ES53" i="3"/>
  <c r="EK53" i="3"/>
  <c r="ET53" i="3"/>
  <c r="FJ53" i="3"/>
  <c r="EL53" i="3"/>
  <c r="EU53" i="3"/>
  <c r="EM53" i="3"/>
  <c r="EV53" i="3"/>
  <c r="EN53" i="3"/>
  <c r="FH53" i="3"/>
  <c r="FB53" i="3"/>
  <c r="EX53" i="3"/>
  <c r="FK53" i="3"/>
  <c r="FL53" i="3"/>
  <c r="FG53" i="3"/>
  <c r="EE54" i="3"/>
  <c r="D45" i="4"/>
  <c r="D43" i="4"/>
  <c r="D41" i="4"/>
  <c r="D39" i="4"/>
  <c r="L32" i="4"/>
  <c r="H34" i="4"/>
  <c r="F23" i="4"/>
  <c r="H30" i="4"/>
  <c r="N30" i="4"/>
  <c r="R32" i="4"/>
  <c r="J32" i="4"/>
  <c r="N34" i="4"/>
  <c r="L30" i="4"/>
  <c r="P32" i="4"/>
  <c r="H32" i="4"/>
  <c r="L34" i="4"/>
  <c r="O30" i="4"/>
  <c r="I32" i="4"/>
  <c r="K30" i="4"/>
  <c r="O32" i="4"/>
  <c r="G34" i="4"/>
  <c r="K34" i="4"/>
  <c r="K32" i="4"/>
  <c r="G30" i="4"/>
  <c r="J30" i="4"/>
  <c r="N32" i="4"/>
  <c r="R34" i="4"/>
  <c r="J34" i="4"/>
  <c r="Q32" i="4"/>
  <c r="R30" i="4"/>
  <c r="I30" i="4"/>
  <c r="M32" i="4"/>
  <c r="Q34" i="4"/>
  <c r="I34" i="4"/>
  <c r="G32" i="4"/>
  <c r="O34" i="4"/>
  <c r="M30" i="4"/>
  <c r="M34" i="4"/>
  <c r="Q30" i="4"/>
  <c r="P34" i="4"/>
  <c r="P30" i="4"/>
  <c r="Q28" i="4"/>
  <c r="G28" i="4"/>
  <c r="R28" i="4"/>
  <c r="P28" i="4"/>
  <c r="O28" i="4"/>
  <c r="N28" i="4"/>
  <c r="K28" i="4"/>
  <c r="J28" i="4"/>
  <c r="L28" i="4"/>
  <c r="H28" i="4"/>
  <c r="I28" i="4"/>
  <c r="M28" i="4"/>
  <c r="HQ53" i="3" l="1"/>
  <c r="GH55" i="3"/>
  <c r="HI54" i="3"/>
  <c r="HJ54" i="3"/>
  <c r="HK54" i="3"/>
  <c r="HL54" i="3"/>
  <c r="HM54" i="3"/>
  <c r="HN54" i="3"/>
  <c r="HO54" i="3"/>
  <c r="HP54" i="3"/>
  <c r="HE54" i="3"/>
  <c r="GW54" i="3"/>
  <c r="HF54" i="3"/>
  <c r="GX54" i="3"/>
  <c r="HG54" i="3"/>
  <c r="GY54" i="3"/>
  <c r="HH54" i="3"/>
  <c r="GZ54" i="3"/>
  <c r="HA54" i="3"/>
  <c r="GS54" i="3"/>
  <c r="HB54" i="3"/>
  <c r="GT54" i="3"/>
  <c r="HC54" i="3"/>
  <c r="GU54" i="3"/>
  <c r="GM54" i="3"/>
  <c r="HD54" i="3"/>
  <c r="GV54" i="3"/>
  <c r="GN54" i="3"/>
  <c r="GL54" i="3"/>
  <c r="GO54" i="3"/>
  <c r="GP54" i="3"/>
  <c r="GQ54" i="3"/>
  <c r="GR54" i="3"/>
  <c r="GK54" i="3"/>
  <c r="GI55" i="3"/>
  <c r="GJ54" i="3"/>
  <c r="EF54" i="3"/>
  <c r="FM53" i="3"/>
  <c r="ED55" i="3"/>
  <c r="FE54" i="3"/>
  <c r="EZ54" i="3"/>
  <c r="FF54" i="3"/>
  <c r="FA54" i="3"/>
  <c r="FI54" i="3"/>
  <c r="FC54" i="3"/>
  <c r="FJ54" i="3"/>
  <c r="FD54" i="3"/>
  <c r="EW54" i="3"/>
  <c r="EI54" i="3"/>
  <c r="ER54" i="3"/>
  <c r="EJ54" i="3"/>
  <c r="ES54" i="3"/>
  <c r="EK54" i="3"/>
  <c r="ET54" i="3"/>
  <c r="EY54" i="3"/>
  <c r="EL54" i="3"/>
  <c r="EU54" i="3"/>
  <c r="EM54" i="3"/>
  <c r="EV54" i="3"/>
  <c r="EN54" i="3"/>
  <c r="EO54" i="3"/>
  <c r="EG54" i="3"/>
  <c r="EP54" i="3"/>
  <c r="EH54" i="3"/>
  <c r="EQ54" i="3"/>
  <c r="FK54" i="3"/>
  <c r="FB54" i="3"/>
  <c r="FH54" i="3"/>
  <c r="FG54" i="3"/>
  <c r="FL54" i="3"/>
  <c r="EX54" i="3"/>
  <c r="EE55" i="3"/>
  <c r="C43" i="4"/>
  <c r="C41" i="4"/>
  <c r="C45" i="4"/>
  <c r="C39" i="4"/>
  <c r="H94" i="7"/>
  <c r="G94" i="7"/>
  <c r="E94" i="7"/>
  <c r="H93" i="7"/>
  <c r="G93" i="7"/>
  <c r="E93" i="7"/>
  <c r="H92" i="7"/>
  <c r="G92" i="7"/>
  <c r="E92" i="7"/>
  <c r="H91" i="7"/>
  <c r="G91" i="7"/>
  <c r="E91" i="7"/>
  <c r="H90" i="7"/>
  <c r="G90" i="7"/>
  <c r="E90" i="7"/>
  <c r="H89" i="7"/>
  <c r="G89" i="7"/>
  <c r="E89" i="7"/>
  <c r="H88" i="7"/>
  <c r="G88" i="7"/>
  <c r="E88" i="7"/>
  <c r="H87" i="7"/>
  <c r="G87" i="7"/>
  <c r="E87" i="7"/>
  <c r="H86" i="7"/>
  <c r="G86" i="7"/>
  <c r="E86" i="7"/>
  <c r="H85" i="7"/>
  <c r="G85" i="7"/>
  <c r="E85" i="7"/>
  <c r="H84" i="7"/>
  <c r="G84" i="7"/>
  <c r="E84" i="7"/>
  <c r="H83" i="7"/>
  <c r="G83" i="7"/>
  <c r="E83" i="7"/>
  <c r="H70" i="7"/>
  <c r="G70" i="7"/>
  <c r="E70" i="7"/>
  <c r="H69" i="7"/>
  <c r="G69" i="7"/>
  <c r="E69" i="7"/>
  <c r="H68" i="7"/>
  <c r="G68" i="7"/>
  <c r="E68" i="7"/>
  <c r="H67" i="7"/>
  <c r="G67" i="7"/>
  <c r="E67" i="7"/>
  <c r="H66" i="7"/>
  <c r="G66" i="7"/>
  <c r="E66" i="7"/>
  <c r="H65" i="7"/>
  <c r="G65" i="7"/>
  <c r="E65" i="7"/>
  <c r="H64" i="7"/>
  <c r="G64" i="7"/>
  <c r="E64" i="7"/>
  <c r="H63" i="7"/>
  <c r="G63" i="7"/>
  <c r="E63" i="7"/>
  <c r="H62" i="7"/>
  <c r="G62" i="7"/>
  <c r="E62" i="7"/>
  <c r="H61" i="7"/>
  <c r="G61" i="7"/>
  <c r="E61" i="7"/>
  <c r="H60" i="7"/>
  <c r="G60" i="7"/>
  <c r="E60" i="7"/>
  <c r="H59" i="7"/>
  <c r="G59" i="7"/>
  <c r="E59" i="7"/>
  <c r="H46" i="7"/>
  <c r="G46" i="7"/>
  <c r="E46" i="7"/>
  <c r="H45" i="7"/>
  <c r="G45" i="7"/>
  <c r="E45" i="7"/>
  <c r="H44" i="7"/>
  <c r="G44" i="7"/>
  <c r="E44" i="7"/>
  <c r="H43" i="7"/>
  <c r="G43" i="7"/>
  <c r="E43" i="7"/>
  <c r="H42" i="7"/>
  <c r="G42" i="7"/>
  <c r="E42" i="7"/>
  <c r="H41" i="7"/>
  <c r="G41" i="7"/>
  <c r="E41" i="7"/>
  <c r="H40" i="7"/>
  <c r="G40" i="7"/>
  <c r="E40" i="7"/>
  <c r="H39" i="7"/>
  <c r="G39" i="7"/>
  <c r="E39" i="7"/>
  <c r="H38" i="7"/>
  <c r="G38" i="7"/>
  <c r="E38" i="7"/>
  <c r="H37" i="7"/>
  <c r="G37" i="7"/>
  <c r="E37" i="7"/>
  <c r="H36" i="7"/>
  <c r="G36" i="7"/>
  <c r="E36" i="7"/>
  <c r="H35" i="7"/>
  <c r="G35" i="7"/>
  <c r="E35" i="7"/>
  <c r="T45" i="16"/>
  <c r="L45" i="16"/>
  <c r="AM79" i="3" s="1"/>
  <c r="T44" i="16"/>
  <c r="L44" i="16"/>
  <c r="AM78" i="3" s="1"/>
  <c r="T40" i="16"/>
  <c r="L40" i="16"/>
  <c r="AM74" i="3" s="1"/>
  <c r="T39" i="16"/>
  <c r="L39" i="16"/>
  <c r="AM73" i="3" s="1"/>
  <c r="T38" i="16"/>
  <c r="L38" i="16"/>
  <c r="AM72" i="3" s="1"/>
  <c r="T31" i="16"/>
  <c r="L31" i="16"/>
  <c r="T30" i="16"/>
  <c r="L30" i="16"/>
  <c r="T29" i="16"/>
  <c r="L29" i="16"/>
  <c r="D92" i="7" s="1"/>
  <c r="T28" i="16"/>
  <c r="L28" i="16"/>
  <c r="T27" i="16"/>
  <c r="L27" i="16"/>
  <c r="T26" i="16"/>
  <c r="L26" i="16"/>
  <c r="T25" i="16"/>
  <c r="L25" i="16"/>
  <c r="T24" i="16"/>
  <c r="L24" i="16"/>
  <c r="T23" i="16"/>
  <c r="L23" i="16"/>
  <c r="T22" i="16"/>
  <c r="L22" i="16"/>
  <c r="T21" i="16"/>
  <c r="L21" i="16"/>
  <c r="T20" i="16"/>
  <c r="L20" i="16"/>
  <c r="F15" i="16"/>
  <c r="C16" i="15"/>
  <c r="C8" i="15"/>
  <c r="T45" i="15"/>
  <c r="L45" i="15"/>
  <c r="AM63" i="3" s="1"/>
  <c r="T44" i="15"/>
  <c r="L44" i="15"/>
  <c r="T40" i="15"/>
  <c r="L40" i="15"/>
  <c r="AM58" i="3" s="1"/>
  <c r="T39" i="15"/>
  <c r="L39" i="15"/>
  <c r="T38" i="15"/>
  <c r="L38" i="15"/>
  <c r="AM56" i="3" s="1"/>
  <c r="T31" i="15"/>
  <c r="L31" i="15"/>
  <c r="D70" i="7" s="1"/>
  <c r="T30" i="15"/>
  <c r="L30" i="15"/>
  <c r="D69" i="7" s="1"/>
  <c r="T29" i="15"/>
  <c r="L29" i="15"/>
  <c r="D68" i="7" s="1"/>
  <c r="T28" i="15"/>
  <c r="L28" i="15"/>
  <c r="T27" i="15"/>
  <c r="L27" i="15"/>
  <c r="D66" i="7" s="1"/>
  <c r="T26" i="15"/>
  <c r="L26" i="15"/>
  <c r="D65" i="7" s="1"/>
  <c r="T25" i="15"/>
  <c r="L25" i="15"/>
  <c r="T24" i="15"/>
  <c r="L24" i="15"/>
  <c r="D63" i="7" s="1"/>
  <c r="T23" i="15"/>
  <c r="L23" i="15"/>
  <c r="T22" i="15"/>
  <c r="L22" i="15"/>
  <c r="D61" i="7" s="1"/>
  <c r="T21" i="15"/>
  <c r="L21" i="15"/>
  <c r="D60" i="7" s="1"/>
  <c r="T20" i="15"/>
  <c r="L20" i="15"/>
  <c r="F15" i="15"/>
  <c r="P52" i="16" l="1"/>
  <c r="P52" i="15"/>
  <c r="D50" i="15"/>
  <c r="D50" i="16"/>
  <c r="HQ54" i="3"/>
  <c r="GH56" i="3"/>
  <c r="HM55" i="3"/>
  <c r="HN55" i="3"/>
  <c r="HO55" i="3"/>
  <c r="HP55" i="3"/>
  <c r="HL55" i="3"/>
  <c r="HI55" i="3"/>
  <c r="HJ55" i="3"/>
  <c r="HK55" i="3"/>
  <c r="HA55" i="3"/>
  <c r="GS55" i="3"/>
  <c r="HB55" i="3"/>
  <c r="GT55" i="3"/>
  <c r="HC55" i="3"/>
  <c r="GU55" i="3"/>
  <c r="HD55" i="3"/>
  <c r="GV55" i="3"/>
  <c r="HE55" i="3"/>
  <c r="GW55" i="3"/>
  <c r="HF55" i="3"/>
  <c r="GX55" i="3"/>
  <c r="GQ55" i="3"/>
  <c r="GR55" i="3"/>
  <c r="HG55" i="3"/>
  <c r="GY55" i="3"/>
  <c r="GO55" i="3"/>
  <c r="HH55" i="3"/>
  <c r="GZ55" i="3"/>
  <c r="GP55" i="3"/>
  <c r="GK55" i="3"/>
  <c r="GL55" i="3"/>
  <c r="GM55" i="3"/>
  <c r="GN55" i="3"/>
  <c r="GI56" i="3"/>
  <c r="GJ55" i="3"/>
  <c r="EF55" i="3"/>
  <c r="FM54" i="3"/>
  <c r="ED56" i="3"/>
  <c r="FF55" i="3"/>
  <c r="EW55" i="3"/>
  <c r="FJ55" i="3"/>
  <c r="EX55" i="3"/>
  <c r="EY55" i="3"/>
  <c r="EZ55" i="3"/>
  <c r="FA55" i="3"/>
  <c r="FB55" i="3"/>
  <c r="FC55" i="3"/>
  <c r="EM55" i="3"/>
  <c r="EV55" i="3"/>
  <c r="EN55" i="3"/>
  <c r="FD55" i="3"/>
  <c r="EO55" i="3"/>
  <c r="EG55" i="3"/>
  <c r="EP55" i="3"/>
  <c r="EH55" i="3"/>
  <c r="EQ55" i="3"/>
  <c r="EI55" i="3"/>
  <c r="ER55" i="3"/>
  <c r="EJ55" i="3"/>
  <c r="ES55" i="3"/>
  <c r="EK55" i="3"/>
  <c r="ET55" i="3"/>
  <c r="EL55" i="3"/>
  <c r="EU55" i="3"/>
  <c r="FG55" i="3"/>
  <c r="FI55" i="3"/>
  <c r="FE55" i="3"/>
  <c r="FL55" i="3"/>
  <c r="FK55" i="3"/>
  <c r="FH55" i="3"/>
  <c r="EE56" i="3"/>
  <c r="F25" i="4"/>
  <c r="B9" i="4" s="1"/>
  <c r="H9" i="4" s="1"/>
  <c r="Z23" i="15"/>
  <c r="D62" i="7"/>
  <c r="M44" i="15"/>
  <c r="AM62" i="3"/>
  <c r="M20" i="15"/>
  <c r="W20" i="15" s="1"/>
  <c r="D59" i="7"/>
  <c r="M28" i="15"/>
  <c r="W28" i="15" s="1"/>
  <c r="D67" i="7"/>
  <c r="M25" i="15"/>
  <c r="W25" i="15" s="1"/>
  <c r="D64" i="7"/>
  <c r="M39" i="15"/>
  <c r="AM57" i="3"/>
  <c r="Z20" i="16"/>
  <c r="D83" i="7"/>
  <c r="M24" i="16"/>
  <c r="W24" i="16" s="1"/>
  <c r="D87" i="7"/>
  <c r="M28" i="16"/>
  <c r="W28" i="16" s="1"/>
  <c r="D91" i="7"/>
  <c r="Z21" i="16"/>
  <c r="D84" i="7"/>
  <c r="M22" i="16"/>
  <c r="W22" i="16" s="1"/>
  <c r="D85" i="7"/>
  <c r="Z26" i="16"/>
  <c r="D89" i="7"/>
  <c r="M30" i="16"/>
  <c r="W30" i="16" s="1"/>
  <c r="D93" i="7"/>
  <c r="M25" i="16"/>
  <c r="W25" i="16" s="1"/>
  <c r="D88" i="7"/>
  <c r="Z23" i="16"/>
  <c r="D86" i="7"/>
  <c r="M27" i="16"/>
  <c r="W27" i="16" s="1"/>
  <c r="D90" i="7"/>
  <c r="Z31" i="16"/>
  <c r="D94" i="7"/>
  <c r="Z31" i="15"/>
  <c r="Z21" i="15"/>
  <c r="M22" i="15"/>
  <c r="W22" i="15" s="1"/>
  <c r="Z22" i="15"/>
  <c r="Z25" i="15"/>
  <c r="Z30" i="15"/>
  <c r="Z24" i="15"/>
  <c r="M24" i="15"/>
  <c r="W24" i="15" s="1"/>
  <c r="M27" i="15"/>
  <c r="W27" i="15" s="1"/>
  <c r="M30" i="15"/>
  <c r="W30" i="15" s="1"/>
  <c r="M45" i="15"/>
  <c r="Z45" i="15"/>
  <c r="Z39" i="15"/>
  <c r="Z27" i="15"/>
  <c r="E57" i="15"/>
  <c r="E63" i="15"/>
  <c r="H63" i="15" s="1"/>
  <c r="E59" i="15"/>
  <c r="E52" i="15"/>
  <c r="E62" i="15"/>
  <c r="E56" i="15"/>
  <c r="E61" i="15"/>
  <c r="E60" i="15"/>
  <c r="E55" i="15"/>
  <c r="E54" i="15"/>
  <c r="E53" i="15"/>
  <c r="E58" i="15"/>
  <c r="Z40" i="15"/>
  <c r="Z26" i="15"/>
  <c r="Z28" i="15"/>
  <c r="Z20" i="15"/>
  <c r="M26" i="15"/>
  <c r="W26" i="15" s="1"/>
  <c r="Z29" i="15"/>
  <c r="Z38" i="15"/>
  <c r="Z44" i="15"/>
  <c r="Z22" i="16"/>
  <c r="Z27" i="16"/>
  <c r="Z25" i="16"/>
  <c r="Z38" i="16"/>
  <c r="M45" i="16"/>
  <c r="Z45" i="16"/>
  <c r="Z28" i="16"/>
  <c r="M26" i="16"/>
  <c r="W26" i="16" s="1"/>
  <c r="Z29" i="16"/>
  <c r="M39" i="16"/>
  <c r="Z39" i="16"/>
  <c r="M20" i="16"/>
  <c r="W20" i="16" s="1"/>
  <c r="Z40" i="16"/>
  <c r="E58" i="16"/>
  <c r="E59" i="16"/>
  <c r="E57" i="16"/>
  <c r="E55" i="16"/>
  <c r="E56" i="16"/>
  <c r="E63" i="16"/>
  <c r="H63" i="16" s="1"/>
  <c r="E61" i="16"/>
  <c r="E53" i="16"/>
  <c r="E60" i="16"/>
  <c r="E52" i="16"/>
  <c r="E62" i="16"/>
  <c r="E54" i="16"/>
  <c r="Z30" i="16"/>
  <c r="M44" i="16"/>
  <c r="Z44" i="16"/>
  <c r="Z5" i="3"/>
  <c r="Y8" i="3" s="1"/>
  <c r="M21" i="16"/>
  <c r="W21" i="16" s="1"/>
  <c r="M29" i="16"/>
  <c r="W29" i="16" s="1"/>
  <c r="M38" i="16"/>
  <c r="M23" i="16"/>
  <c r="W23" i="16" s="1"/>
  <c r="Z24" i="16"/>
  <c r="M31" i="16"/>
  <c r="W31" i="16" s="1"/>
  <c r="M40" i="16"/>
  <c r="M21" i="15"/>
  <c r="W21" i="15" s="1"/>
  <c r="M29" i="15"/>
  <c r="W29" i="15" s="1"/>
  <c r="M38" i="15"/>
  <c r="M23" i="15"/>
  <c r="W23" i="15" s="1"/>
  <c r="M31" i="15"/>
  <c r="W31" i="15" s="1"/>
  <c r="M40" i="15"/>
  <c r="C16" i="14"/>
  <c r="C8" i="14"/>
  <c r="T31" i="14"/>
  <c r="L31" i="14"/>
  <c r="D46" i="7" s="1"/>
  <c r="T30" i="14"/>
  <c r="L30" i="14"/>
  <c r="D45" i="7" s="1"/>
  <c r="T29" i="14"/>
  <c r="L29" i="14"/>
  <c r="D44" i="7" s="1"/>
  <c r="T28" i="14"/>
  <c r="L28" i="14"/>
  <c r="D43" i="7" s="1"/>
  <c r="T27" i="14"/>
  <c r="L27" i="14"/>
  <c r="D42" i="7" s="1"/>
  <c r="T26" i="14"/>
  <c r="L26" i="14"/>
  <c r="D41" i="7" s="1"/>
  <c r="T25" i="14"/>
  <c r="L25" i="14"/>
  <c r="D40" i="7" s="1"/>
  <c r="T24" i="14"/>
  <c r="L24" i="14"/>
  <c r="D39" i="7" s="1"/>
  <c r="T23" i="14"/>
  <c r="L23" i="14"/>
  <c r="D38" i="7" s="1"/>
  <c r="T22" i="14"/>
  <c r="L22" i="14"/>
  <c r="D37" i="7" s="1"/>
  <c r="T21" i="14"/>
  <c r="L21" i="14"/>
  <c r="D36" i="7" s="1"/>
  <c r="T20" i="14"/>
  <c r="L20" i="14"/>
  <c r="D35" i="7" s="1"/>
  <c r="F15" i="14"/>
  <c r="Y9" i="3" l="1"/>
  <c r="Z8" i="3"/>
  <c r="AA8" i="3" s="1"/>
  <c r="D50" i="14"/>
  <c r="P52" i="14"/>
  <c r="HQ55" i="3"/>
  <c r="GH57" i="3"/>
  <c r="HP56" i="3"/>
  <c r="HO56" i="3"/>
  <c r="HI56" i="3"/>
  <c r="HJ56" i="3"/>
  <c r="HK56" i="3"/>
  <c r="HL56" i="3"/>
  <c r="HM56" i="3"/>
  <c r="HN56" i="3"/>
  <c r="HA56" i="3"/>
  <c r="GS56" i="3"/>
  <c r="HB56" i="3"/>
  <c r="GT56" i="3"/>
  <c r="HC56" i="3"/>
  <c r="GU56" i="3"/>
  <c r="HD56" i="3"/>
  <c r="GV56" i="3"/>
  <c r="HE56" i="3"/>
  <c r="GW56" i="3"/>
  <c r="HF56" i="3"/>
  <c r="GX56" i="3"/>
  <c r="HG56" i="3"/>
  <c r="GY56" i="3"/>
  <c r="HH56" i="3"/>
  <c r="GZ56" i="3"/>
  <c r="GK56" i="3"/>
  <c r="GL56" i="3"/>
  <c r="GM56" i="3"/>
  <c r="GN56" i="3"/>
  <c r="GO56" i="3"/>
  <c r="GP56" i="3"/>
  <c r="GQ56" i="3"/>
  <c r="GR56" i="3"/>
  <c r="GJ56" i="3"/>
  <c r="GI57" i="3"/>
  <c r="EF56" i="3"/>
  <c r="FM55" i="3"/>
  <c r="ED57" i="3"/>
  <c r="EW56" i="3"/>
  <c r="EX56" i="3"/>
  <c r="EY56" i="3"/>
  <c r="EZ56" i="3"/>
  <c r="FA56" i="3"/>
  <c r="FB56" i="3"/>
  <c r="FF56" i="3"/>
  <c r="FC56" i="3"/>
  <c r="FJ56" i="3"/>
  <c r="FD56" i="3"/>
  <c r="EO56" i="3"/>
  <c r="EG56" i="3"/>
  <c r="EP56" i="3"/>
  <c r="EH56" i="3"/>
  <c r="EQ56" i="3"/>
  <c r="EI56" i="3"/>
  <c r="ER56" i="3"/>
  <c r="EJ56" i="3"/>
  <c r="ES56" i="3"/>
  <c r="EK56" i="3"/>
  <c r="ET56" i="3"/>
  <c r="EL56" i="3"/>
  <c r="EU56" i="3"/>
  <c r="EM56" i="3"/>
  <c r="EV56" i="3"/>
  <c r="EN56" i="3"/>
  <c r="FH56" i="3"/>
  <c r="FK56" i="3"/>
  <c r="FG56" i="3"/>
  <c r="FI56" i="3"/>
  <c r="FE56" i="3"/>
  <c r="FL56" i="3"/>
  <c r="EE57" i="3"/>
  <c r="AH78" i="3"/>
  <c r="AH73" i="3"/>
  <c r="AH74" i="3"/>
  <c r="AH79" i="3"/>
  <c r="AH72" i="3"/>
  <c r="AH63" i="3"/>
  <c r="AH57" i="3"/>
  <c r="AH58" i="3"/>
  <c r="W39" i="15"/>
  <c r="AH56" i="3"/>
  <c r="AH62" i="3"/>
  <c r="C9" i="7"/>
  <c r="M29" i="14"/>
  <c r="W29" i="14" s="1"/>
  <c r="W44" i="15"/>
  <c r="FS82" i="3"/>
  <c r="FS66" i="3"/>
  <c r="Z21" i="14"/>
  <c r="Z29" i="14"/>
  <c r="Z23" i="14"/>
  <c r="E61" i="14"/>
  <c r="E53" i="14"/>
  <c r="E58" i="14"/>
  <c r="E55" i="14"/>
  <c r="E60" i="14"/>
  <c r="E52" i="14"/>
  <c r="E54" i="14"/>
  <c r="E59" i="14"/>
  <c r="E57" i="14"/>
  <c r="E56" i="14"/>
  <c r="E63" i="14"/>
  <c r="H63" i="14" s="1"/>
  <c r="E62" i="14"/>
  <c r="M23" i="14"/>
  <c r="W23" i="14" s="1"/>
  <c r="Z26" i="14"/>
  <c r="Z30" i="14"/>
  <c r="M26" i="14"/>
  <c r="W26" i="14" s="1"/>
  <c r="M20" i="14"/>
  <c r="W20" i="14" s="1"/>
  <c r="M31" i="14"/>
  <c r="W31" i="14" s="1"/>
  <c r="Z28" i="14"/>
  <c r="M21" i="14"/>
  <c r="W21" i="14" s="1"/>
  <c r="Z25" i="14"/>
  <c r="Z22" i="14"/>
  <c r="H58" i="15"/>
  <c r="H52" i="15"/>
  <c r="H59" i="15"/>
  <c r="H54" i="15"/>
  <c r="H62" i="15"/>
  <c r="H55" i="15"/>
  <c r="H57" i="15"/>
  <c r="H60" i="15"/>
  <c r="H53" i="15"/>
  <c r="W38" i="15"/>
  <c r="H61" i="15"/>
  <c r="W45" i="15"/>
  <c r="W40" i="15"/>
  <c r="H56" i="15"/>
  <c r="W44" i="16"/>
  <c r="W40" i="16"/>
  <c r="H56" i="16"/>
  <c r="W39" i="16"/>
  <c r="H54" i="16"/>
  <c r="H55" i="16"/>
  <c r="W45" i="16"/>
  <c r="H62" i="16"/>
  <c r="H57" i="16"/>
  <c r="H59" i="16"/>
  <c r="H61" i="16"/>
  <c r="H52" i="16"/>
  <c r="W38" i="16"/>
  <c r="H60" i="16"/>
  <c r="H58" i="16"/>
  <c r="H53" i="16"/>
  <c r="B33" i="7"/>
  <c r="O24" i="7"/>
  <c r="B81" i="7"/>
  <c r="B57" i="7"/>
  <c r="M25" i="14"/>
  <c r="W25" i="14" s="1"/>
  <c r="M22" i="14"/>
  <c r="W22" i="14" s="1"/>
  <c r="Z20" i="14"/>
  <c r="Z27" i="14"/>
  <c r="M28" i="14"/>
  <c r="W28" i="14" s="1"/>
  <c r="M30" i="14"/>
  <c r="W30" i="14" s="1"/>
  <c r="Z24" i="14"/>
  <c r="Z31" i="14"/>
  <c r="M24" i="14"/>
  <c r="W24" i="14" s="1"/>
  <c r="M27" i="14"/>
  <c r="W27" i="14" s="1"/>
  <c r="AE8" i="3" l="1"/>
  <c r="AD8" i="3"/>
  <c r="AC8" i="3"/>
  <c r="AB8" i="3"/>
  <c r="Y10" i="3"/>
  <c r="Z9" i="3"/>
  <c r="AA9" i="3" s="1"/>
  <c r="BO48" i="3"/>
  <c r="BO44" i="3"/>
  <c r="BO40" i="3"/>
  <c r="BO51" i="3"/>
  <c r="BO47" i="3"/>
  <c r="BO43" i="3"/>
  <c r="BO50" i="3"/>
  <c r="BO46" i="3"/>
  <c r="BO42" i="3"/>
  <c r="BO49" i="3"/>
  <c r="BO45" i="3"/>
  <c r="BO41" i="3"/>
  <c r="BE67" i="3"/>
  <c r="BE62" i="3"/>
  <c r="BE65" i="3"/>
  <c r="BE66" i="3"/>
  <c r="BE63" i="3"/>
  <c r="BE64" i="3"/>
  <c r="BP48" i="3"/>
  <c r="BP44" i="3"/>
  <c r="BP40" i="3"/>
  <c r="BP51" i="3"/>
  <c r="BP47" i="3"/>
  <c r="BP43" i="3"/>
  <c r="BP50" i="3"/>
  <c r="BP46" i="3"/>
  <c r="BP42" i="3"/>
  <c r="BP41" i="3"/>
  <c r="BP45" i="3"/>
  <c r="BP49" i="3"/>
  <c r="BF67" i="3"/>
  <c r="BF57" i="3"/>
  <c r="BF65" i="3"/>
  <c r="BF66" i="3"/>
  <c r="BF61" i="3"/>
  <c r="BF58" i="3"/>
  <c r="BF59" i="3"/>
  <c r="BF60" i="3"/>
  <c r="BF56" i="3"/>
  <c r="BT48" i="3"/>
  <c r="BT44" i="3"/>
  <c r="BT40" i="3"/>
  <c r="BT51" i="3"/>
  <c r="BT47" i="3"/>
  <c r="BT43" i="3"/>
  <c r="BT50" i="3"/>
  <c r="BT46" i="3"/>
  <c r="BT42" i="3"/>
  <c r="BT41" i="3"/>
  <c r="BT49" i="3"/>
  <c r="BT45" i="3"/>
  <c r="BJ67" i="3"/>
  <c r="BJ66" i="3"/>
  <c r="BJ65" i="3"/>
  <c r="BJ60" i="3"/>
  <c r="BJ61" i="3"/>
  <c r="BJ56" i="3"/>
  <c r="BJ59" i="3"/>
  <c r="BJ58" i="3"/>
  <c r="BJ57" i="3"/>
  <c r="BN48" i="3"/>
  <c r="BN44" i="3"/>
  <c r="BN40" i="3"/>
  <c r="BN51" i="3"/>
  <c r="BN47" i="3"/>
  <c r="BN43" i="3"/>
  <c r="BN50" i="3"/>
  <c r="BN46" i="3"/>
  <c r="BN42" i="3"/>
  <c r="BN49" i="3"/>
  <c r="BN45" i="3"/>
  <c r="BN41" i="3"/>
  <c r="BD67" i="3"/>
  <c r="BD60" i="3"/>
  <c r="BD65" i="3"/>
  <c r="BD59" i="3"/>
  <c r="BD63" i="3"/>
  <c r="BD66" i="3"/>
  <c r="BD62" i="3"/>
  <c r="BD64" i="3"/>
  <c r="BD61" i="3"/>
  <c r="BU48" i="3"/>
  <c r="BU44" i="3"/>
  <c r="BU40" i="3"/>
  <c r="BU51" i="3"/>
  <c r="BU47" i="3"/>
  <c r="BU43" i="3"/>
  <c r="BU50" i="3"/>
  <c r="BU46" i="3"/>
  <c r="BU42" i="3"/>
  <c r="BU45" i="3"/>
  <c r="BU41" i="3"/>
  <c r="BU49" i="3"/>
  <c r="BK59" i="3"/>
  <c r="BK56" i="3"/>
  <c r="BK61" i="3"/>
  <c r="BK58" i="3"/>
  <c r="BK60" i="3"/>
  <c r="BK57" i="3"/>
  <c r="BO67" i="3"/>
  <c r="BO63" i="3"/>
  <c r="BO59" i="3"/>
  <c r="BO66" i="3"/>
  <c r="BO62" i="3"/>
  <c r="BO58" i="3"/>
  <c r="BO65" i="3"/>
  <c r="BO61" i="3"/>
  <c r="BO57" i="3"/>
  <c r="BO56" i="3"/>
  <c r="BO64" i="3"/>
  <c r="BO60" i="3"/>
  <c r="BE83" i="3"/>
  <c r="BE78" i="3"/>
  <c r="BE82" i="3"/>
  <c r="BE79" i="3"/>
  <c r="BE80" i="3"/>
  <c r="BE81" i="3"/>
  <c r="BU67" i="3"/>
  <c r="BU63" i="3"/>
  <c r="BU59" i="3"/>
  <c r="BU66" i="3"/>
  <c r="BU62" i="3"/>
  <c r="BU58" i="3"/>
  <c r="BU65" i="3"/>
  <c r="BU61" i="3"/>
  <c r="BU57" i="3"/>
  <c r="BU60" i="3"/>
  <c r="BU56" i="3"/>
  <c r="BU64" i="3"/>
  <c r="BK76" i="3"/>
  <c r="BK73" i="3"/>
  <c r="BK72" i="3"/>
  <c r="BK77" i="3"/>
  <c r="BK74" i="3"/>
  <c r="BK75" i="3"/>
  <c r="BP67" i="3"/>
  <c r="BP63" i="3"/>
  <c r="BP59" i="3"/>
  <c r="BP66" i="3"/>
  <c r="BP62" i="3"/>
  <c r="BP58" i="3"/>
  <c r="BP65" i="3"/>
  <c r="BP61" i="3"/>
  <c r="BP57" i="3"/>
  <c r="BP56" i="3"/>
  <c r="BP64" i="3"/>
  <c r="BP60" i="3"/>
  <c r="BF83" i="3"/>
  <c r="BF81" i="3"/>
  <c r="BF76" i="3"/>
  <c r="BF82" i="3"/>
  <c r="BF77" i="3"/>
  <c r="BF72" i="3"/>
  <c r="BF73" i="3"/>
  <c r="BF74" i="3"/>
  <c r="BF75" i="3"/>
  <c r="BN67" i="3"/>
  <c r="BN63" i="3"/>
  <c r="BN59" i="3"/>
  <c r="BN66" i="3"/>
  <c r="BN62" i="3"/>
  <c r="BN58" i="3"/>
  <c r="BN65" i="3"/>
  <c r="BN61" i="3"/>
  <c r="BN57" i="3"/>
  <c r="BN64" i="3"/>
  <c r="BN56" i="3"/>
  <c r="BN60" i="3"/>
  <c r="BD83" i="3"/>
  <c r="BD82" i="3"/>
  <c r="BD81" i="3"/>
  <c r="BD75" i="3"/>
  <c r="BD79" i="3"/>
  <c r="BD78" i="3"/>
  <c r="BD77" i="3"/>
  <c r="BD76" i="3"/>
  <c r="BD80" i="3"/>
  <c r="BT67" i="3"/>
  <c r="BT63" i="3"/>
  <c r="BT59" i="3"/>
  <c r="BT66" i="3"/>
  <c r="BT62" i="3"/>
  <c r="BT58" i="3"/>
  <c r="BT65" i="3"/>
  <c r="BT61" i="3"/>
  <c r="BT57" i="3"/>
  <c r="BT56" i="3"/>
  <c r="BT60" i="3"/>
  <c r="BT64" i="3"/>
  <c r="BJ83" i="3"/>
  <c r="BJ76" i="3"/>
  <c r="BJ73" i="3"/>
  <c r="BJ81" i="3"/>
  <c r="BJ75" i="3"/>
  <c r="BJ82" i="3"/>
  <c r="BJ72" i="3"/>
  <c r="BJ74" i="3"/>
  <c r="BJ77" i="3"/>
  <c r="Y69" i="7"/>
  <c r="Y68" i="7"/>
  <c r="Y67" i="7"/>
  <c r="Y66" i="7"/>
  <c r="Y62" i="7"/>
  <c r="Y65" i="7"/>
  <c r="Y64" i="7"/>
  <c r="Y63" i="7"/>
  <c r="Y61" i="7"/>
  <c r="Y60" i="7"/>
  <c r="Y70" i="7"/>
  <c r="Y59" i="7"/>
  <c r="Y93" i="7"/>
  <c r="Y92" i="7"/>
  <c r="Y91" i="7"/>
  <c r="Y90" i="7"/>
  <c r="Y89" i="7"/>
  <c r="Y88" i="7"/>
  <c r="Y86" i="7"/>
  <c r="Y87" i="7"/>
  <c r="Y85" i="7"/>
  <c r="Y94" i="7"/>
  <c r="Y84" i="7"/>
  <c r="Y83" i="7"/>
  <c r="Y45" i="7"/>
  <c r="Y44" i="7"/>
  <c r="Y43" i="7"/>
  <c r="Y42" i="7"/>
  <c r="Y39" i="7"/>
  <c r="Y38" i="7"/>
  <c r="Y41" i="7"/>
  <c r="Y40" i="7"/>
  <c r="Y37" i="7"/>
  <c r="Y36" i="7"/>
  <c r="Y46" i="7"/>
  <c r="Y35" i="7"/>
  <c r="HQ56" i="3"/>
  <c r="GH58" i="3"/>
  <c r="HI57" i="3"/>
  <c r="HJ57" i="3"/>
  <c r="HK57" i="3"/>
  <c r="HL57" i="3"/>
  <c r="HM57" i="3"/>
  <c r="HN57" i="3"/>
  <c r="HO57" i="3"/>
  <c r="HP57" i="3"/>
  <c r="HE57" i="3"/>
  <c r="GW57" i="3"/>
  <c r="HF57" i="3"/>
  <c r="GX57" i="3"/>
  <c r="HG57" i="3"/>
  <c r="GY57" i="3"/>
  <c r="HH57" i="3"/>
  <c r="GZ57" i="3"/>
  <c r="HA57" i="3"/>
  <c r="GS57" i="3"/>
  <c r="HB57" i="3"/>
  <c r="GT57" i="3"/>
  <c r="GM57" i="3"/>
  <c r="GN57" i="3"/>
  <c r="GO57" i="3"/>
  <c r="GP57" i="3"/>
  <c r="GK57" i="3"/>
  <c r="HC57" i="3"/>
  <c r="GU57" i="3"/>
  <c r="GQ57" i="3"/>
  <c r="HD57" i="3"/>
  <c r="GV57" i="3"/>
  <c r="GR57" i="3"/>
  <c r="GL57" i="3"/>
  <c r="GI58" i="3"/>
  <c r="GJ57" i="3"/>
  <c r="EF57" i="3"/>
  <c r="FM56" i="3"/>
  <c r="ED58" i="3"/>
  <c r="FA57" i="3"/>
  <c r="FB57" i="3"/>
  <c r="FC57" i="3"/>
  <c r="FD57" i="3"/>
  <c r="FF57" i="3"/>
  <c r="EW57" i="3"/>
  <c r="FJ57" i="3"/>
  <c r="EX57" i="3"/>
  <c r="EY57" i="3"/>
  <c r="EI57" i="3"/>
  <c r="ER57" i="3"/>
  <c r="EJ57" i="3"/>
  <c r="ES57" i="3"/>
  <c r="EK57" i="3"/>
  <c r="ET57" i="3"/>
  <c r="EL57" i="3"/>
  <c r="EU57" i="3"/>
  <c r="EM57" i="3"/>
  <c r="EV57" i="3"/>
  <c r="EZ57" i="3"/>
  <c r="EN57" i="3"/>
  <c r="EO57" i="3"/>
  <c r="EG57" i="3"/>
  <c r="EP57" i="3"/>
  <c r="EH57" i="3"/>
  <c r="EQ57" i="3"/>
  <c r="FK57" i="3"/>
  <c r="FH57" i="3"/>
  <c r="FE57" i="3"/>
  <c r="FG57" i="3"/>
  <c r="FL57" i="3"/>
  <c r="FI57" i="3"/>
  <c r="EE58" i="3"/>
  <c r="AK72" i="3"/>
  <c r="AK79" i="3"/>
  <c r="AK74" i="3"/>
  <c r="AK73" i="3"/>
  <c r="AK78" i="3"/>
  <c r="AK56" i="3"/>
  <c r="AK62" i="3"/>
  <c r="AK58" i="3"/>
  <c r="AK57" i="3"/>
  <c r="AK63" i="3"/>
  <c r="FS81" i="3"/>
  <c r="FS73" i="3"/>
  <c r="FS79" i="3"/>
  <c r="FS74" i="3"/>
  <c r="FS71" i="3"/>
  <c r="FS80" i="3"/>
  <c r="FS78" i="3"/>
  <c r="FS77" i="3"/>
  <c r="FS72" i="3"/>
  <c r="FS76" i="3"/>
  <c r="FS75" i="3"/>
  <c r="FS59" i="3"/>
  <c r="FS58" i="3"/>
  <c r="FS63" i="3"/>
  <c r="FS62" i="3"/>
  <c r="FS55" i="3"/>
  <c r="FS64" i="3"/>
  <c r="FS61" i="3"/>
  <c r="FS57" i="3"/>
  <c r="FS56" i="3"/>
  <c r="FS65" i="3"/>
  <c r="FS60" i="3"/>
  <c r="FS50" i="3"/>
  <c r="H59" i="14"/>
  <c r="H54" i="14"/>
  <c r="H52" i="14"/>
  <c r="H60" i="14"/>
  <c r="H58" i="14"/>
  <c r="H57" i="14"/>
  <c r="H62" i="14"/>
  <c r="H55" i="14"/>
  <c r="H56" i="14"/>
  <c r="H53" i="14"/>
  <c r="H61" i="14"/>
  <c r="O72" i="7"/>
  <c r="C57" i="7"/>
  <c r="O96" i="7"/>
  <c r="C81" i="7"/>
  <c r="C33" i="7"/>
  <c r="O48" i="7"/>
  <c r="AE9" i="3" l="1"/>
  <c r="AD9" i="3"/>
  <c r="AC9" i="3"/>
  <c r="AB9" i="3"/>
  <c r="Y11" i="3"/>
  <c r="Z10" i="3"/>
  <c r="AA10" i="3" s="1"/>
  <c r="EF58" i="3"/>
  <c r="HQ57" i="3"/>
  <c r="GH59" i="3"/>
  <c r="HK58" i="3"/>
  <c r="HL58" i="3"/>
  <c r="HM58" i="3"/>
  <c r="HN58" i="3"/>
  <c r="HO58" i="3"/>
  <c r="HP58" i="3"/>
  <c r="HJ58" i="3"/>
  <c r="HI58" i="3"/>
  <c r="HA58" i="3"/>
  <c r="GS58" i="3"/>
  <c r="HB58" i="3"/>
  <c r="GT58" i="3"/>
  <c r="HC58" i="3"/>
  <c r="GU58" i="3"/>
  <c r="HD58" i="3"/>
  <c r="GV58" i="3"/>
  <c r="HE58" i="3"/>
  <c r="GW58" i="3"/>
  <c r="HF58" i="3"/>
  <c r="GX58" i="3"/>
  <c r="GQ58" i="3"/>
  <c r="GR58" i="3"/>
  <c r="GP58" i="3"/>
  <c r="HG58" i="3"/>
  <c r="GY58" i="3"/>
  <c r="GK58" i="3"/>
  <c r="HH58" i="3"/>
  <c r="GZ58" i="3"/>
  <c r="GL58" i="3"/>
  <c r="GM58" i="3"/>
  <c r="GN58" i="3"/>
  <c r="GO58" i="3"/>
  <c r="GI59" i="3"/>
  <c r="GJ58" i="3"/>
  <c r="FM57" i="3"/>
  <c r="ED59" i="3"/>
  <c r="FJ58" i="3"/>
  <c r="FK58" i="3"/>
  <c r="EW58" i="3"/>
  <c r="EX58" i="3"/>
  <c r="EY58" i="3"/>
  <c r="EZ58" i="3"/>
  <c r="FA58" i="3"/>
  <c r="FB58" i="3"/>
  <c r="FF58" i="3"/>
  <c r="FC58" i="3"/>
  <c r="EM58" i="3"/>
  <c r="EV58" i="3"/>
  <c r="EN58" i="3"/>
  <c r="EO58" i="3"/>
  <c r="FD58" i="3"/>
  <c r="EG58" i="3"/>
  <c r="EP58" i="3"/>
  <c r="EH58" i="3"/>
  <c r="EQ58" i="3"/>
  <c r="FG58" i="3"/>
  <c r="EI58" i="3"/>
  <c r="ER58" i="3"/>
  <c r="EJ58" i="3"/>
  <c r="ES58" i="3"/>
  <c r="EK58" i="3"/>
  <c r="ET58" i="3"/>
  <c r="EL58" i="3"/>
  <c r="EU58" i="3"/>
  <c r="FI58" i="3"/>
  <c r="FE58" i="3"/>
  <c r="FL58" i="3"/>
  <c r="FH58" i="3"/>
  <c r="EE59" i="3"/>
  <c r="FS45" i="3"/>
  <c r="FS41" i="3"/>
  <c r="FU41" i="3" s="1"/>
  <c r="K37" i="7" s="1"/>
  <c r="FS39" i="3"/>
  <c r="FU39" i="3" s="1"/>
  <c r="K35" i="7" s="1"/>
  <c r="FS40" i="3"/>
  <c r="FU40" i="3" s="1"/>
  <c r="K36" i="7" s="1"/>
  <c r="FS43" i="3"/>
  <c r="FU43" i="3" s="1"/>
  <c r="K39" i="7" s="1"/>
  <c r="FS46" i="3"/>
  <c r="FS44" i="3"/>
  <c r="FS47" i="3"/>
  <c r="FS48" i="3"/>
  <c r="FS42" i="3"/>
  <c r="FU42" i="3" s="1"/>
  <c r="K38" i="7" s="1"/>
  <c r="FS49" i="3"/>
  <c r="AE10" i="3" l="1"/>
  <c r="AD10" i="3"/>
  <c r="AC10" i="3"/>
  <c r="AB10" i="3"/>
  <c r="Y12" i="3"/>
  <c r="Z11" i="3"/>
  <c r="AA11" i="3" s="1"/>
  <c r="HQ58" i="3"/>
  <c r="GH60" i="3"/>
  <c r="HO59" i="3"/>
  <c r="HP59" i="3"/>
  <c r="HN59" i="3"/>
  <c r="HI59" i="3"/>
  <c r="HJ59" i="3"/>
  <c r="HK59" i="3"/>
  <c r="HL59" i="3"/>
  <c r="HM59" i="3"/>
  <c r="HA59" i="3"/>
  <c r="GS59" i="3"/>
  <c r="HB59" i="3"/>
  <c r="GT59" i="3"/>
  <c r="HC59" i="3"/>
  <c r="GU59" i="3"/>
  <c r="HD59" i="3"/>
  <c r="GV59" i="3"/>
  <c r="HE59" i="3"/>
  <c r="GW59" i="3"/>
  <c r="HF59" i="3"/>
  <c r="GX59" i="3"/>
  <c r="HG59" i="3"/>
  <c r="GY59" i="3"/>
  <c r="HH59" i="3"/>
  <c r="GZ59" i="3"/>
  <c r="GK59" i="3"/>
  <c r="GL59" i="3"/>
  <c r="GM59" i="3"/>
  <c r="GN59" i="3"/>
  <c r="GO59" i="3"/>
  <c r="GP59" i="3"/>
  <c r="GQ59" i="3"/>
  <c r="GR59" i="3"/>
  <c r="FM58" i="3"/>
  <c r="GI60" i="3"/>
  <c r="GJ59" i="3"/>
  <c r="EF59" i="3"/>
  <c r="ED60" i="3"/>
  <c r="EW59" i="3"/>
  <c r="EX59" i="3"/>
  <c r="FF59" i="3"/>
  <c r="EY59" i="3"/>
  <c r="FG59" i="3"/>
  <c r="EZ59" i="3"/>
  <c r="FJ59" i="3"/>
  <c r="FA59" i="3"/>
  <c r="FK59" i="3"/>
  <c r="FB59" i="3"/>
  <c r="FC59" i="3"/>
  <c r="FD59" i="3"/>
  <c r="EO59" i="3"/>
  <c r="EG59" i="3"/>
  <c r="EP59" i="3"/>
  <c r="EH59" i="3"/>
  <c r="EQ59" i="3"/>
  <c r="EI59" i="3"/>
  <c r="ER59" i="3"/>
  <c r="EJ59" i="3"/>
  <c r="ES59" i="3"/>
  <c r="EK59" i="3"/>
  <c r="ET59" i="3"/>
  <c r="EL59" i="3"/>
  <c r="EU59" i="3"/>
  <c r="EM59" i="3"/>
  <c r="EV59" i="3"/>
  <c r="EN59" i="3"/>
  <c r="FI59" i="3"/>
  <c r="FE59" i="3"/>
  <c r="FL59" i="3"/>
  <c r="FH59" i="3"/>
  <c r="EE60" i="3"/>
  <c r="E14" i="13"/>
  <c r="AD11" i="3" l="1"/>
  <c r="AE11" i="3"/>
  <c r="AB11" i="3"/>
  <c r="AC11" i="3"/>
  <c r="Y13" i="3"/>
  <c r="Z12" i="3"/>
  <c r="AA12" i="3" s="1"/>
  <c r="FM59" i="3"/>
  <c r="GH61" i="3"/>
  <c r="HI60" i="3"/>
  <c r="HJ60" i="3"/>
  <c r="HK60" i="3"/>
  <c r="HL60" i="3"/>
  <c r="HM60" i="3"/>
  <c r="HN60" i="3"/>
  <c r="HO60" i="3"/>
  <c r="HP60" i="3"/>
  <c r="HE60" i="3"/>
  <c r="GW60" i="3"/>
  <c r="HF60" i="3"/>
  <c r="GX60" i="3"/>
  <c r="HG60" i="3"/>
  <c r="GY60" i="3"/>
  <c r="HH60" i="3"/>
  <c r="GZ60" i="3"/>
  <c r="HA60" i="3"/>
  <c r="GS60" i="3"/>
  <c r="HB60" i="3"/>
  <c r="GT60" i="3"/>
  <c r="GM60" i="3"/>
  <c r="GN60" i="3"/>
  <c r="GL60" i="3"/>
  <c r="GO60" i="3"/>
  <c r="GP60" i="3"/>
  <c r="GQ60" i="3"/>
  <c r="GR60" i="3"/>
  <c r="GK60" i="3"/>
  <c r="HC60" i="3"/>
  <c r="GU60" i="3"/>
  <c r="HD60" i="3"/>
  <c r="GV60" i="3"/>
  <c r="HQ59" i="3"/>
  <c r="GI61" i="3"/>
  <c r="GJ60" i="3"/>
  <c r="EF60" i="3"/>
  <c r="ED61" i="3"/>
  <c r="FA60" i="3"/>
  <c r="FB60" i="3"/>
  <c r="FC60" i="3"/>
  <c r="FD60" i="3"/>
  <c r="FF60" i="3"/>
  <c r="FG60" i="3"/>
  <c r="FJ60" i="3"/>
  <c r="EW60" i="3"/>
  <c r="FK60" i="3"/>
  <c r="EX60" i="3"/>
  <c r="EY60" i="3"/>
  <c r="EI60" i="3"/>
  <c r="ER60" i="3"/>
  <c r="EJ60" i="3"/>
  <c r="ES60" i="3"/>
  <c r="EK60" i="3"/>
  <c r="ET60" i="3"/>
  <c r="EL60" i="3"/>
  <c r="EU60" i="3"/>
  <c r="EM60" i="3"/>
  <c r="EV60" i="3"/>
  <c r="EN60" i="3"/>
  <c r="EZ60" i="3"/>
  <c r="EO60" i="3"/>
  <c r="EG60" i="3"/>
  <c r="EP60" i="3"/>
  <c r="EH60" i="3"/>
  <c r="EQ60" i="3"/>
  <c r="FE60" i="3"/>
  <c r="FL60" i="3"/>
  <c r="FH60" i="3"/>
  <c r="FI60" i="3"/>
  <c r="EE61" i="3"/>
  <c r="AE12" i="3" l="1"/>
  <c r="AD12" i="3"/>
  <c r="AC12" i="3"/>
  <c r="AB12" i="3"/>
  <c r="Y14" i="3"/>
  <c r="Z13" i="3"/>
  <c r="AA13" i="3" s="1"/>
  <c r="HQ60" i="3"/>
  <c r="GH62" i="3"/>
  <c r="HJ61" i="3"/>
  <c r="HI61" i="3"/>
  <c r="HK61" i="3"/>
  <c r="HL61" i="3"/>
  <c r="HM61" i="3"/>
  <c r="HN61" i="3"/>
  <c r="HO61" i="3"/>
  <c r="HP61" i="3"/>
  <c r="HA61" i="3"/>
  <c r="GS61" i="3"/>
  <c r="HB61" i="3"/>
  <c r="GT61" i="3"/>
  <c r="HC61" i="3"/>
  <c r="GU61" i="3"/>
  <c r="HD61" i="3"/>
  <c r="GV61" i="3"/>
  <c r="HE61" i="3"/>
  <c r="GW61" i="3"/>
  <c r="HF61" i="3"/>
  <c r="GX61" i="3"/>
  <c r="GQ61" i="3"/>
  <c r="GY61" i="3"/>
  <c r="GR61" i="3"/>
  <c r="HG61" i="3"/>
  <c r="GO61" i="3"/>
  <c r="HH61" i="3"/>
  <c r="GZ61" i="3"/>
  <c r="GP61" i="3"/>
  <c r="GK61" i="3"/>
  <c r="GL61" i="3"/>
  <c r="GM61" i="3"/>
  <c r="GN61" i="3"/>
  <c r="GI62" i="3"/>
  <c r="GJ61" i="3"/>
  <c r="FM60" i="3"/>
  <c r="EF61" i="3"/>
  <c r="ED62" i="3"/>
  <c r="FI61" i="3"/>
  <c r="FK61" i="3"/>
  <c r="EW61" i="3"/>
  <c r="EX61" i="3"/>
  <c r="EY61" i="3"/>
  <c r="EZ61" i="3"/>
  <c r="FA61" i="3"/>
  <c r="FB61" i="3"/>
  <c r="FE61" i="3"/>
  <c r="FC61" i="3"/>
  <c r="EM61" i="3"/>
  <c r="EV61" i="3"/>
  <c r="EN61" i="3"/>
  <c r="EO61" i="3"/>
  <c r="EG61" i="3"/>
  <c r="EP61" i="3"/>
  <c r="EH61" i="3"/>
  <c r="EQ61" i="3"/>
  <c r="FD61" i="3"/>
  <c r="EI61" i="3"/>
  <c r="ER61" i="3"/>
  <c r="FG61" i="3"/>
  <c r="EJ61" i="3"/>
  <c r="ES61" i="3"/>
  <c r="EK61" i="3"/>
  <c r="ET61" i="3"/>
  <c r="EL61" i="3"/>
  <c r="EU61" i="3"/>
  <c r="FH61" i="3"/>
  <c r="FL61" i="3"/>
  <c r="FF61" i="3"/>
  <c r="FJ61" i="3"/>
  <c r="EE62" i="3"/>
  <c r="AE13" i="3" l="1"/>
  <c r="AD13" i="3"/>
  <c r="AC13" i="3"/>
  <c r="AB13" i="3"/>
  <c r="Y15" i="3"/>
  <c r="Z14" i="3"/>
  <c r="AA14" i="3" s="1"/>
  <c r="HQ61" i="3"/>
  <c r="GH63" i="3"/>
  <c r="HN62" i="3"/>
  <c r="HO62" i="3"/>
  <c r="HM62" i="3"/>
  <c r="HP62" i="3"/>
  <c r="HI62" i="3"/>
  <c r="HJ62" i="3"/>
  <c r="HK62" i="3"/>
  <c r="HL62" i="3"/>
  <c r="HA62" i="3"/>
  <c r="GS62" i="3"/>
  <c r="HB62" i="3"/>
  <c r="GT62" i="3"/>
  <c r="HC62" i="3"/>
  <c r="GU62" i="3"/>
  <c r="HD62" i="3"/>
  <c r="GV62" i="3"/>
  <c r="HE62" i="3"/>
  <c r="GW62" i="3"/>
  <c r="HF62" i="3"/>
  <c r="GX62" i="3"/>
  <c r="HG62" i="3"/>
  <c r="GY62" i="3"/>
  <c r="HH62" i="3"/>
  <c r="GZ62" i="3"/>
  <c r="GK62" i="3"/>
  <c r="GL62" i="3"/>
  <c r="GM62" i="3"/>
  <c r="GN62" i="3"/>
  <c r="GO62" i="3"/>
  <c r="GP62" i="3"/>
  <c r="GQ62" i="3"/>
  <c r="GR62" i="3"/>
  <c r="GJ62" i="3"/>
  <c r="GI63" i="3"/>
  <c r="FM61" i="3"/>
  <c r="EF62" i="3"/>
  <c r="ED63" i="3"/>
  <c r="EW62" i="3"/>
  <c r="EX62" i="3"/>
  <c r="FE62" i="3"/>
  <c r="EY62" i="3"/>
  <c r="FG62" i="3"/>
  <c r="EZ62" i="3"/>
  <c r="FI62" i="3"/>
  <c r="FA62" i="3"/>
  <c r="FK62" i="3"/>
  <c r="FB62" i="3"/>
  <c r="FC62" i="3"/>
  <c r="FD62" i="3"/>
  <c r="EO62" i="3"/>
  <c r="EG62" i="3"/>
  <c r="EP62" i="3"/>
  <c r="EH62" i="3"/>
  <c r="EQ62" i="3"/>
  <c r="EI62" i="3"/>
  <c r="ER62" i="3"/>
  <c r="EJ62" i="3"/>
  <c r="ES62" i="3"/>
  <c r="EK62" i="3"/>
  <c r="ET62" i="3"/>
  <c r="EL62" i="3"/>
  <c r="EU62" i="3"/>
  <c r="EM62" i="3"/>
  <c r="EV62" i="3"/>
  <c r="EN62" i="3"/>
  <c r="FL62" i="3"/>
  <c r="FJ62" i="3"/>
  <c r="FF62" i="3"/>
  <c r="FH62" i="3"/>
  <c r="EE63" i="3"/>
  <c r="D14" i="13"/>
  <c r="B41" i="4"/>
  <c r="T41" i="4" s="1"/>
  <c r="B43" i="4"/>
  <c r="T43" i="4" s="1"/>
  <c r="B45" i="4"/>
  <c r="T45" i="4" s="1"/>
  <c r="B39" i="4"/>
  <c r="T39" i="4" s="1"/>
  <c r="AD14" i="3" l="1"/>
  <c r="AE14" i="3"/>
  <c r="AC14" i="3"/>
  <c r="AB14" i="3"/>
  <c r="Y16" i="3"/>
  <c r="Z15" i="3"/>
  <c r="AA15" i="3" s="1"/>
  <c r="F7" i="4" a="1"/>
  <c r="F7" i="4" s="1"/>
  <c r="E7" i="8" s="1"/>
  <c r="B8" i="14"/>
  <c r="AM8" i="15"/>
  <c r="AM8" i="16"/>
  <c r="AM8" i="14"/>
  <c r="AM8" i="6"/>
  <c r="B8" i="6"/>
  <c r="IS6" i="3"/>
  <c r="IS7" i="3"/>
  <c r="IS8" i="3"/>
  <c r="IS9" i="3"/>
  <c r="IH9" i="3"/>
  <c r="H15" i="8"/>
  <c r="O15" i="8" s="1"/>
  <c r="IW9" i="3"/>
  <c r="AS96" i="7"/>
  <c r="AO96" i="7" s="1"/>
  <c r="V96" i="7"/>
  <c r="IH8" i="3"/>
  <c r="H14" i="8"/>
  <c r="IW8" i="3"/>
  <c r="AS72" i="7"/>
  <c r="AO72" i="7" s="1"/>
  <c r="V72" i="7"/>
  <c r="IH7" i="3"/>
  <c r="H13" i="8"/>
  <c r="O13" i="8" s="1"/>
  <c r="IW7" i="3"/>
  <c r="AS48" i="7"/>
  <c r="AO48" i="7" s="1"/>
  <c r="V48" i="7"/>
  <c r="IW6" i="3"/>
  <c r="H12" i="8"/>
  <c r="IH6" i="3"/>
  <c r="V24" i="7"/>
  <c r="AS24" i="7"/>
  <c r="AO24" i="7" s="1"/>
  <c r="HQ62" i="3"/>
  <c r="GH64" i="3"/>
  <c r="HI63" i="3"/>
  <c r="HJ63" i="3"/>
  <c r="HK63" i="3"/>
  <c r="HL63" i="3"/>
  <c r="HM63" i="3"/>
  <c r="HN63" i="3"/>
  <c r="HO63" i="3"/>
  <c r="HP63" i="3"/>
  <c r="HE63" i="3"/>
  <c r="GW63" i="3"/>
  <c r="HF63" i="3"/>
  <c r="GX63" i="3"/>
  <c r="HG63" i="3"/>
  <c r="GY63" i="3"/>
  <c r="HH63" i="3"/>
  <c r="GZ63" i="3"/>
  <c r="HA63" i="3"/>
  <c r="GS63" i="3"/>
  <c r="HB63" i="3"/>
  <c r="GT63" i="3"/>
  <c r="HC63" i="3"/>
  <c r="GU63" i="3"/>
  <c r="GM63" i="3"/>
  <c r="HD63" i="3"/>
  <c r="GV63" i="3"/>
  <c r="GN63" i="3"/>
  <c r="GO63" i="3"/>
  <c r="GP63" i="3"/>
  <c r="GK63" i="3"/>
  <c r="GL63" i="3"/>
  <c r="GQ63" i="3"/>
  <c r="GR63" i="3"/>
  <c r="GJ63" i="3"/>
  <c r="GI64" i="3"/>
  <c r="EF63" i="3"/>
  <c r="FM62" i="3"/>
  <c r="ED64" i="3"/>
  <c r="FA63" i="3"/>
  <c r="FB63" i="3"/>
  <c r="FC63" i="3"/>
  <c r="FD63" i="3"/>
  <c r="FE63" i="3"/>
  <c r="FG63" i="3"/>
  <c r="FI63" i="3"/>
  <c r="EW63" i="3"/>
  <c r="FK63" i="3"/>
  <c r="EX63" i="3"/>
  <c r="EY63" i="3"/>
  <c r="EI63" i="3"/>
  <c r="ER63" i="3"/>
  <c r="EJ63" i="3"/>
  <c r="ES63" i="3"/>
  <c r="EK63" i="3"/>
  <c r="ET63" i="3"/>
  <c r="EL63" i="3"/>
  <c r="EU63" i="3"/>
  <c r="EM63" i="3"/>
  <c r="EV63" i="3"/>
  <c r="EN63" i="3"/>
  <c r="EZ63" i="3"/>
  <c r="EO63" i="3"/>
  <c r="EG63" i="3"/>
  <c r="EP63" i="3"/>
  <c r="EH63" i="3"/>
  <c r="EQ63" i="3"/>
  <c r="FH63" i="3"/>
  <c r="FJ63" i="3"/>
  <c r="FL63" i="3"/>
  <c r="FF63" i="3"/>
  <c r="EE64" i="3"/>
  <c r="ID6" i="3"/>
  <c r="ID7" i="3"/>
  <c r="ID9" i="3"/>
  <c r="ID8" i="3"/>
  <c r="B8" i="16"/>
  <c r="B8" i="15"/>
  <c r="AB15" i="3" l="1"/>
  <c r="AC15" i="3"/>
  <c r="AE15" i="3"/>
  <c r="AD15" i="3"/>
  <c r="Y17" i="3"/>
  <c r="Z16" i="3"/>
  <c r="AA16" i="3" s="1"/>
  <c r="AR6" i="14"/>
  <c r="D7" i="7"/>
  <c r="D31" i="7" s="1"/>
  <c r="D79" i="7" s="1"/>
  <c r="AR6" i="16"/>
  <c r="AR6" i="15"/>
  <c r="E6" i="14"/>
  <c r="Z7" i="7"/>
  <c r="Z55" i="7" s="1"/>
  <c r="E6" i="16"/>
  <c r="AR6" i="6"/>
  <c r="M7" i="8"/>
  <c r="D7" i="20" s="1"/>
  <c r="E6" i="15"/>
  <c r="E6" i="6"/>
  <c r="G13" i="8"/>
  <c r="O12" i="8"/>
  <c r="G14" i="8"/>
  <c r="O14" i="8"/>
  <c r="IW5" i="3"/>
  <c r="EF64" i="3"/>
  <c r="HQ63" i="3"/>
  <c r="GH65" i="3"/>
  <c r="HI64" i="3"/>
  <c r="HJ64" i="3"/>
  <c r="HK64" i="3"/>
  <c r="HL64" i="3"/>
  <c r="HM64" i="3"/>
  <c r="HN64" i="3"/>
  <c r="HO64" i="3"/>
  <c r="HP64" i="3"/>
  <c r="HA64" i="3"/>
  <c r="GS64" i="3"/>
  <c r="HB64" i="3"/>
  <c r="GT64" i="3"/>
  <c r="HC64" i="3"/>
  <c r="GU64" i="3"/>
  <c r="HD64" i="3"/>
  <c r="GV64" i="3"/>
  <c r="HE64" i="3"/>
  <c r="GW64" i="3"/>
  <c r="HF64" i="3"/>
  <c r="GX64" i="3"/>
  <c r="GQ64" i="3"/>
  <c r="GR64" i="3"/>
  <c r="HG64" i="3"/>
  <c r="GY64" i="3"/>
  <c r="HH64" i="3"/>
  <c r="GZ64" i="3"/>
  <c r="GK64" i="3"/>
  <c r="GL64" i="3"/>
  <c r="GP64" i="3"/>
  <c r="GM64" i="3"/>
  <c r="GN64" i="3"/>
  <c r="GO64" i="3"/>
  <c r="GI65" i="3"/>
  <c r="GJ64" i="3"/>
  <c r="FM63" i="3"/>
  <c r="ED65" i="3"/>
  <c r="FH64" i="3"/>
  <c r="FI64" i="3"/>
  <c r="FK64" i="3"/>
  <c r="FL64" i="3"/>
  <c r="EW64" i="3"/>
  <c r="EX64" i="3"/>
  <c r="EY64" i="3"/>
  <c r="EZ64" i="3"/>
  <c r="FA64" i="3"/>
  <c r="FB64" i="3"/>
  <c r="FE64" i="3"/>
  <c r="FC64" i="3"/>
  <c r="EM64" i="3"/>
  <c r="EV64" i="3"/>
  <c r="EN64" i="3"/>
  <c r="EO64" i="3"/>
  <c r="EG64" i="3"/>
  <c r="EP64" i="3"/>
  <c r="EH64" i="3"/>
  <c r="EQ64" i="3"/>
  <c r="EI64" i="3"/>
  <c r="ER64" i="3"/>
  <c r="EJ64" i="3"/>
  <c r="ES64" i="3"/>
  <c r="FG64" i="3"/>
  <c r="FD64" i="3"/>
  <c r="EK64" i="3"/>
  <c r="ET64" i="3"/>
  <c r="EL64" i="3"/>
  <c r="EU64" i="3"/>
  <c r="FF64" i="3"/>
  <c r="FJ64" i="3"/>
  <c r="EE65" i="3"/>
  <c r="R96" i="7"/>
  <c r="IH5" i="3"/>
  <c r="G15" i="8"/>
  <c r="G12" i="8"/>
  <c r="R24" i="7"/>
  <c r="R48" i="7"/>
  <c r="R72" i="7"/>
  <c r="H11" i="8"/>
  <c r="AC16" i="3" l="1"/>
  <c r="AB16" i="3"/>
  <c r="AE16" i="3"/>
  <c r="AD16" i="3"/>
  <c r="Y18" i="3"/>
  <c r="Z17" i="3"/>
  <c r="AA17" i="3" s="1"/>
  <c r="D55" i="7"/>
  <c r="Z31" i="7"/>
  <c r="Z79" i="7" s="1"/>
  <c r="HQ64" i="3"/>
  <c r="GH66" i="3"/>
  <c r="HM65" i="3"/>
  <c r="HN65" i="3"/>
  <c r="HO65" i="3"/>
  <c r="HP65" i="3"/>
  <c r="HL65" i="3"/>
  <c r="HI65" i="3"/>
  <c r="HJ65" i="3"/>
  <c r="HK65" i="3"/>
  <c r="HA65" i="3"/>
  <c r="GS65" i="3"/>
  <c r="HB65" i="3"/>
  <c r="GT65" i="3"/>
  <c r="HC65" i="3"/>
  <c r="GU65" i="3"/>
  <c r="HD65" i="3"/>
  <c r="GV65" i="3"/>
  <c r="HE65" i="3"/>
  <c r="GW65" i="3"/>
  <c r="HF65" i="3"/>
  <c r="GX65" i="3"/>
  <c r="HG65" i="3"/>
  <c r="GY65" i="3"/>
  <c r="HH65" i="3"/>
  <c r="GZ65" i="3"/>
  <c r="GK65" i="3"/>
  <c r="GL65" i="3"/>
  <c r="GM65" i="3"/>
  <c r="GN65" i="3"/>
  <c r="GO65" i="3"/>
  <c r="GP65" i="3"/>
  <c r="GQ65" i="3"/>
  <c r="GR65" i="3"/>
  <c r="FM64" i="3"/>
  <c r="EF65" i="3"/>
  <c r="GJ65" i="3"/>
  <c r="GI66" i="3"/>
  <c r="ED66" i="3"/>
  <c r="EW65" i="3"/>
  <c r="EX65" i="3"/>
  <c r="EY65" i="3"/>
  <c r="EZ65" i="3"/>
  <c r="FE65" i="3"/>
  <c r="FA65" i="3"/>
  <c r="FG65" i="3"/>
  <c r="FB65" i="3"/>
  <c r="FH65" i="3"/>
  <c r="FC65" i="3"/>
  <c r="FI65" i="3"/>
  <c r="FD65" i="3"/>
  <c r="FK65" i="3"/>
  <c r="FL65" i="3"/>
  <c r="EO65" i="3"/>
  <c r="EG65" i="3"/>
  <c r="EP65" i="3"/>
  <c r="EH65" i="3"/>
  <c r="EQ65" i="3"/>
  <c r="EI65" i="3"/>
  <c r="ER65" i="3"/>
  <c r="EJ65" i="3"/>
  <c r="ES65" i="3"/>
  <c r="EK65" i="3"/>
  <c r="ET65" i="3"/>
  <c r="EL65" i="3"/>
  <c r="EU65" i="3"/>
  <c r="EM65" i="3"/>
  <c r="EV65" i="3"/>
  <c r="EN65" i="3"/>
  <c r="FJ65" i="3"/>
  <c r="FF65" i="3"/>
  <c r="EE66" i="3"/>
  <c r="AC17" i="3" l="1"/>
  <c r="AB17" i="3"/>
  <c r="AE17" i="3"/>
  <c r="AD17" i="3"/>
  <c r="Y19" i="3"/>
  <c r="Z18" i="3"/>
  <c r="AA18" i="3" s="1"/>
  <c r="HQ65" i="3"/>
  <c r="GH67" i="3"/>
  <c r="HP66" i="3"/>
  <c r="HI66" i="3"/>
  <c r="HJ66" i="3"/>
  <c r="HK66" i="3"/>
  <c r="HL66" i="3"/>
  <c r="HM66" i="3"/>
  <c r="HN66" i="3"/>
  <c r="HO66" i="3"/>
  <c r="HE66" i="3"/>
  <c r="GW66" i="3"/>
  <c r="HF66" i="3"/>
  <c r="GX66" i="3"/>
  <c r="HG66" i="3"/>
  <c r="GY66" i="3"/>
  <c r="HH66" i="3"/>
  <c r="GZ66" i="3"/>
  <c r="HA66" i="3"/>
  <c r="GS66" i="3"/>
  <c r="HB66" i="3"/>
  <c r="GT66" i="3"/>
  <c r="GM66" i="3"/>
  <c r="GN66" i="3"/>
  <c r="GO66" i="3"/>
  <c r="GK66" i="3"/>
  <c r="GP66" i="3"/>
  <c r="HC66" i="3"/>
  <c r="GU66" i="3"/>
  <c r="GQ66" i="3"/>
  <c r="HD66" i="3"/>
  <c r="GV66" i="3"/>
  <c r="GR66" i="3"/>
  <c r="GL66" i="3"/>
  <c r="FM65" i="3"/>
  <c r="GI67" i="3"/>
  <c r="GJ66" i="3"/>
  <c r="EF66" i="3"/>
  <c r="ED67" i="3"/>
  <c r="FH66" i="3"/>
  <c r="FA66" i="3"/>
  <c r="FI66" i="3"/>
  <c r="FB66" i="3"/>
  <c r="FK66" i="3"/>
  <c r="FC66" i="3"/>
  <c r="FL66" i="3"/>
  <c r="FD66" i="3"/>
  <c r="EW66" i="3"/>
  <c r="EX66" i="3"/>
  <c r="FE66" i="3"/>
  <c r="EY66" i="3"/>
  <c r="EI66" i="3"/>
  <c r="ER66" i="3"/>
  <c r="EJ66" i="3"/>
  <c r="ES66" i="3"/>
  <c r="EK66" i="3"/>
  <c r="ET66" i="3"/>
  <c r="EL66" i="3"/>
  <c r="EU66" i="3"/>
  <c r="EM66" i="3"/>
  <c r="EV66" i="3"/>
  <c r="EN66" i="3"/>
  <c r="EO66" i="3"/>
  <c r="EG66" i="3"/>
  <c r="EP66" i="3"/>
  <c r="FG66" i="3"/>
  <c r="EH66" i="3"/>
  <c r="EQ66" i="3"/>
  <c r="EZ66" i="3"/>
  <c r="FJ66" i="3"/>
  <c r="FF66" i="3"/>
  <c r="EE67" i="3"/>
  <c r="H11" i="7"/>
  <c r="L20" i="6"/>
  <c r="D11" i="7" s="1"/>
  <c r="L41" i="6"/>
  <c r="T41" i="6"/>
  <c r="H12" i="7"/>
  <c r="H13" i="7"/>
  <c r="H14" i="7"/>
  <c r="H15" i="7"/>
  <c r="H16" i="7"/>
  <c r="H17" i="7"/>
  <c r="H18" i="7"/>
  <c r="H19" i="7"/>
  <c r="H20" i="7"/>
  <c r="H21" i="7"/>
  <c r="H22" i="7"/>
  <c r="G12" i="7"/>
  <c r="G13" i="7"/>
  <c r="G14" i="7"/>
  <c r="G15" i="7"/>
  <c r="G16" i="7"/>
  <c r="G17" i="7"/>
  <c r="G18" i="7"/>
  <c r="G19" i="7"/>
  <c r="G20" i="7"/>
  <c r="G21" i="7"/>
  <c r="G22" i="7"/>
  <c r="T39" i="6"/>
  <c r="T40" i="6"/>
  <c r="T45" i="6"/>
  <c r="L40" i="6"/>
  <c r="L45" i="6"/>
  <c r="AD18" i="3" l="1"/>
  <c r="AC18" i="3"/>
  <c r="AB18" i="3"/>
  <c r="AE18" i="3"/>
  <c r="Y20" i="3"/>
  <c r="Z19" i="3"/>
  <c r="AA19" i="3" s="1"/>
  <c r="HQ66" i="3"/>
  <c r="GH68" i="3"/>
  <c r="HI67" i="3"/>
  <c r="HJ67" i="3"/>
  <c r="HK67" i="3"/>
  <c r="HL67" i="3"/>
  <c r="HM67" i="3"/>
  <c r="HN67" i="3"/>
  <c r="HO67" i="3"/>
  <c r="HP67" i="3"/>
  <c r="HA67" i="3"/>
  <c r="GS67" i="3"/>
  <c r="HB67" i="3"/>
  <c r="GT67" i="3"/>
  <c r="HC67" i="3"/>
  <c r="GU67" i="3"/>
  <c r="HD67" i="3"/>
  <c r="GV67" i="3"/>
  <c r="HE67" i="3"/>
  <c r="GW67" i="3"/>
  <c r="HF67" i="3"/>
  <c r="GX67" i="3"/>
  <c r="GQ67" i="3"/>
  <c r="GR67" i="3"/>
  <c r="GO67" i="3"/>
  <c r="GP67" i="3"/>
  <c r="HG67" i="3"/>
  <c r="GY67" i="3"/>
  <c r="GK67" i="3"/>
  <c r="HH67" i="3"/>
  <c r="GZ67" i="3"/>
  <c r="GL67" i="3"/>
  <c r="GM67" i="3"/>
  <c r="GN67" i="3"/>
  <c r="GJ67" i="3"/>
  <c r="GI68" i="3"/>
  <c r="FM66" i="3"/>
  <c r="EF67" i="3"/>
  <c r="ED68" i="3"/>
  <c r="FE67" i="3"/>
  <c r="EW67" i="3"/>
  <c r="FF67" i="3"/>
  <c r="EX67" i="3"/>
  <c r="FG67" i="3"/>
  <c r="EY67" i="3"/>
  <c r="FH67" i="3"/>
  <c r="EZ67" i="3"/>
  <c r="FI67" i="3"/>
  <c r="FA67" i="3"/>
  <c r="FJ67" i="3"/>
  <c r="FB67" i="3"/>
  <c r="FK67" i="3"/>
  <c r="FC67" i="3"/>
  <c r="FL67" i="3"/>
  <c r="FD67" i="3"/>
  <c r="EM67" i="3"/>
  <c r="EV67" i="3"/>
  <c r="EN67" i="3"/>
  <c r="EO67" i="3"/>
  <c r="EG67" i="3"/>
  <c r="EP67" i="3"/>
  <c r="EH67" i="3"/>
  <c r="EQ67" i="3"/>
  <c r="EI67" i="3"/>
  <c r="ER67" i="3"/>
  <c r="EJ67" i="3"/>
  <c r="ES67" i="3"/>
  <c r="EK67" i="3"/>
  <c r="ET67" i="3"/>
  <c r="EL67" i="3"/>
  <c r="EU67" i="3"/>
  <c r="AM26" i="3"/>
  <c r="AM27" i="3"/>
  <c r="AM31" i="3"/>
  <c r="EE68" i="3"/>
  <c r="Z41" i="6"/>
  <c r="M45" i="6"/>
  <c r="Z45" i="6"/>
  <c r="Z40" i="6"/>
  <c r="M20" i="6"/>
  <c r="M40" i="6"/>
  <c r="M41" i="6"/>
  <c r="AE19" i="3" l="1"/>
  <c r="AD19" i="3"/>
  <c r="AC19" i="3"/>
  <c r="AB19" i="3"/>
  <c r="Y21" i="3"/>
  <c r="Z20" i="3"/>
  <c r="AA20" i="3" s="1"/>
  <c r="EF68" i="3"/>
  <c r="HQ67" i="3"/>
  <c r="FM67" i="3"/>
  <c r="GH69" i="3"/>
  <c r="HL68" i="3"/>
  <c r="HM68" i="3"/>
  <c r="HN68" i="3"/>
  <c r="HO68" i="3"/>
  <c r="HP68" i="3"/>
  <c r="HK68" i="3"/>
  <c r="HI68" i="3"/>
  <c r="HJ68" i="3"/>
  <c r="HA68" i="3"/>
  <c r="GS68" i="3"/>
  <c r="HB68" i="3"/>
  <c r="GT68" i="3"/>
  <c r="HC68" i="3"/>
  <c r="GU68" i="3"/>
  <c r="HD68" i="3"/>
  <c r="GV68" i="3"/>
  <c r="HE68" i="3"/>
  <c r="GW68" i="3"/>
  <c r="HF68" i="3"/>
  <c r="GX68" i="3"/>
  <c r="HG68" i="3"/>
  <c r="GY68" i="3"/>
  <c r="HH68" i="3"/>
  <c r="GZ68" i="3"/>
  <c r="GK68" i="3"/>
  <c r="GL68" i="3"/>
  <c r="GM68" i="3"/>
  <c r="GN68" i="3"/>
  <c r="GO68" i="3"/>
  <c r="GP68" i="3"/>
  <c r="GQ68" i="3"/>
  <c r="GR68" i="3"/>
  <c r="GI69" i="3"/>
  <c r="GJ68" i="3"/>
  <c r="ED69" i="3"/>
  <c r="FE68" i="3"/>
  <c r="EW68" i="3"/>
  <c r="FF68" i="3"/>
  <c r="EX68" i="3"/>
  <c r="FG68" i="3"/>
  <c r="EY68" i="3"/>
  <c r="FH68" i="3"/>
  <c r="EZ68" i="3"/>
  <c r="FI68" i="3"/>
  <c r="FA68" i="3"/>
  <c r="FJ68" i="3"/>
  <c r="FB68" i="3"/>
  <c r="FK68" i="3"/>
  <c r="FC68" i="3"/>
  <c r="FL68" i="3"/>
  <c r="FD68" i="3"/>
  <c r="EO68" i="3"/>
  <c r="EG68" i="3"/>
  <c r="EP68" i="3"/>
  <c r="EH68" i="3"/>
  <c r="EQ68" i="3"/>
  <c r="EI68" i="3"/>
  <c r="ER68" i="3"/>
  <c r="EJ68" i="3"/>
  <c r="ES68" i="3"/>
  <c r="EK68" i="3"/>
  <c r="ET68" i="3"/>
  <c r="EL68" i="3"/>
  <c r="EU68" i="3"/>
  <c r="EM68" i="3"/>
  <c r="EV68" i="3"/>
  <c r="EN68" i="3"/>
  <c r="EE69" i="3"/>
  <c r="AH27" i="3"/>
  <c r="AH26" i="3"/>
  <c r="AH31" i="3"/>
  <c r="W45" i="6"/>
  <c r="W41" i="6"/>
  <c r="W40" i="6"/>
  <c r="AE20" i="3" l="1"/>
  <c r="AD20" i="3"/>
  <c r="AC20" i="3"/>
  <c r="AB20" i="3"/>
  <c r="Y22" i="3"/>
  <c r="Z21" i="3"/>
  <c r="AA21" i="3" s="1"/>
  <c r="BP17" i="3"/>
  <c r="BP13" i="3"/>
  <c r="BP9" i="3"/>
  <c r="BP16" i="3"/>
  <c r="BP12" i="3"/>
  <c r="BP8" i="3"/>
  <c r="BP19" i="3"/>
  <c r="BP15" i="3"/>
  <c r="BP11" i="3"/>
  <c r="BP10" i="3"/>
  <c r="BP18" i="3"/>
  <c r="BP14" i="3"/>
  <c r="BU18" i="3"/>
  <c r="BU14" i="3"/>
  <c r="BU10" i="3"/>
  <c r="BU17" i="3"/>
  <c r="BU13" i="3"/>
  <c r="BU9" i="3"/>
  <c r="BU16" i="3"/>
  <c r="BU12" i="3"/>
  <c r="BU8" i="3"/>
  <c r="BU19" i="3"/>
  <c r="BU15" i="3"/>
  <c r="BU11" i="3"/>
  <c r="BK29" i="3"/>
  <c r="BK27" i="3"/>
  <c r="BK26" i="3"/>
  <c r="BK24" i="3"/>
  <c r="BK25" i="3"/>
  <c r="BK28" i="3"/>
  <c r="BQ18" i="3"/>
  <c r="BQ14" i="3"/>
  <c r="BQ10" i="3"/>
  <c r="BG26" i="3"/>
  <c r="BQ17" i="3"/>
  <c r="BQ13" i="3"/>
  <c r="BQ9" i="3"/>
  <c r="BG29" i="3"/>
  <c r="BG25" i="3"/>
  <c r="BQ16" i="3"/>
  <c r="BQ12" i="3"/>
  <c r="BQ8" i="3"/>
  <c r="BG28" i="3"/>
  <c r="BQ19" i="3"/>
  <c r="BQ15" i="3"/>
  <c r="BG27" i="3"/>
  <c r="BQ11" i="3"/>
  <c r="BG24" i="3"/>
  <c r="BF35" i="3"/>
  <c r="BF27" i="3"/>
  <c r="BF24" i="3"/>
  <c r="BF34" i="3"/>
  <c r="BF26" i="3"/>
  <c r="BF33" i="3"/>
  <c r="BF29" i="3"/>
  <c r="BF25" i="3"/>
  <c r="BF28" i="3"/>
  <c r="GJ69" i="3"/>
  <c r="HQ68" i="3"/>
  <c r="FM68" i="3"/>
  <c r="HO69" i="3"/>
  <c r="HP69" i="3"/>
  <c r="HI69" i="3"/>
  <c r="HJ69" i="3"/>
  <c r="HN69" i="3"/>
  <c r="HK69" i="3"/>
  <c r="HL69" i="3"/>
  <c r="HM69" i="3"/>
  <c r="HE69" i="3"/>
  <c r="GW69" i="3"/>
  <c r="HF69" i="3"/>
  <c r="GX69" i="3"/>
  <c r="HG69" i="3"/>
  <c r="GY69" i="3"/>
  <c r="HH69" i="3"/>
  <c r="GZ69" i="3"/>
  <c r="HA69" i="3"/>
  <c r="GS69" i="3"/>
  <c r="HB69" i="3"/>
  <c r="GT69" i="3"/>
  <c r="GM69" i="3"/>
  <c r="GK69" i="3"/>
  <c r="GN69" i="3"/>
  <c r="GL69" i="3"/>
  <c r="GO69" i="3"/>
  <c r="GP69" i="3"/>
  <c r="GQ69" i="3"/>
  <c r="GR69" i="3"/>
  <c r="HC69" i="3"/>
  <c r="GU69" i="3"/>
  <c r="HD69" i="3"/>
  <c r="GV69" i="3"/>
  <c r="EF69" i="3"/>
  <c r="FT58" i="3"/>
  <c r="FU58" i="3" s="1"/>
  <c r="K62" i="7" s="1"/>
  <c r="FT71" i="3"/>
  <c r="FU71" i="3" s="1"/>
  <c r="K83" i="7" s="1"/>
  <c r="FT64" i="3"/>
  <c r="FU64" i="3" s="1"/>
  <c r="K68" i="7" s="1"/>
  <c r="FT65" i="3"/>
  <c r="FU65" i="3" s="1"/>
  <c r="K69" i="7" s="1"/>
  <c r="FT82" i="3"/>
  <c r="FU82" i="3" s="1"/>
  <c r="K94" i="7" s="1"/>
  <c r="FT44" i="3"/>
  <c r="FU44" i="3" s="1"/>
  <c r="K40" i="7" s="1"/>
  <c r="FT45" i="3"/>
  <c r="FU45" i="3" s="1"/>
  <c r="K41" i="7" s="1"/>
  <c r="FT59" i="3"/>
  <c r="FU59" i="3" s="1"/>
  <c r="K63" i="7" s="1"/>
  <c r="FT49" i="3"/>
  <c r="FU49" i="3" s="1"/>
  <c r="K45" i="7" s="1"/>
  <c r="FT80" i="3"/>
  <c r="FU80" i="3" s="1"/>
  <c r="K92" i="7" s="1"/>
  <c r="FT81" i="3"/>
  <c r="FU81" i="3" s="1"/>
  <c r="K93" i="7" s="1"/>
  <c r="FT72" i="3"/>
  <c r="FU72" i="3" s="1"/>
  <c r="K84" i="7" s="1"/>
  <c r="FT57" i="3"/>
  <c r="FU57" i="3" s="1"/>
  <c r="K61" i="7" s="1"/>
  <c r="FT46" i="3"/>
  <c r="FU46" i="3" s="1"/>
  <c r="K42" i="7" s="1"/>
  <c r="FT50" i="3"/>
  <c r="FU50" i="3" s="1"/>
  <c r="K46" i="7" s="1"/>
  <c r="FT61" i="3"/>
  <c r="FU61" i="3" s="1"/>
  <c r="K65" i="7" s="1"/>
  <c r="FT47" i="3"/>
  <c r="FU47" i="3" s="1"/>
  <c r="K43" i="7" s="1"/>
  <c r="FT56" i="3"/>
  <c r="FU56" i="3" s="1"/>
  <c r="K60" i="7" s="1"/>
  <c r="FT76" i="3"/>
  <c r="FU76" i="3" s="1"/>
  <c r="K88" i="7" s="1"/>
  <c r="FT48" i="3"/>
  <c r="FU48" i="3" s="1"/>
  <c r="K44" i="7" s="1"/>
  <c r="FT62" i="3"/>
  <c r="FU62" i="3" s="1"/>
  <c r="K66" i="7" s="1"/>
  <c r="FT73" i="3"/>
  <c r="FU73" i="3" s="1"/>
  <c r="K85" i="7" s="1"/>
  <c r="FT60" i="3"/>
  <c r="FU60" i="3" s="1"/>
  <c r="K64" i="7" s="1"/>
  <c r="FT75" i="3"/>
  <c r="FU75" i="3" s="1"/>
  <c r="K87" i="7" s="1"/>
  <c r="FT55" i="3"/>
  <c r="FU55" i="3" s="1"/>
  <c r="K59" i="7" s="1"/>
  <c r="FT63" i="3"/>
  <c r="FU63" i="3" s="1"/>
  <c r="K67" i="7" s="1"/>
  <c r="FT66" i="3"/>
  <c r="FU66" i="3" s="1"/>
  <c r="K70" i="7" s="1"/>
  <c r="FT77" i="3"/>
  <c r="FU77" i="3" s="1"/>
  <c r="K89" i="7" s="1"/>
  <c r="FT79" i="3"/>
  <c r="FU79" i="3" s="1"/>
  <c r="K91" i="7" s="1"/>
  <c r="FT78" i="3"/>
  <c r="FU78" i="3" s="1"/>
  <c r="K90" i="7" s="1"/>
  <c r="FT74" i="3"/>
  <c r="FU74" i="3" s="1"/>
  <c r="K86" i="7" s="1"/>
  <c r="FI69" i="3"/>
  <c r="FA69" i="3"/>
  <c r="FJ69" i="3"/>
  <c r="FB69" i="3"/>
  <c r="FK69" i="3"/>
  <c r="FC69" i="3"/>
  <c r="FL69" i="3"/>
  <c r="FD69" i="3"/>
  <c r="FE69" i="3"/>
  <c r="EW69" i="3"/>
  <c r="FF69" i="3"/>
  <c r="EX69" i="3"/>
  <c r="FG69" i="3"/>
  <c r="EY69" i="3"/>
  <c r="EI69" i="3"/>
  <c r="ER69" i="3"/>
  <c r="FH69" i="3"/>
  <c r="EZ69" i="3"/>
  <c r="EJ69" i="3"/>
  <c r="ES69" i="3"/>
  <c r="EK69" i="3"/>
  <c r="ET69" i="3"/>
  <c r="EL69" i="3"/>
  <c r="EU69" i="3"/>
  <c r="EM69" i="3"/>
  <c r="EV69" i="3"/>
  <c r="EN69" i="3"/>
  <c r="EO69" i="3"/>
  <c r="EG69" i="3"/>
  <c r="EP69" i="3"/>
  <c r="EH69" i="3"/>
  <c r="EQ69" i="3"/>
  <c r="AK27" i="3"/>
  <c r="AK26" i="3"/>
  <c r="AK31" i="3"/>
  <c r="L39" i="6"/>
  <c r="T38" i="6"/>
  <c r="L38" i="6"/>
  <c r="T31" i="6"/>
  <c r="L31" i="6"/>
  <c r="T30" i="6"/>
  <c r="L30" i="6"/>
  <c r="T29" i="6"/>
  <c r="L29" i="6"/>
  <c r="T28" i="6"/>
  <c r="L28" i="6"/>
  <c r="T27" i="6"/>
  <c r="L27" i="6"/>
  <c r="T26" i="6"/>
  <c r="L26" i="6"/>
  <c r="T25" i="6"/>
  <c r="L25" i="6"/>
  <c r="T24" i="6"/>
  <c r="L24" i="6"/>
  <c r="T23" i="6"/>
  <c r="L23" i="6"/>
  <c r="T22" i="6"/>
  <c r="L22" i="6"/>
  <c r="T21" i="6"/>
  <c r="L21" i="6"/>
  <c r="T20" i="6"/>
  <c r="F15" i="6"/>
  <c r="E52" i="6" s="1"/>
  <c r="AE21" i="3" l="1"/>
  <c r="AD21" i="3"/>
  <c r="AC21" i="3"/>
  <c r="AB21" i="3"/>
  <c r="Y23" i="3"/>
  <c r="Z22" i="3"/>
  <c r="AA22" i="3" s="1"/>
  <c r="P52" i="6"/>
  <c r="D50" i="6"/>
  <c r="HQ69" i="3"/>
  <c r="FM69" i="3"/>
  <c r="AM24" i="3"/>
  <c r="AM25" i="3"/>
  <c r="H52" i="6"/>
  <c r="D12" i="7"/>
  <c r="Z21" i="6"/>
  <c r="D13" i="7"/>
  <c r="Z22" i="6"/>
  <c r="D16" i="7"/>
  <c r="Z25" i="6"/>
  <c r="D20" i="7"/>
  <c r="Z29" i="6"/>
  <c r="D17" i="7"/>
  <c r="Z26" i="6"/>
  <c r="D21" i="7"/>
  <c r="Z30" i="6"/>
  <c r="D14" i="7"/>
  <c r="Z23" i="6"/>
  <c r="D22" i="7"/>
  <c r="Z31" i="6"/>
  <c r="D18" i="7"/>
  <c r="Z27" i="6"/>
  <c r="D19" i="7"/>
  <c r="Z28" i="6"/>
  <c r="D15" i="7"/>
  <c r="Z24" i="6"/>
  <c r="W20" i="6"/>
  <c r="Z20" i="6"/>
  <c r="Z39" i="6"/>
  <c r="Z38" i="6"/>
  <c r="E62" i="6"/>
  <c r="H62" i="6" s="1"/>
  <c r="E59" i="6"/>
  <c r="H59" i="6" s="1"/>
  <c r="E61" i="6"/>
  <c r="H61" i="6" s="1"/>
  <c r="E54" i="6"/>
  <c r="H54" i="6" s="1"/>
  <c r="E60" i="6"/>
  <c r="H60" i="6" s="1"/>
  <c r="E53" i="6"/>
  <c r="H53" i="6" s="1"/>
  <c r="E55" i="6"/>
  <c r="H55" i="6" s="1"/>
  <c r="E58" i="6"/>
  <c r="H58" i="6" s="1"/>
  <c r="E57" i="6"/>
  <c r="H57" i="6" s="1"/>
  <c r="E56" i="6"/>
  <c r="H56" i="6" s="1"/>
  <c r="E63" i="6"/>
  <c r="H63" i="6" s="1"/>
  <c r="M29" i="6"/>
  <c r="W29" i="6" s="1"/>
  <c r="M22" i="6"/>
  <c r="W22" i="6" s="1"/>
  <c r="M30" i="6"/>
  <c r="W30" i="6" s="1"/>
  <c r="M23" i="6"/>
  <c r="W23" i="6" s="1"/>
  <c r="M27" i="6"/>
  <c r="W27" i="6" s="1"/>
  <c r="M31" i="6"/>
  <c r="W31" i="6" s="1"/>
  <c r="M21" i="6"/>
  <c r="W21" i="6" s="1"/>
  <c r="M25" i="6"/>
  <c r="W25" i="6" s="1"/>
  <c r="M26" i="6"/>
  <c r="W26" i="6" s="1"/>
  <c r="M24" i="6"/>
  <c r="W24" i="6" s="1"/>
  <c r="M28" i="6"/>
  <c r="W28" i="6" s="1"/>
  <c r="M38" i="6"/>
  <c r="M39" i="6"/>
  <c r="AE22" i="3" l="1"/>
  <c r="AB22" i="3"/>
  <c r="AD22" i="3"/>
  <c r="AC22" i="3"/>
  <c r="Y24" i="3"/>
  <c r="Z23" i="3"/>
  <c r="AA23" i="3" s="1"/>
  <c r="HY63" i="3"/>
  <c r="HZ63" i="3" s="1"/>
  <c r="AG67" i="7" s="1"/>
  <c r="HY49" i="3"/>
  <c r="HZ49" i="3" s="1"/>
  <c r="AG45" i="7" s="1"/>
  <c r="HY62" i="3"/>
  <c r="HZ62" i="3" s="1"/>
  <c r="AG66" i="7" s="1"/>
  <c r="HY61" i="3"/>
  <c r="HZ61" i="3" s="1"/>
  <c r="AG65" i="7" s="1"/>
  <c r="HY65" i="3"/>
  <c r="HZ65" i="3" s="1"/>
  <c r="AG69" i="7" s="1"/>
  <c r="HY60" i="3"/>
  <c r="HZ60" i="3" s="1"/>
  <c r="AG64" i="7" s="1"/>
  <c r="HY77" i="3"/>
  <c r="HZ77" i="3" s="1"/>
  <c r="AG89" i="7" s="1"/>
  <c r="HY80" i="3"/>
  <c r="HZ80" i="3" s="1"/>
  <c r="AG92" i="7" s="1"/>
  <c r="HY82" i="3"/>
  <c r="HZ82" i="3" s="1"/>
  <c r="AG94" i="7" s="1"/>
  <c r="HY57" i="3"/>
  <c r="HZ57" i="3" s="1"/>
  <c r="AG61" i="7" s="1"/>
  <c r="HY59" i="3"/>
  <c r="HZ59" i="3" s="1"/>
  <c r="AG63" i="7" s="1"/>
  <c r="HY47" i="3"/>
  <c r="HZ47" i="3" s="1"/>
  <c r="AG43" i="7" s="1"/>
  <c r="HY45" i="3"/>
  <c r="HZ45" i="3" s="1"/>
  <c r="AG41" i="7" s="1"/>
  <c r="HY81" i="3"/>
  <c r="HZ81" i="3" s="1"/>
  <c r="AG93" i="7" s="1"/>
  <c r="HY71" i="3"/>
  <c r="HZ71" i="3" s="1"/>
  <c r="AG83" i="7" s="1"/>
  <c r="HY44" i="3"/>
  <c r="HZ44" i="3" s="1"/>
  <c r="AG40" i="7" s="1"/>
  <c r="HY46" i="3"/>
  <c r="HZ46" i="3" s="1"/>
  <c r="AG42" i="7" s="1"/>
  <c r="HY43" i="3"/>
  <c r="HZ43" i="3" s="1"/>
  <c r="AG39" i="7" s="1"/>
  <c r="HY66" i="3"/>
  <c r="HZ66" i="3" s="1"/>
  <c r="AG70" i="7" s="1"/>
  <c r="HY78" i="3"/>
  <c r="HZ78" i="3" s="1"/>
  <c r="AG90" i="7" s="1"/>
  <c r="HY42" i="3"/>
  <c r="HZ42" i="3" s="1"/>
  <c r="AG38" i="7" s="1"/>
  <c r="HY56" i="3"/>
  <c r="HZ56" i="3" s="1"/>
  <c r="AG60" i="7" s="1"/>
  <c r="HY72" i="3"/>
  <c r="HZ72" i="3" s="1"/>
  <c r="AG84" i="7" s="1"/>
  <c r="HY64" i="3"/>
  <c r="HZ64" i="3" s="1"/>
  <c r="AG68" i="7" s="1"/>
  <c r="HY75" i="3"/>
  <c r="HZ75" i="3" s="1"/>
  <c r="AG87" i="7" s="1"/>
  <c r="HY58" i="3"/>
  <c r="HZ58" i="3" s="1"/>
  <c r="AG62" i="7" s="1"/>
  <c r="HY76" i="3"/>
  <c r="HZ76" i="3" s="1"/>
  <c r="AG88" i="7" s="1"/>
  <c r="HY79" i="3"/>
  <c r="HZ79" i="3" s="1"/>
  <c r="AG91" i="7" s="1"/>
  <c r="HY74" i="3"/>
  <c r="HZ74" i="3" s="1"/>
  <c r="AG86" i="7" s="1"/>
  <c r="HY48" i="3"/>
  <c r="HZ48" i="3" s="1"/>
  <c r="AG44" i="7" s="1"/>
  <c r="HY55" i="3"/>
  <c r="HZ55" i="3" s="1"/>
  <c r="AG59" i="7" s="1"/>
  <c r="HY50" i="3"/>
  <c r="HZ50" i="3" s="1"/>
  <c r="AG46" i="7" s="1"/>
  <c r="HY73" i="3"/>
  <c r="HZ73" i="3" s="1"/>
  <c r="AG85" i="7" s="1"/>
  <c r="FS23" i="3"/>
  <c r="FU23" i="3" s="1"/>
  <c r="K11" i="7" s="1"/>
  <c r="AH25" i="3"/>
  <c r="AH24" i="3"/>
  <c r="FS27" i="3"/>
  <c r="FU27" i="3" s="1"/>
  <c r="K15" i="7" s="1"/>
  <c r="FS30" i="3"/>
  <c r="FU30" i="3" s="1"/>
  <c r="K18" i="7" s="1"/>
  <c r="FS33" i="3"/>
  <c r="FU33" i="3" s="1"/>
  <c r="K21" i="7" s="1"/>
  <c r="FS34" i="3"/>
  <c r="FU34" i="3" s="1"/>
  <c r="K22" i="7" s="1"/>
  <c r="FS28" i="3"/>
  <c r="FU28" i="3" s="1"/>
  <c r="K16" i="7" s="1"/>
  <c r="FS29" i="3"/>
  <c r="FU29" i="3" s="1"/>
  <c r="K17" i="7" s="1"/>
  <c r="FS26" i="3"/>
  <c r="FU26" i="3" s="1"/>
  <c r="K14" i="7" s="1"/>
  <c r="FS25" i="3"/>
  <c r="FU25" i="3" s="1"/>
  <c r="K13" i="7" s="1"/>
  <c r="FS32" i="3"/>
  <c r="FU32" i="3" s="1"/>
  <c r="K20" i="7" s="1"/>
  <c r="FS24" i="3"/>
  <c r="FU24" i="3" s="1"/>
  <c r="K12" i="7" s="1"/>
  <c r="FS31" i="3"/>
  <c r="FU31" i="3" s="1"/>
  <c r="K19" i="7" s="1"/>
  <c r="W39" i="6"/>
  <c r="W38" i="6"/>
  <c r="AD23" i="3" l="1"/>
  <c r="AC23" i="3"/>
  <c r="AE23" i="3"/>
  <c r="AB23" i="3"/>
  <c r="Y25" i="3"/>
  <c r="Z24" i="3"/>
  <c r="AA24" i="3" s="1"/>
  <c r="BN17" i="3"/>
  <c r="BN13" i="3"/>
  <c r="BN9" i="3"/>
  <c r="BN16" i="3"/>
  <c r="BN12" i="3"/>
  <c r="BN8" i="3"/>
  <c r="BN19" i="3"/>
  <c r="BN15" i="3"/>
  <c r="BN11" i="3"/>
  <c r="BN18" i="3"/>
  <c r="BN10" i="3"/>
  <c r="BN14" i="3"/>
  <c r="BO17" i="3"/>
  <c r="BO13" i="3"/>
  <c r="BO9" i="3"/>
  <c r="BO16" i="3"/>
  <c r="BO12" i="3"/>
  <c r="BO8" i="3"/>
  <c r="BO19" i="3"/>
  <c r="BO15" i="3"/>
  <c r="BO11" i="3"/>
  <c r="BO18" i="3"/>
  <c r="BO14" i="3"/>
  <c r="BO10" i="3"/>
  <c r="BE35" i="3"/>
  <c r="BE31" i="3"/>
  <c r="BE34" i="3"/>
  <c r="BE30" i="3"/>
  <c r="BE33" i="3"/>
  <c r="BE32" i="3"/>
  <c r="BD33" i="3"/>
  <c r="BD35" i="3"/>
  <c r="BD34" i="3"/>
  <c r="AK25" i="3"/>
  <c r="AK24" i="3"/>
  <c r="AE24" i="3" l="1"/>
  <c r="AD24" i="3"/>
  <c r="AC24" i="3"/>
  <c r="AB24" i="3"/>
  <c r="Y26" i="3"/>
  <c r="Z25" i="3"/>
  <c r="AA25" i="3" s="1"/>
  <c r="BV8" i="3"/>
  <c r="DO8" i="3"/>
  <c r="Z5" i="7"/>
  <c r="D5" i="7"/>
  <c r="AR4" i="16"/>
  <c r="AR4" i="15"/>
  <c r="AR4" i="14"/>
  <c r="AR4" i="6"/>
  <c r="E4" i="6"/>
  <c r="C17" i="7"/>
  <c r="C13" i="7"/>
  <c r="C22" i="7"/>
  <c r="C16" i="7"/>
  <c r="C14" i="7"/>
  <c r="C21" i="7"/>
  <c r="C20" i="7"/>
  <c r="C19" i="7"/>
  <c r="C11" i="7"/>
  <c r="C12" i="7"/>
  <c r="C15" i="7"/>
  <c r="C18" i="7"/>
  <c r="C91" i="7"/>
  <c r="C94" i="7"/>
  <c r="C69" i="7"/>
  <c r="C36" i="7"/>
  <c r="C37" i="7"/>
  <c r="C60" i="7"/>
  <c r="C38" i="7"/>
  <c r="C64" i="7"/>
  <c r="C59" i="7"/>
  <c r="C44" i="7"/>
  <c r="C68" i="7"/>
  <c r="C83" i="7"/>
  <c r="C88" i="7"/>
  <c r="C66" i="7"/>
  <c r="C46" i="7"/>
  <c r="C45" i="7"/>
  <c r="C85" i="7"/>
  <c r="C87" i="7"/>
  <c r="C90" i="7"/>
  <c r="C86" i="7"/>
  <c r="C62" i="7"/>
  <c r="C42" i="7"/>
  <c r="C41" i="7"/>
  <c r="C93" i="7"/>
  <c r="C35" i="7"/>
  <c r="C63" i="7"/>
  <c r="C67" i="7"/>
  <c r="C61" i="7"/>
  <c r="C40" i="7"/>
  <c r="C92" i="7"/>
  <c r="C70" i="7"/>
  <c r="C65" i="7"/>
  <c r="C39" i="7"/>
  <c r="C84" i="7"/>
  <c r="C43" i="7"/>
  <c r="C89" i="7"/>
  <c r="AJ28" i="16"/>
  <c r="AJ22" i="14"/>
  <c r="AJ23" i="16"/>
  <c r="AJ21" i="15"/>
  <c r="AJ24" i="15"/>
  <c r="AJ27" i="14"/>
  <c r="AJ31" i="14"/>
  <c r="AJ31" i="16"/>
  <c r="AJ20" i="15"/>
  <c r="AJ28" i="14"/>
  <c r="AJ22" i="15"/>
  <c r="AJ23" i="14"/>
  <c r="AJ24" i="16"/>
  <c r="AJ27" i="15"/>
  <c r="AJ30" i="16"/>
  <c r="AJ24" i="14"/>
  <c r="AJ30" i="14"/>
  <c r="AJ20" i="14"/>
  <c r="AJ29" i="14"/>
  <c r="AJ25" i="15"/>
  <c r="AJ23" i="15"/>
  <c r="AJ25" i="16"/>
  <c r="AJ26" i="14"/>
  <c r="AJ21" i="16"/>
  <c r="AJ20" i="16"/>
  <c r="AJ26" i="16"/>
  <c r="AJ27" i="16"/>
  <c r="AJ21" i="14"/>
  <c r="AJ31" i="15"/>
  <c r="AJ29" i="16"/>
  <c r="AJ28" i="15"/>
  <c r="AJ30" i="15"/>
  <c r="AJ29" i="15"/>
  <c r="AJ25" i="14"/>
  <c r="AJ22" i="16"/>
  <c r="AJ26" i="15"/>
  <c r="AI22" i="16"/>
  <c r="AI26" i="16"/>
  <c r="AI30" i="16"/>
  <c r="AI23" i="15"/>
  <c r="AI31" i="15"/>
  <c r="AI24" i="15"/>
  <c r="AI23" i="16"/>
  <c r="AI27" i="16"/>
  <c r="AI31" i="16"/>
  <c r="AI25" i="15"/>
  <c r="AI26" i="15"/>
  <c r="AI25" i="16"/>
  <c r="AI21" i="15"/>
  <c r="AI20" i="15"/>
  <c r="AI24" i="16"/>
  <c r="AI28" i="16"/>
  <c r="AI27" i="15"/>
  <c r="AI20" i="16"/>
  <c r="AI28" i="15"/>
  <c r="AI21" i="16"/>
  <c r="AI29" i="16"/>
  <c r="AI29" i="15"/>
  <c r="AI22" i="15"/>
  <c r="AI30" i="15"/>
  <c r="AI21" i="14"/>
  <c r="AI29" i="14"/>
  <c r="AI25" i="6"/>
  <c r="AI29" i="6"/>
  <c r="AI22" i="6"/>
  <c r="AI30" i="6"/>
  <c r="AI22" i="14"/>
  <c r="AI30" i="14"/>
  <c r="AI26" i="6"/>
  <c r="AI21" i="6"/>
  <c r="AI26" i="14"/>
  <c r="AI23" i="14"/>
  <c r="AI31" i="14"/>
  <c r="AI27" i="6"/>
  <c r="AI24" i="14"/>
  <c r="AI20" i="14"/>
  <c r="AI28" i="6"/>
  <c r="AI25" i="14"/>
  <c r="AI27" i="14"/>
  <c r="AI23" i="6"/>
  <c r="AI31" i="6"/>
  <c r="AI28" i="14"/>
  <c r="AI24" i="6"/>
  <c r="AI20" i="6"/>
  <c r="M5" i="8"/>
  <c r="D5" i="20" s="1"/>
  <c r="E4" i="16"/>
  <c r="E4" i="15"/>
  <c r="E4" i="14"/>
  <c r="AE25" i="3" l="1"/>
  <c r="AD25" i="3"/>
  <c r="AC25" i="3"/>
  <c r="AB25" i="3"/>
  <c r="Y27" i="3"/>
  <c r="Z26" i="3"/>
  <c r="AA26" i="3" s="1"/>
  <c r="Z77" i="7"/>
  <c r="Z29" i="7"/>
  <c r="Z53" i="7"/>
  <c r="E5" i="8"/>
  <c r="AC26" i="3" l="1"/>
  <c r="AB26" i="3"/>
  <c r="AE26" i="3"/>
  <c r="AD26" i="3"/>
  <c r="Y28" i="3"/>
  <c r="Z27" i="3"/>
  <c r="AA27" i="3" s="1"/>
  <c r="I11" i="16"/>
  <c r="I29" i="1"/>
  <c r="I11" i="6"/>
  <c r="I11" i="15"/>
  <c r="AK26" i="15"/>
  <c r="AK30" i="15"/>
  <c r="AK24" i="15"/>
  <c r="AK29" i="15"/>
  <c r="AK24" i="16"/>
  <c r="AK28" i="16"/>
  <c r="AK21" i="15"/>
  <c r="AK29" i="16"/>
  <c r="AK22" i="16"/>
  <c r="AK28" i="15"/>
  <c r="AK25" i="16"/>
  <c r="AK30" i="16"/>
  <c r="AK31" i="16"/>
  <c r="AK20" i="16"/>
  <c r="AK26" i="16"/>
  <c r="AK23" i="16"/>
  <c r="AK27" i="16"/>
  <c r="AK21" i="16"/>
  <c r="AK25" i="15"/>
  <c r="AK31" i="15"/>
  <c r="AK22" i="15"/>
  <c r="AK27" i="15"/>
  <c r="AK23" i="15"/>
  <c r="AK20" i="15"/>
  <c r="AK21" i="14"/>
  <c r="AK22" i="14"/>
  <c r="AK23" i="14"/>
  <c r="AK31" i="14"/>
  <c r="AK24" i="14"/>
  <c r="AK20" i="14"/>
  <c r="AK25" i="14"/>
  <c r="AK26" i="14"/>
  <c r="AK27" i="14"/>
  <c r="AK28" i="14"/>
  <c r="AK29" i="14"/>
  <c r="AK30" i="14"/>
  <c r="D77" i="7"/>
  <c r="D53" i="7"/>
  <c r="D29" i="7"/>
  <c r="AB27" i="3" l="1"/>
  <c r="AC27" i="3"/>
  <c r="AE27" i="3"/>
  <c r="AD27" i="3"/>
  <c r="Y29" i="3"/>
  <c r="Z28" i="3"/>
  <c r="AA28" i="3" s="1"/>
  <c r="DA20" i="15"/>
  <c r="BZ36" i="3"/>
  <c r="BZ68" i="3"/>
  <c r="BZ52" i="3"/>
  <c r="AG29" i="14"/>
  <c r="AJ62" i="6"/>
  <c r="AK62" i="6" s="1"/>
  <c r="AJ55" i="6"/>
  <c r="AK55" i="6" s="1"/>
  <c r="AJ54" i="6"/>
  <c r="AK54" i="6" s="1"/>
  <c r="AJ63" i="6"/>
  <c r="AK63" i="6" s="1"/>
  <c r="AJ61" i="6"/>
  <c r="AK61" i="6" s="1"/>
  <c r="AJ60" i="6"/>
  <c r="AK60" i="6" s="1"/>
  <c r="AJ53" i="6"/>
  <c r="AK53" i="6" s="1"/>
  <c r="AJ57" i="6"/>
  <c r="AK57" i="6" s="1"/>
  <c r="AJ56" i="6"/>
  <c r="AK56" i="6" s="1"/>
  <c r="AJ52" i="6"/>
  <c r="AK52" i="6" s="1"/>
  <c r="AJ58" i="6"/>
  <c r="AK58" i="6" s="1"/>
  <c r="AJ59" i="6"/>
  <c r="AK59" i="6" s="1"/>
  <c r="AH41" i="14"/>
  <c r="AG54" i="6"/>
  <c r="AG54" i="15"/>
  <c r="I66" i="7"/>
  <c r="F86" i="7"/>
  <c r="F64" i="7"/>
  <c r="M63" i="7"/>
  <c r="I61" i="7"/>
  <c r="M64" i="7"/>
  <c r="I38" i="7"/>
  <c r="I88" i="7"/>
  <c r="I92" i="7"/>
  <c r="AH20" i="6"/>
  <c r="AG41" i="6"/>
  <c r="AG44" i="6"/>
  <c r="AG57" i="6"/>
  <c r="AG59" i="16"/>
  <c r="AH45" i="14"/>
  <c r="F83" i="7"/>
  <c r="AG23" i="14"/>
  <c r="AG21" i="6"/>
  <c r="F42" i="7"/>
  <c r="F36" i="7"/>
  <c r="I36" i="7"/>
  <c r="M36" i="7"/>
  <c r="F84" i="7"/>
  <c r="M68" i="7"/>
  <c r="I39" i="7"/>
  <c r="M91" i="7"/>
  <c r="I70" i="7"/>
  <c r="AG38" i="6"/>
  <c r="AG27" i="6"/>
  <c r="AG40" i="6"/>
  <c r="AG20" i="6"/>
  <c r="AG52" i="16"/>
  <c r="AG62" i="16"/>
  <c r="F91" i="7"/>
  <c r="AH29" i="6"/>
  <c r="M62" i="7"/>
  <c r="F88" i="7"/>
  <c r="F62" i="7"/>
  <c r="M38" i="7"/>
  <c r="F90" i="7"/>
  <c r="I85" i="7"/>
  <c r="F61" i="7"/>
  <c r="M59" i="7"/>
  <c r="I90" i="7"/>
  <c r="AG24" i="6"/>
  <c r="AG23" i="6"/>
  <c r="AG26" i="6"/>
  <c r="AH42" i="6"/>
  <c r="AH31" i="14"/>
  <c r="AG55" i="16"/>
  <c r="AG39" i="6"/>
  <c r="I65" i="7"/>
  <c r="AG45" i="6"/>
  <c r="F93" i="7"/>
  <c r="M44" i="7"/>
  <c r="F40" i="7"/>
  <c r="I69" i="7"/>
  <c r="F63" i="7"/>
  <c r="M88" i="7"/>
  <c r="F69" i="7"/>
  <c r="M41" i="7"/>
  <c r="M93" i="7"/>
  <c r="AG63" i="6"/>
  <c r="AG61" i="6"/>
  <c r="AG22" i="6"/>
  <c r="AH38" i="6"/>
  <c r="AH29" i="16"/>
  <c r="AH23" i="15"/>
  <c r="M40" i="7"/>
  <c r="AG60" i="6"/>
  <c r="F39" i="7"/>
  <c r="I37" i="7"/>
  <c r="F35" i="7"/>
  <c r="I41" i="7"/>
  <c r="M45" i="7"/>
  <c r="M65" i="7"/>
  <c r="F41" i="7"/>
  <c r="F94" i="7"/>
  <c r="I91" i="7"/>
  <c r="M84" i="7"/>
  <c r="M42" i="7"/>
  <c r="AG55" i="6"/>
  <c r="AG53" i="6"/>
  <c r="AG59" i="6"/>
  <c r="AH28" i="6"/>
  <c r="AG45" i="15"/>
  <c r="AG40" i="16"/>
  <c r="F87" i="7"/>
  <c r="I59" i="7"/>
  <c r="M92" i="7"/>
  <c r="AG29" i="16"/>
  <c r="I83" i="7"/>
  <c r="M37" i="7"/>
  <c r="F59" i="7"/>
  <c r="I35" i="7"/>
  <c r="F92" i="7"/>
  <c r="F65" i="7"/>
  <c r="F70" i="7"/>
  <c r="F43" i="7"/>
  <c r="F37" i="7"/>
  <c r="M69" i="7"/>
  <c r="I87" i="7"/>
  <c r="M43" i="7"/>
  <c r="AH45" i="6"/>
  <c r="AH44" i="6"/>
  <c r="AH43" i="6"/>
  <c r="AH24" i="6"/>
  <c r="AG62" i="14"/>
  <c r="AH22" i="14"/>
  <c r="F66" i="7"/>
  <c r="M60" i="7"/>
  <c r="M85" i="7"/>
  <c r="M35" i="7"/>
  <c r="F60" i="7"/>
  <c r="I45" i="7"/>
  <c r="M39" i="7"/>
  <c r="M70" i="7"/>
  <c r="M66" i="7"/>
  <c r="I86" i="7"/>
  <c r="I94" i="7"/>
  <c r="I62" i="7"/>
  <c r="AH41" i="6"/>
  <c r="AH40" i="6"/>
  <c r="AH39" i="6"/>
  <c r="AG52" i="6"/>
  <c r="AH21" i="14"/>
  <c r="M61" i="7"/>
  <c r="M89" i="7"/>
  <c r="AG60" i="15"/>
  <c r="AJ23" i="6"/>
  <c r="AK23" i="6" s="1"/>
  <c r="I40" i="7"/>
  <c r="I93" i="7"/>
  <c r="F46" i="7"/>
  <c r="I63" i="7"/>
  <c r="M67" i="7"/>
  <c r="F85" i="7"/>
  <c r="I44" i="7"/>
  <c r="I84" i="7"/>
  <c r="M83" i="7"/>
  <c r="AH30" i="6"/>
  <c r="AH27" i="6"/>
  <c r="M94" i="7"/>
  <c r="M46" i="7"/>
  <c r="I67" i="7"/>
  <c r="I42" i="7"/>
  <c r="F38" i="7"/>
  <c r="M87" i="7"/>
  <c r="F67" i="7"/>
  <c r="I64" i="7"/>
  <c r="M86" i="7"/>
  <c r="AH23" i="6"/>
  <c r="AH26" i="6"/>
  <c r="AH21" i="6"/>
  <c r="AG41" i="16"/>
  <c r="AG57" i="14"/>
  <c r="I60" i="7"/>
  <c r="AH31" i="6"/>
  <c r="AH25" i="6"/>
  <c r="F68" i="7"/>
  <c r="F89" i="7"/>
  <c r="F45" i="7"/>
  <c r="I43" i="7"/>
  <c r="F44" i="7"/>
  <c r="I46" i="7"/>
  <c r="M90" i="7"/>
  <c r="I68" i="7"/>
  <c r="I89" i="7"/>
  <c r="AG62" i="6"/>
  <c r="AH22" i="6"/>
  <c r="AG58" i="6"/>
  <c r="AG53" i="15"/>
  <c r="AG27" i="16"/>
  <c r="AG59" i="14"/>
  <c r="AH23" i="14"/>
  <c r="AG20" i="14"/>
  <c r="AG58" i="15"/>
  <c r="AG28" i="15"/>
  <c r="AG28" i="6"/>
  <c r="AG31" i="6"/>
  <c r="AG42" i="6"/>
  <c r="AG43" i="6"/>
  <c r="AG56" i="6"/>
  <c r="AG61" i="16"/>
  <c r="AH21" i="16"/>
  <c r="AG56" i="16"/>
  <c r="AH31" i="16"/>
  <c r="AG24" i="14"/>
  <c r="AG59" i="15"/>
  <c r="AH25" i="14"/>
  <c r="AH24" i="16"/>
  <c r="AG29" i="6"/>
  <c r="AG57" i="16"/>
  <c r="AG54" i="16"/>
  <c r="AG45" i="16"/>
  <c r="AG30" i="14"/>
  <c r="AH27" i="15"/>
  <c r="AG30" i="6"/>
  <c r="AG25" i="6"/>
  <c r="AG22" i="14"/>
  <c r="AH20" i="14"/>
  <c r="AG61" i="15"/>
  <c r="AG26" i="15"/>
  <c r="AH28" i="16"/>
  <c r="AG25" i="15"/>
  <c r="AH44" i="16"/>
  <c r="AG44" i="16"/>
  <c r="AH21" i="15"/>
  <c r="AG29" i="15"/>
  <c r="AG22" i="15"/>
  <c r="AG38" i="14"/>
  <c r="AH23" i="16"/>
  <c r="AH30" i="15"/>
  <c r="AG28" i="14"/>
  <c r="AH28" i="14"/>
  <c r="AH25" i="15"/>
  <c r="AH27" i="14"/>
  <c r="AG60" i="14"/>
  <c r="AH24" i="14"/>
  <c r="AG21" i="14"/>
  <c r="AB36" i="7" s="1"/>
  <c r="AH20" i="16"/>
  <c r="AH30" i="16"/>
  <c r="AH43" i="16"/>
  <c r="AH25" i="16"/>
  <c r="AH22" i="16"/>
  <c r="AG21" i="16"/>
  <c r="AB84" i="7" s="1"/>
  <c r="AH29" i="14"/>
  <c r="AH20" i="15"/>
  <c r="AG31" i="16"/>
  <c r="AG41" i="15"/>
  <c r="AG63" i="16"/>
  <c r="AH45" i="16"/>
  <c r="AG30" i="15"/>
  <c r="AH42" i="16"/>
  <c r="AH38" i="14"/>
  <c r="AG30" i="16"/>
  <c r="AH26" i="16"/>
  <c r="AG23" i="16"/>
  <c r="CK63" i="3"/>
  <c r="CJ75" i="3"/>
  <c r="CK62" i="3"/>
  <c r="CJ47" i="3"/>
  <c r="CJ57" i="3"/>
  <c r="CK25" i="3"/>
  <c r="CJ30" i="3"/>
  <c r="CJ29" i="3"/>
  <c r="CK73" i="3"/>
  <c r="CJ61" i="3"/>
  <c r="CK79" i="3"/>
  <c r="CJ31" i="3"/>
  <c r="CJ77" i="3"/>
  <c r="CJ62" i="3"/>
  <c r="CK78" i="3"/>
  <c r="CK61" i="3"/>
  <c r="CK41" i="3"/>
  <c r="CK43" i="3"/>
  <c r="CJ79" i="3"/>
  <c r="CK74" i="3"/>
  <c r="CK57" i="3"/>
  <c r="CK29" i="3"/>
  <c r="CK44" i="3"/>
  <c r="CJ74" i="3"/>
  <c r="CK59" i="3"/>
  <c r="CK76" i="3"/>
  <c r="CJ27" i="3"/>
  <c r="CK46" i="3"/>
  <c r="CK77" i="3"/>
  <c r="CJ24" i="3"/>
  <c r="CK24" i="3"/>
  <c r="CJ72" i="3"/>
  <c r="CJ28" i="3"/>
  <c r="CJ76" i="3"/>
  <c r="CJ56" i="3"/>
  <c r="CJ40" i="3"/>
  <c r="CK40" i="3"/>
  <c r="CK31" i="3"/>
  <c r="CJ78" i="3"/>
  <c r="CJ58" i="3"/>
  <c r="CJ42" i="3"/>
  <c r="CK42" i="3"/>
  <c r="CJ73" i="3"/>
  <c r="CK26" i="3"/>
  <c r="CK60" i="3"/>
  <c r="CJ45" i="3"/>
  <c r="CJ43" i="3"/>
  <c r="CK75" i="3"/>
  <c r="CK47" i="3"/>
  <c r="CK56" i="3"/>
  <c r="CJ44" i="3"/>
  <c r="CJ63" i="3"/>
  <c r="CJ59" i="3"/>
  <c r="CJ25" i="3"/>
  <c r="CK58" i="3"/>
  <c r="CK45" i="3"/>
  <c r="CK72" i="3"/>
  <c r="CK27" i="3"/>
  <c r="CK30" i="3"/>
  <c r="CJ60" i="3"/>
  <c r="CJ41" i="3"/>
  <c r="CJ46" i="3"/>
  <c r="CJ26" i="3"/>
  <c r="CK28" i="3"/>
  <c r="AG53" i="16"/>
  <c r="AG40" i="14"/>
  <c r="AG25" i="14"/>
  <c r="AG58" i="16"/>
  <c r="AG38" i="16"/>
  <c r="AJ31" i="6"/>
  <c r="AK31" i="6" s="1"/>
  <c r="AH22" i="15"/>
  <c r="AG24" i="15"/>
  <c r="AG41" i="14"/>
  <c r="AG44" i="14"/>
  <c r="AH41" i="15"/>
  <c r="AJ30" i="6"/>
  <c r="AK30" i="6" s="1"/>
  <c r="AG43" i="15"/>
  <c r="AH41" i="16"/>
  <c r="AG55" i="14"/>
  <c r="AJ20" i="6"/>
  <c r="AK20" i="6" s="1"/>
  <c r="AH29" i="15"/>
  <c r="AG45" i="14"/>
  <c r="AG42" i="16"/>
  <c r="AJ29" i="6"/>
  <c r="AK29" i="6" s="1"/>
  <c r="AG39" i="15"/>
  <c r="AG27" i="14"/>
  <c r="AH39" i="15"/>
  <c r="AG31" i="14"/>
  <c r="AG42" i="14"/>
  <c r="AH42" i="14"/>
  <c r="AG52" i="15"/>
  <c r="AB92" i="7"/>
  <c r="AB64" i="7"/>
  <c r="AB20" i="7"/>
  <c r="AE11" i="7"/>
  <c r="AI88" i="7"/>
  <c r="AE22" i="7"/>
  <c r="AI19" i="7"/>
  <c r="AE14" i="7"/>
  <c r="AB11" i="7"/>
  <c r="AB22" i="7"/>
  <c r="AE17" i="7"/>
  <c r="AB14" i="7"/>
  <c r="AI21" i="7"/>
  <c r="AB17" i="7"/>
  <c r="AE19" i="7"/>
  <c r="AE38" i="7"/>
  <c r="AI36" i="7"/>
  <c r="AB19" i="7"/>
  <c r="AE13" i="7"/>
  <c r="AE20" i="7"/>
  <c r="AI64" i="7"/>
  <c r="AE21" i="7"/>
  <c r="AI18" i="7"/>
  <c r="AI15" i="7"/>
  <c r="AB13" i="7"/>
  <c r="AB88" i="7"/>
  <c r="AB21" i="7"/>
  <c r="AI12" i="7"/>
  <c r="AI17" i="7"/>
  <c r="AE61" i="7"/>
  <c r="AI59" i="7"/>
  <c r="AI20" i="7"/>
  <c r="AE18" i="7"/>
  <c r="AE15" i="7"/>
  <c r="AI90" i="7"/>
  <c r="AI22" i="7"/>
  <c r="AB18" i="7"/>
  <c r="AB15" i="7"/>
  <c r="AI37" i="7"/>
  <c r="AE41" i="7"/>
  <c r="AI65" i="7"/>
  <c r="AE43" i="7"/>
  <c r="AB40" i="7"/>
  <c r="AE35" i="7"/>
  <c r="AI63" i="7"/>
  <c r="AB67" i="7"/>
  <c r="AE87" i="7"/>
  <c r="AI85" i="7"/>
  <c r="AB44" i="7"/>
  <c r="AI94" i="7"/>
  <c r="AE62" i="7"/>
  <c r="AB41" i="7"/>
  <c r="AB43" i="7"/>
  <c r="AI39" i="7"/>
  <c r="AB45" i="7"/>
  <c r="AI41" i="7"/>
  <c r="AE60" i="7"/>
  <c r="AE70" i="7"/>
  <c r="AI68" i="7"/>
  <c r="AB12" i="7"/>
  <c r="AI93" i="7"/>
  <c r="AB42" i="7"/>
  <c r="AB69" i="7"/>
  <c r="AI45" i="7"/>
  <c r="AB38" i="7"/>
  <c r="AI42" i="7"/>
  <c r="AI44" i="7"/>
  <c r="AB68" i="7"/>
  <c r="AI46" i="7"/>
  <c r="AI61" i="7"/>
  <c r="AB65" i="7"/>
  <c r="AB87" i="7"/>
  <c r="AI83" i="7"/>
  <c r="AE67" i="7"/>
  <c r="AE37" i="7"/>
  <c r="AE12" i="7"/>
  <c r="AI62" i="7"/>
  <c r="AE36" i="7"/>
  <c r="AB63" i="7"/>
  <c r="AI69" i="7"/>
  <c r="AE63" i="7"/>
  <c r="AE68" i="7"/>
  <c r="AI66" i="7"/>
  <c r="AI91" i="7"/>
  <c r="AI11" i="7"/>
  <c r="AE85" i="7"/>
  <c r="AI43" i="7"/>
  <c r="AB62" i="7"/>
  <c r="AE44" i="7"/>
  <c r="AE84" i="7"/>
  <c r="AE46" i="7"/>
  <c r="AE86" i="7"/>
  <c r="AI84" i="7"/>
  <c r="AI89" i="7"/>
  <c r="AB70" i="7"/>
  <c r="AB90" i="7"/>
  <c r="AE93" i="7"/>
  <c r="AI38" i="7"/>
  <c r="AE65" i="7"/>
  <c r="AB86" i="7"/>
  <c r="AB66" i="7"/>
  <c r="AB91" i="7"/>
  <c r="AI92" i="7"/>
  <c r="AE91" i="7"/>
  <c r="AE83" i="7"/>
  <c r="AE39" i="7"/>
  <c r="AB93" i="7"/>
  <c r="AI87" i="7"/>
  <c r="AI67" i="7"/>
  <c r="AE94" i="7"/>
  <c r="AB85" i="7"/>
  <c r="AB61" i="7"/>
  <c r="AB39" i="7"/>
  <c r="AE64" i="7"/>
  <c r="AI13" i="7"/>
  <c r="AE92" i="7"/>
  <c r="AE89" i="7"/>
  <c r="AB16" i="7"/>
  <c r="AI86" i="7"/>
  <c r="AB37" i="7"/>
  <c r="AI35" i="7"/>
  <c r="AI40" i="7"/>
  <c r="AE45" i="7"/>
  <c r="AE69" i="7"/>
  <c r="AI16" i="7"/>
  <c r="AB46" i="7"/>
  <c r="AB94" i="7"/>
  <c r="AE16" i="7"/>
  <c r="AE88" i="7"/>
  <c r="AE40" i="7"/>
  <c r="AB89" i="7"/>
  <c r="AE42" i="7"/>
  <c r="AE59" i="7"/>
  <c r="AE66" i="7"/>
  <c r="AE90" i="7"/>
  <c r="AI14" i="7"/>
  <c r="AI70" i="7"/>
  <c r="AI60" i="7"/>
  <c r="AH26" i="14"/>
  <c r="AH39" i="16"/>
  <c r="AG43" i="16"/>
  <c r="AH44" i="14"/>
  <c r="DB20" i="16"/>
  <c r="DA60" i="16"/>
  <c r="DA61" i="16"/>
  <c r="DA59" i="16"/>
  <c r="DA57" i="16"/>
  <c r="DA58" i="16"/>
  <c r="DA56" i="16"/>
  <c r="DA53" i="16"/>
  <c r="DA52" i="16"/>
  <c r="DA62" i="16"/>
  <c r="DA55" i="16"/>
  <c r="DA54" i="16"/>
  <c r="DA63" i="16"/>
  <c r="DB21" i="16"/>
  <c r="DA41" i="16"/>
  <c r="DB43" i="16"/>
  <c r="DB22" i="16"/>
  <c r="DA43" i="16"/>
  <c r="DB42" i="16"/>
  <c r="DB25" i="16"/>
  <c r="DB24" i="16"/>
  <c r="DA25" i="16"/>
  <c r="DA42" i="16"/>
  <c r="DB31" i="16"/>
  <c r="DB40" i="16"/>
  <c r="DA28" i="16"/>
  <c r="DB41" i="16"/>
  <c r="DA23" i="16"/>
  <c r="DA45" i="16"/>
  <c r="DA38" i="16"/>
  <c r="DB45" i="16"/>
  <c r="DA44" i="16"/>
  <c r="DB26" i="16"/>
  <c r="DB23" i="16"/>
  <c r="DB28" i="16"/>
  <c r="DB27" i="16"/>
  <c r="DB29" i="16"/>
  <c r="DA31" i="16"/>
  <c r="DB30" i="16"/>
  <c r="DA40" i="16"/>
  <c r="DA29" i="16"/>
  <c r="DA39" i="16"/>
  <c r="DB44" i="16"/>
  <c r="DA22" i="16"/>
  <c r="DA24" i="16"/>
  <c r="DA27" i="16"/>
  <c r="DA30" i="16"/>
  <c r="DA20" i="16"/>
  <c r="DB38" i="16"/>
  <c r="DB39" i="16"/>
  <c r="DA26" i="16"/>
  <c r="DA21" i="16"/>
  <c r="DA60" i="15"/>
  <c r="DA55" i="15"/>
  <c r="DA54" i="15"/>
  <c r="DA59" i="15"/>
  <c r="DA57" i="15"/>
  <c r="DA56" i="15"/>
  <c r="DB20" i="15"/>
  <c r="DA58" i="15"/>
  <c r="DA38" i="15"/>
  <c r="DA63" i="15"/>
  <c r="DA62" i="15"/>
  <c r="DA52" i="15"/>
  <c r="DA61" i="15"/>
  <c r="DA53" i="15"/>
  <c r="DB30" i="15"/>
  <c r="DA26" i="15"/>
  <c r="DB24" i="15"/>
  <c r="DA39" i="15"/>
  <c r="DA55" i="14"/>
  <c r="DA22" i="15"/>
  <c r="DB29" i="15"/>
  <c r="DB38" i="15"/>
  <c r="DB45" i="15"/>
  <c r="DA56" i="14"/>
  <c r="DB39" i="15"/>
  <c r="DA43" i="15"/>
  <c r="DA42" i="15"/>
  <c r="DA57" i="14"/>
  <c r="DA41" i="15"/>
  <c r="DB23" i="15"/>
  <c r="DA28" i="15"/>
  <c r="DA44" i="15"/>
  <c r="DB26" i="15"/>
  <c r="DA31" i="15"/>
  <c r="DA58" i="14"/>
  <c r="DA39" i="14"/>
  <c r="DB20" i="14"/>
  <c r="DB22" i="15"/>
  <c r="DA27" i="15"/>
  <c r="DB42" i="15"/>
  <c r="DA61" i="14"/>
  <c r="DA60" i="14"/>
  <c r="DA20" i="14"/>
  <c r="DA25" i="15"/>
  <c r="DA40" i="15"/>
  <c r="DA21" i="15"/>
  <c r="DA62" i="14"/>
  <c r="DA59" i="14"/>
  <c r="DA52" i="14"/>
  <c r="DB41" i="15"/>
  <c r="DB43" i="15"/>
  <c r="DB28" i="15"/>
  <c r="DA53" i="14"/>
  <c r="DB44" i="15"/>
  <c r="DB31" i="15"/>
  <c r="DA63" i="14"/>
  <c r="DB21" i="15"/>
  <c r="DB25" i="15"/>
  <c r="DA24" i="15"/>
  <c r="DA45" i="15"/>
  <c r="DA54" i="14"/>
  <c r="DA23" i="15"/>
  <c r="DA29" i="15"/>
  <c r="DB27" i="15"/>
  <c r="DA30" i="15"/>
  <c r="DB40" i="15"/>
  <c r="DB45" i="14"/>
  <c r="DB27" i="14"/>
  <c r="DB21" i="14"/>
  <c r="DA24" i="14"/>
  <c r="DA30" i="14"/>
  <c r="DA28" i="14"/>
  <c r="DA25" i="14"/>
  <c r="DA43" i="14"/>
  <c r="DA44" i="14"/>
  <c r="DA22" i="14"/>
  <c r="DB30" i="14"/>
  <c r="DB40" i="14"/>
  <c r="DA26" i="14"/>
  <c r="DA21" i="14"/>
  <c r="DA38" i="14"/>
  <c r="DB38" i="14"/>
  <c r="DA29" i="14"/>
  <c r="DA42" i="14"/>
  <c r="DB28" i="14"/>
  <c r="DB31" i="14"/>
  <c r="DB23" i="14"/>
  <c r="DB24" i="14"/>
  <c r="DA31" i="14"/>
  <c r="DB41" i="14"/>
  <c r="DB39" i="14"/>
  <c r="DB22" i="14"/>
  <c r="DB26" i="14"/>
  <c r="DB43" i="14"/>
  <c r="DB44" i="14"/>
  <c r="DA27" i="14"/>
  <c r="DB42" i="14"/>
  <c r="DB25" i="14"/>
  <c r="DA41" i="14"/>
  <c r="DA45" i="14"/>
  <c r="DA23" i="14"/>
  <c r="DB29" i="14"/>
  <c r="DA40" i="14"/>
  <c r="DA56" i="6"/>
  <c r="DA58" i="6"/>
  <c r="DA57" i="6"/>
  <c r="DA59" i="6"/>
  <c r="DA60" i="6"/>
  <c r="DA61" i="6"/>
  <c r="DA62" i="6"/>
  <c r="DA63" i="6"/>
  <c r="DA55" i="6"/>
  <c r="DA52" i="6"/>
  <c r="DA53" i="6"/>
  <c r="DA54" i="6"/>
  <c r="DA26" i="6"/>
  <c r="DA45" i="6"/>
  <c r="DA22" i="6"/>
  <c r="DA40" i="6"/>
  <c r="DA23" i="6"/>
  <c r="DA29" i="6"/>
  <c r="DA25" i="6"/>
  <c r="DB24" i="6"/>
  <c r="DB44" i="6"/>
  <c r="DA31" i="6"/>
  <c r="DB21" i="6"/>
  <c r="DB42" i="6"/>
  <c r="DA39" i="6"/>
  <c r="DB38" i="6"/>
  <c r="DA28" i="6"/>
  <c r="DB30" i="6"/>
  <c r="DB39" i="6"/>
  <c r="DB27" i="6"/>
  <c r="DA21" i="6"/>
  <c r="DB41" i="6"/>
  <c r="DA30" i="6"/>
  <c r="DA43" i="6"/>
  <c r="DB25" i="6"/>
  <c r="DA38" i="6"/>
  <c r="DA24" i="6"/>
  <c r="DB31" i="6"/>
  <c r="DB43" i="6"/>
  <c r="DB45" i="6"/>
  <c r="DA27" i="6"/>
  <c r="DB40" i="6"/>
  <c r="DB26" i="6"/>
  <c r="DA20" i="6"/>
  <c r="DB23" i="6"/>
  <c r="DA41" i="6"/>
  <c r="DB28" i="6"/>
  <c r="DB29" i="6"/>
  <c r="DA42" i="6"/>
  <c r="DB20" i="6"/>
  <c r="DB22" i="6"/>
  <c r="DA44" i="6"/>
  <c r="AG39" i="16"/>
  <c r="AH45" i="15"/>
  <c r="AG24" i="16"/>
  <c r="AG60" i="16"/>
  <c r="AJ21" i="6"/>
  <c r="AK21" i="6" s="1"/>
  <c r="AR79" i="3"/>
  <c r="AR63" i="3"/>
  <c r="AR47" i="3"/>
  <c r="AR31" i="3"/>
  <c r="AQ76" i="3"/>
  <c r="AQ60" i="3"/>
  <c r="AQ44" i="3"/>
  <c r="AQ28" i="3"/>
  <c r="AR77" i="3"/>
  <c r="AR45" i="3"/>
  <c r="AR29" i="3"/>
  <c r="AQ58" i="3"/>
  <c r="AR60" i="3"/>
  <c r="AR28" i="3"/>
  <c r="AQ57" i="3"/>
  <c r="AQ31" i="3"/>
  <c r="AR78" i="3"/>
  <c r="AR62" i="3"/>
  <c r="AR46" i="3"/>
  <c r="AR30" i="3"/>
  <c r="AQ75" i="3"/>
  <c r="AQ59" i="3"/>
  <c r="AQ43" i="3"/>
  <c r="AQ27" i="3"/>
  <c r="AR61" i="3"/>
  <c r="AQ74" i="3"/>
  <c r="AQ42" i="3"/>
  <c r="AR76" i="3"/>
  <c r="AR44" i="3"/>
  <c r="AQ73" i="3"/>
  <c r="AQ41" i="3"/>
  <c r="AQ72" i="3"/>
  <c r="AR74" i="3"/>
  <c r="AR58" i="3"/>
  <c r="AR42" i="3"/>
  <c r="AQ79" i="3"/>
  <c r="AQ63" i="3"/>
  <c r="AQ47" i="3"/>
  <c r="AR73" i="3"/>
  <c r="AR57" i="3"/>
  <c r="AR41" i="3"/>
  <c r="AQ78" i="3"/>
  <c r="AQ62" i="3"/>
  <c r="AQ46" i="3"/>
  <c r="AQ30" i="3"/>
  <c r="AR72" i="3"/>
  <c r="AR56" i="3"/>
  <c r="AR40" i="3"/>
  <c r="AQ77" i="3"/>
  <c r="AQ61" i="3"/>
  <c r="AQ45" i="3"/>
  <c r="AQ29" i="3"/>
  <c r="AR75" i="3"/>
  <c r="AR59" i="3"/>
  <c r="AR43" i="3"/>
  <c r="AR27" i="3"/>
  <c r="AQ56" i="3"/>
  <c r="AQ40" i="3"/>
  <c r="AR26" i="3"/>
  <c r="AR25" i="3"/>
  <c r="AR24" i="3"/>
  <c r="I21" i="7"/>
  <c r="I18" i="7"/>
  <c r="I15" i="7"/>
  <c r="I20" i="7"/>
  <c r="I17" i="7"/>
  <c r="I13" i="7"/>
  <c r="I16" i="7"/>
  <c r="I12" i="7"/>
  <c r="I11" i="7"/>
  <c r="I22" i="7"/>
  <c r="I19" i="7"/>
  <c r="I14" i="7"/>
  <c r="AQ26" i="3"/>
  <c r="F11" i="7"/>
  <c r="AQ25" i="3"/>
  <c r="M11" i="7"/>
  <c r="AQ24" i="3"/>
  <c r="F16" i="7"/>
  <c r="F19" i="7"/>
  <c r="F21" i="7"/>
  <c r="F18" i="7"/>
  <c r="F15" i="7"/>
  <c r="F14" i="7"/>
  <c r="F20" i="7"/>
  <c r="F22" i="7"/>
  <c r="F12" i="7"/>
  <c r="F13" i="7"/>
  <c r="F17" i="7"/>
  <c r="M16" i="7"/>
  <c r="M13" i="7"/>
  <c r="M15" i="7"/>
  <c r="M22" i="7"/>
  <c r="M14" i="7"/>
  <c r="M17" i="7"/>
  <c r="M19" i="7"/>
  <c r="M12" i="7"/>
  <c r="M18" i="7"/>
  <c r="M20" i="7"/>
  <c r="M21" i="7"/>
  <c r="AH24" i="15"/>
  <c r="AG40" i="15"/>
  <c r="AH43" i="14"/>
  <c r="AH40" i="14"/>
  <c r="AG39" i="14"/>
  <c r="AG20" i="15"/>
  <c r="AH40" i="15"/>
  <c r="AG28" i="16"/>
  <c r="AG31" i="15"/>
  <c r="AJ25" i="6"/>
  <c r="AK25" i="6" s="1"/>
  <c r="AH30" i="14"/>
  <c r="AG52" i="14"/>
  <c r="AH27" i="16"/>
  <c r="AG58" i="14"/>
  <c r="AG26" i="16"/>
  <c r="AG26" i="14"/>
  <c r="AH40" i="16"/>
  <c r="AG63" i="15"/>
  <c r="AG43" i="14"/>
  <c r="AJ28" i="6"/>
  <c r="AK28" i="6" s="1"/>
  <c r="AH39" i="14"/>
  <c r="AG62" i="15"/>
  <c r="AG23" i="15"/>
  <c r="AG54" i="14"/>
  <c r="AG44" i="15"/>
  <c r="AH42" i="15"/>
  <c r="AH28" i="15"/>
  <c r="AH38" i="15"/>
  <c r="AG56" i="15"/>
  <c r="AG63" i="14"/>
  <c r="AJ26" i="6"/>
  <c r="AK26" i="6" s="1"/>
  <c r="AJ24" i="6"/>
  <c r="AK24" i="6" s="1"/>
  <c r="AH26" i="15"/>
  <c r="AG38" i="15"/>
  <c r="AG20" i="16"/>
  <c r="AG22" i="16"/>
  <c r="AG42" i="15"/>
  <c r="AG53" i="14"/>
  <c r="AG55" i="15"/>
  <c r="AH43" i="15"/>
  <c r="AG21" i="15"/>
  <c r="AH44" i="15"/>
  <c r="AJ27" i="6"/>
  <c r="AK27" i="6" s="1"/>
  <c r="AH31" i="15"/>
  <c r="AG56" i="14"/>
  <c r="AG27" i="15"/>
  <c r="AG57" i="15"/>
  <c r="AH38" i="16"/>
  <c r="AG25" i="16"/>
  <c r="AG61" i="14"/>
  <c r="AJ22" i="6"/>
  <c r="AK22" i="6" s="1"/>
  <c r="AC28" i="3" l="1"/>
  <c r="AB28" i="3"/>
  <c r="AE28" i="3"/>
  <c r="AD28" i="3"/>
  <c r="Y30" i="3"/>
  <c r="Z29" i="3"/>
  <c r="AA29" i="3" s="1"/>
  <c r="AB35" i="7"/>
  <c r="AG19" i="14"/>
  <c r="DA19" i="15"/>
  <c r="FX67" i="3"/>
  <c r="HT70" i="3"/>
  <c r="FX51" i="3"/>
  <c r="HT54" i="3"/>
  <c r="FX35" i="3"/>
  <c r="HT38" i="3"/>
  <c r="AH19" i="6"/>
  <c r="AG19" i="6"/>
  <c r="CL25" i="3"/>
  <c r="CL78" i="3"/>
  <c r="CL63" i="3"/>
  <c r="CL43" i="3"/>
  <c r="CL45" i="3"/>
  <c r="CL76" i="3"/>
  <c r="CL56" i="3"/>
  <c r="DQ71" i="3"/>
  <c r="CV69" i="3"/>
  <c r="CQ71" i="3"/>
  <c r="DQ55" i="3"/>
  <c r="CV53" i="3"/>
  <c r="CQ55" i="3"/>
  <c r="DQ39" i="3"/>
  <c r="CV37" i="3"/>
  <c r="CQ39" i="3"/>
  <c r="CL41" i="3"/>
  <c r="CL59" i="3"/>
  <c r="CL73" i="3"/>
  <c r="CL62" i="3"/>
  <c r="CL46" i="3"/>
  <c r="CL40" i="3"/>
  <c r="CL74" i="3"/>
  <c r="CL61" i="3"/>
  <c r="CL28" i="3"/>
  <c r="CL72" i="3"/>
  <c r="CL29" i="3"/>
  <c r="CL79" i="3"/>
  <c r="CL30" i="3"/>
  <c r="CL24" i="3"/>
  <c r="CL42" i="3"/>
  <c r="CL57" i="3"/>
  <c r="CL58" i="3"/>
  <c r="CL47" i="3"/>
  <c r="CL26" i="3"/>
  <c r="CL44" i="3"/>
  <c r="CL27" i="3"/>
  <c r="CL75" i="3"/>
  <c r="CL77" i="3"/>
  <c r="CL60" i="3"/>
  <c r="CL31" i="3"/>
  <c r="AB83" i="7"/>
  <c r="DA19" i="16"/>
  <c r="AB59" i="7"/>
  <c r="AS31" i="3"/>
  <c r="AB60" i="7"/>
  <c r="AS74" i="3"/>
  <c r="DB19" i="16"/>
  <c r="DA19" i="14"/>
  <c r="DB19" i="15"/>
  <c r="DA19" i="6"/>
  <c r="DB19" i="14"/>
  <c r="DB19" i="6"/>
  <c r="AS63" i="3"/>
  <c r="AS40" i="3"/>
  <c r="AS45" i="3"/>
  <c r="AS77" i="3"/>
  <c r="AS41" i="3"/>
  <c r="AS44" i="3"/>
  <c r="AS29" i="3"/>
  <c r="AS73" i="3"/>
  <c r="AS57" i="3"/>
  <c r="AS47" i="3"/>
  <c r="AS75" i="3"/>
  <c r="AS62" i="3"/>
  <c r="AS56" i="3"/>
  <c r="AS72" i="3"/>
  <c r="AS76" i="3"/>
  <c r="AS61" i="3"/>
  <c r="AS79" i="3"/>
  <c r="AS25" i="3"/>
  <c r="AS30" i="3"/>
  <c r="AS46" i="3"/>
  <c r="AS24" i="3"/>
  <c r="AY24" i="3" s="1"/>
  <c r="AS78" i="3"/>
  <c r="AS27" i="3"/>
  <c r="AS42" i="3"/>
  <c r="AS58" i="3"/>
  <c r="AS59" i="3"/>
  <c r="AS26" i="3"/>
  <c r="AS43" i="3"/>
  <c r="AS28" i="3"/>
  <c r="AS60" i="3"/>
  <c r="AH19" i="16"/>
  <c r="AH19" i="14"/>
  <c r="AG19" i="16"/>
  <c r="AH19" i="15"/>
  <c r="AG19" i="15"/>
  <c r="AB29" i="3" l="1"/>
  <c r="AC29" i="3"/>
  <c r="AD29" i="3"/>
  <c r="AE29" i="3"/>
  <c r="Y31" i="3"/>
  <c r="Z30" i="3"/>
  <c r="AA30" i="3" s="1"/>
  <c r="CS76" i="3"/>
  <c r="CR76" i="3"/>
  <c r="AZ77" i="3"/>
  <c r="AY77" i="3"/>
  <c r="CS79" i="3"/>
  <c r="CR79" i="3"/>
  <c r="AZ79" i="3"/>
  <c r="AY79" i="3"/>
  <c r="AZ78" i="3"/>
  <c r="AY78" i="3"/>
  <c r="CS77" i="3"/>
  <c r="CR77" i="3"/>
  <c r="AZ76" i="3"/>
  <c r="AY76" i="3"/>
  <c r="CS78" i="3"/>
  <c r="CR78" i="3"/>
  <c r="AZ60" i="3"/>
  <c r="AY60" i="3"/>
  <c r="AZ61" i="3"/>
  <c r="AY61" i="3"/>
  <c r="AZ63" i="3"/>
  <c r="AY63" i="3"/>
  <c r="AZ62" i="3"/>
  <c r="AY62" i="3"/>
  <c r="CS62" i="3"/>
  <c r="CR62" i="3"/>
  <c r="CS60" i="3"/>
  <c r="CR60" i="3"/>
  <c r="CS61" i="3"/>
  <c r="CR61" i="3"/>
  <c r="CS63" i="3"/>
  <c r="CR63" i="3"/>
  <c r="CS44" i="3"/>
  <c r="CR44" i="3"/>
  <c r="CS47" i="3"/>
  <c r="CR47" i="3"/>
  <c r="CS45" i="3"/>
  <c r="CR45" i="3"/>
  <c r="AZ46" i="3"/>
  <c r="AY46" i="3"/>
  <c r="AZ45" i="3"/>
  <c r="AY45" i="3"/>
  <c r="AZ44" i="3"/>
  <c r="AY44" i="3"/>
  <c r="CS46" i="3"/>
  <c r="CR46" i="3"/>
  <c r="AZ47" i="3"/>
  <c r="AY47" i="3"/>
  <c r="CS28" i="3"/>
  <c r="CR28" i="3"/>
  <c r="AZ31" i="3"/>
  <c r="AY31" i="3"/>
  <c r="AZ30" i="3"/>
  <c r="AY30" i="3"/>
  <c r="AZ28" i="3"/>
  <c r="AY28" i="3"/>
  <c r="AZ29" i="3"/>
  <c r="AY29" i="3"/>
  <c r="CS30" i="3"/>
  <c r="CR30" i="3"/>
  <c r="CS31" i="3"/>
  <c r="CR31" i="3"/>
  <c r="CS29" i="3"/>
  <c r="CR29" i="3"/>
  <c r="AZ73" i="3"/>
  <c r="AY73" i="3"/>
  <c r="CS75" i="3"/>
  <c r="CR75" i="3"/>
  <c r="CS72" i="3"/>
  <c r="CR72" i="3"/>
  <c r="AZ75" i="3"/>
  <c r="AY75" i="3"/>
  <c r="AZ72" i="3"/>
  <c r="AY72" i="3"/>
  <c r="AZ74" i="3"/>
  <c r="AY74" i="3"/>
  <c r="CS74" i="3"/>
  <c r="CR74" i="3"/>
  <c r="CS73" i="3"/>
  <c r="CR73" i="3"/>
  <c r="AZ59" i="3"/>
  <c r="AY59" i="3"/>
  <c r="CS56" i="3"/>
  <c r="CR56" i="3"/>
  <c r="AZ58" i="3"/>
  <c r="AY58" i="3"/>
  <c r="CS58" i="3"/>
  <c r="CR58" i="3"/>
  <c r="AZ56" i="3"/>
  <c r="AY56" i="3"/>
  <c r="AZ57" i="3"/>
  <c r="AY57" i="3"/>
  <c r="CS57" i="3"/>
  <c r="CR57" i="3"/>
  <c r="CS59" i="3"/>
  <c r="CR59" i="3"/>
  <c r="AZ43" i="3"/>
  <c r="AY43" i="3"/>
  <c r="AZ42" i="3"/>
  <c r="AY42" i="3"/>
  <c r="CS43" i="3"/>
  <c r="CR43" i="3"/>
  <c r="CS42" i="3"/>
  <c r="CR42" i="3"/>
  <c r="CS27" i="3"/>
  <c r="CR27" i="3"/>
  <c r="AZ26" i="3"/>
  <c r="AY26" i="3"/>
  <c r="AZ27" i="3"/>
  <c r="AY27" i="3"/>
  <c r="CS26" i="3"/>
  <c r="CR26" i="3"/>
  <c r="CS41" i="3"/>
  <c r="CR41" i="3"/>
  <c r="CS40" i="3"/>
  <c r="CR40" i="3"/>
  <c r="AZ40" i="3"/>
  <c r="AY40" i="3"/>
  <c r="AZ41" i="3"/>
  <c r="AY41" i="3"/>
  <c r="BD28" i="3"/>
  <c r="BD27" i="3"/>
  <c r="BD32" i="3"/>
  <c r="BD25" i="3"/>
  <c r="BD24" i="3"/>
  <c r="BD29" i="3"/>
  <c r="BD30" i="3"/>
  <c r="BD31" i="3"/>
  <c r="BD26" i="3"/>
  <c r="CS25" i="3"/>
  <c r="CR25" i="3"/>
  <c r="CS24" i="3"/>
  <c r="CR24" i="3"/>
  <c r="DO10" i="3"/>
  <c r="DO9" i="3"/>
  <c r="AZ25" i="3"/>
  <c r="AY25" i="3"/>
  <c r="AZ24" i="3"/>
  <c r="CW37" i="3"/>
  <c r="DG21" i="3"/>
  <c r="CW69" i="3"/>
  <c r="DG53" i="3"/>
  <c r="CW53" i="3"/>
  <c r="DG37" i="3"/>
  <c r="AE30" i="3" l="1"/>
  <c r="AB30" i="3"/>
  <c r="AD30" i="3"/>
  <c r="AC30" i="3"/>
  <c r="Y32" i="3"/>
  <c r="Z31" i="3"/>
  <c r="AA31" i="3" s="1"/>
  <c r="BJ78" i="3"/>
  <c r="BJ79" i="3"/>
  <c r="BJ80" i="3"/>
  <c r="DD82" i="3"/>
  <c r="DD81" i="3"/>
  <c r="DD78" i="3"/>
  <c r="DD80" i="3"/>
  <c r="DD83" i="3"/>
  <c r="DD79" i="3"/>
  <c r="DB76" i="3"/>
  <c r="DB72" i="3"/>
  <c r="DB73" i="3"/>
  <c r="DB75" i="3"/>
  <c r="DB77" i="3"/>
  <c r="DB74" i="3"/>
  <c r="DC80" i="3"/>
  <c r="DC78" i="3"/>
  <c r="DC79" i="3"/>
  <c r="BI76" i="3"/>
  <c r="BI73" i="3"/>
  <c r="BI77" i="3"/>
  <c r="BI75" i="3"/>
  <c r="BI74" i="3"/>
  <c r="BI72" i="3"/>
  <c r="BH73" i="3"/>
  <c r="BH72" i="3"/>
  <c r="BH74" i="3"/>
  <c r="DA74" i="3"/>
  <c r="DA72" i="3"/>
  <c r="DA73" i="3"/>
  <c r="BK81" i="3"/>
  <c r="BK82" i="3"/>
  <c r="BK79" i="3"/>
  <c r="BK80" i="3"/>
  <c r="BK78" i="3"/>
  <c r="BK83" i="3"/>
  <c r="DA58" i="3"/>
  <c r="DA56" i="3"/>
  <c r="DA57" i="3"/>
  <c r="DC64" i="3"/>
  <c r="DC62" i="3"/>
  <c r="DC63" i="3"/>
  <c r="BK67" i="3"/>
  <c r="BK62" i="3"/>
  <c r="BK66" i="3"/>
  <c r="BK65" i="3"/>
  <c r="BK63" i="3"/>
  <c r="BK64" i="3"/>
  <c r="DD63" i="3"/>
  <c r="DD66" i="3"/>
  <c r="DD64" i="3"/>
  <c r="DD67" i="3"/>
  <c r="DD62" i="3"/>
  <c r="DD65" i="3"/>
  <c r="BI61" i="3"/>
  <c r="BI58" i="3"/>
  <c r="BI57" i="3"/>
  <c r="BI60" i="3"/>
  <c r="BI59" i="3"/>
  <c r="BI56" i="3"/>
  <c r="BJ63" i="3"/>
  <c r="BJ62" i="3"/>
  <c r="BJ64" i="3"/>
  <c r="DB60" i="3"/>
  <c r="DB57" i="3"/>
  <c r="DB58" i="3"/>
  <c r="DB61" i="3"/>
  <c r="DB59" i="3"/>
  <c r="DB56" i="3"/>
  <c r="BH56" i="3"/>
  <c r="BH57" i="3"/>
  <c r="BH58" i="3"/>
  <c r="BH41" i="3"/>
  <c r="BH42" i="3"/>
  <c r="BH40" i="3"/>
  <c r="BI43" i="3"/>
  <c r="BI42" i="3"/>
  <c r="BI40" i="3"/>
  <c r="BI41" i="3"/>
  <c r="BI45" i="3"/>
  <c r="BI44" i="3"/>
  <c r="BJ48" i="3"/>
  <c r="BJ46" i="3"/>
  <c r="BJ47" i="3"/>
  <c r="DB43" i="3"/>
  <c r="DB45" i="3"/>
  <c r="DB40" i="3"/>
  <c r="DB42" i="3"/>
  <c r="DB44" i="3"/>
  <c r="DB41" i="3"/>
  <c r="BK51" i="3"/>
  <c r="BK47" i="3"/>
  <c r="BK49" i="3"/>
  <c r="BK50" i="3"/>
  <c r="BK48" i="3"/>
  <c r="BK46" i="3"/>
  <c r="DD47" i="3"/>
  <c r="DD49" i="3"/>
  <c r="DD46" i="3"/>
  <c r="DD51" i="3"/>
  <c r="DD50" i="3"/>
  <c r="DD48" i="3"/>
  <c r="DC48" i="3"/>
  <c r="DC47" i="3"/>
  <c r="DC46" i="3"/>
  <c r="DA42" i="3"/>
  <c r="DA40" i="3"/>
  <c r="DA41" i="3"/>
  <c r="BI28" i="3"/>
  <c r="BI24" i="3"/>
  <c r="BI27" i="3"/>
  <c r="BI25" i="3"/>
  <c r="BI29" i="3"/>
  <c r="BI26" i="3"/>
  <c r="BH24" i="3"/>
  <c r="BH26" i="3"/>
  <c r="BH25" i="3"/>
  <c r="BJ32" i="3"/>
  <c r="BJ31" i="3"/>
  <c r="BJ30" i="3"/>
  <c r="DC31" i="3"/>
  <c r="DC30" i="3"/>
  <c r="DC32" i="3"/>
  <c r="DB26" i="3"/>
  <c r="DB27" i="3"/>
  <c r="DB24" i="3"/>
  <c r="DB29" i="3"/>
  <c r="DB25" i="3"/>
  <c r="DB28" i="3"/>
  <c r="BK32" i="3"/>
  <c r="BK31" i="3"/>
  <c r="BK34" i="3"/>
  <c r="BK35" i="3"/>
  <c r="BK30" i="3"/>
  <c r="BK33" i="3"/>
  <c r="DD34" i="3"/>
  <c r="DD32" i="3"/>
  <c r="DD33" i="3"/>
  <c r="DD30" i="3"/>
  <c r="DD35" i="3"/>
  <c r="DD31" i="3"/>
  <c r="DA26" i="3"/>
  <c r="DA25" i="3"/>
  <c r="DA24" i="3"/>
  <c r="CX76" i="3"/>
  <c r="CX77" i="3"/>
  <c r="CX73" i="3"/>
  <c r="CX72" i="3"/>
  <c r="CX74" i="3"/>
  <c r="CX75" i="3"/>
  <c r="BF79" i="3"/>
  <c r="BF80" i="3"/>
  <c r="BF78" i="3"/>
  <c r="BG83" i="3"/>
  <c r="BG78" i="3"/>
  <c r="BG82" i="3"/>
  <c r="BG81" i="3"/>
  <c r="BG80" i="3"/>
  <c r="BG79" i="3"/>
  <c r="CZ83" i="3"/>
  <c r="CZ79" i="3"/>
  <c r="CZ82" i="3"/>
  <c r="CZ80" i="3"/>
  <c r="CZ81" i="3"/>
  <c r="CZ78" i="3"/>
  <c r="CY79" i="3"/>
  <c r="CY80" i="3"/>
  <c r="CY78" i="3"/>
  <c r="CW74" i="3"/>
  <c r="CW73" i="3"/>
  <c r="CW72" i="3"/>
  <c r="BD73" i="3"/>
  <c r="BD72" i="3"/>
  <c r="BD74" i="3"/>
  <c r="BE73" i="3"/>
  <c r="BE72" i="3"/>
  <c r="BE75" i="3"/>
  <c r="BE77" i="3"/>
  <c r="BE76" i="3"/>
  <c r="BE74" i="3"/>
  <c r="CZ67" i="3"/>
  <c r="CZ65" i="3"/>
  <c r="CZ66" i="3"/>
  <c r="DE66" i="3" s="1"/>
  <c r="CZ64" i="3"/>
  <c r="CZ62" i="3"/>
  <c r="CZ63" i="3"/>
  <c r="BE61" i="3"/>
  <c r="BL61" i="3" s="1"/>
  <c r="BE56" i="3"/>
  <c r="BE60" i="3"/>
  <c r="BE59" i="3"/>
  <c r="BE58" i="3"/>
  <c r="BE57" i="3"/>
  <c r="CY64" i="3"/>
  <c r="CY63" i="3"/>
  <c r="CY62" i="3"/>
  <c r="CW57" i="3"/>
  <c r="CW56" i="3"/>
  <c r="CW58" i="3"/>
  <c r="CX61" i="3"/>
  <c r="DE61" i="3" s="1"/>
  <c r="CX57" i="3"/>
  <c r="CX59" i="3"/>
  <c r="DE59" i="3" s="1"/>
  <c r="CX58" i="3"/>
  <c r="CX56" i="3"/>
  <c r="CX60" i="3"/>
  <c r="BD58" i="3"/>
  <c r="BD57" i="3"/>
  <c r="BD56" i="3"/>
  <c r="BF64" i="3"/>
  <c r="BF62" i="3"/>
  <c r="BF63" i="3"/>
  <c r="BG62" i="3"/>
  <c r="BG63" i="3"/>
  <c r="BG65" i="3"/>
  <c r="BG64" i="3"/>
  <c r="BG67" i="3"/>
  <c r="BG66" i="3"/>
  <c r="CW40" i="3"/>
  <c r="CW41" i="3"/>
  <c r="CW42" i="3"/>
  <c r="BF48" i="3"/>
  <c r="BF47" i="3"/>
  <c r="BF46" i="3"/>
  <c r="BD40" i="3"/>
  <c r="BD41" i="3"/>
  <c r="BD42" i="3"/>
  <c r="BE41" i="3"/>
  <c r="BE40" i="3"/>
  <c r="BE43" i="3"/>
  <c r="BE42" i="3"/>
  <c r="BE45" i="3"/>
  <c r="BE44" i="3"/>
  <c r="CY48" i="3"/>
  <c r="CY47" i="3"/>
  <c r="CY46" i="3"/>
  <c r="CX41" i="3"/>
  <c r="CX44" i="3"/>
  <c r="CX42" i="3"/>
  <c r="CX45" i="3"/>
  <c r="CX43" i="3"/>
  <c r="CX40" i="3"/>
  <c r="CZ47" i="3"/>
  <c r="CZ46" i="3"/>
  <c r="CZ51" i="3"/>
  <c r="CZ49" i="3"/>
  <c r="CZ50" i="3"/>
  <c r="DE50" i="3" s="1"/>
  <c r="CZ48" i="3"/>
  <c r="BG47" i="3"/>
  <c r="BG49" i="3"/>
  <c r="BG46" i="3"/>
  <c r="BG48" i="3"/>
  <c r="BG51" i="3"/>
  <c r="BG50" i="3"/>
  <c r="CY32" i="3"/>
  <c r="CY30" i="3"/>
  <c r="CY31" i="3"/>
  <c r="BF31" i="3"/>
  <c r="BF30" i="3"/>
  <c r="BF32" i="3"/>
  <c r="CX25" i="3"/>
  <c r="CX26" i="3"/>
  <c r="CX27" i="3"/>
  <c r="CX28" i="3"/>
  <c r="CX29" i="3"/>
  <c r="CX24" i="3"/>
  <c r="BG30" i="3"/>
  <c r="BG33" i="3"/>
  <c r="BG31" i="3"/>
  <c r="BG35" i="3"/>
  <c r="BG34" i="3"/>
  <c r="BG32" i="3"/>
  <c r="CZ35" i="3"/>
  <c r="CZ30" i="3"/>
  <c r="CZ31" i="3"/>
  <c r="CZ33" i="3"/>
  <c r="CZ34" i="3"/>
  <c r="CZ32" i="3"/>
  <c r="BO27" i="3"/>
  <c r="BO28" i="3"/>
  <c r="BO26" i="3"/>
  <c r="BO29" i="3"/>
  <c r="BO25" i="3"/>
  <c r="BO24" i="3"/>
  <c r="DG31" i="3"/>
  <c r="DO31" i="3" s="1"/>
  <c r="DG27" i="3"/>
  <c r="DG29" i="3"/>
  <c r="DG24" i="3"/>
  <c r="DG30" i="3"/>
  <c r="DO30" i="3" s="1"/>
  <c r="DG26" i="3"/>
  <c r="DG25" i="3"/>
  <c r="DG28" i="3"/>
  <c r="DG32" i="3"/>
  <c r="DO32" i="3" s="1"/>
  <c r="BN31" i="3"/>
  <c r="BV31" i="3" s="1"/>
  <c r="BN27" i="3"/>
  <c r="BN25" i="3"/>
  <c r="BN28" i="3"/>
  <c r="BN30" i="3"/>
  <c r="BV30" i="3" s="1"/>
  <c r="BN26" i="3"/>
  <c r="BN29" i="3"/>
  <c r="BN32" i="3"/>
  <c r="BV32" i="3" s="1"/>
  <c r="BN24" i="3"/>
  <c r="DH27" i="3"/>
  <c r="DH29" i="3"/>
  <c r="DH24" i="3"/>
  <c r="DH26" i="3"/>
  <c r="DH25" i="3"/>
  <c r="DH28" i="3"/>
  <c r="DG19" i="3"/>
  <c r="DO19" i="3" s="1"/>
  <c r="CW31" i="3"/>
  <c r="CW27" i="3"/>
  <c r="CW28" i="3"/>
  <c r="DG18" i="3"/>
  <c r="DO18" i="3" s="1"/>
  <c r="CW30" i="3"/>
  <c r="CW26" i="3"/>
  <c r="DG16" i="3"/>
  <c r="DO16" i="3" s="1"/>
  <c r="CW24" i="3"/>
  <c r="DG17" i="3"/>
  <c r="DO17" i="3" s="1"/>
  <c r="CW29" i="3"/>
  <c r="CW25" i="3"/>
  <c r="CW32" i="3"/>
  <c r="BE29" i="3"/>
  <c r="BE24" i="3"/>
  <c r="BE25" i="3"/>
  <c r="BE28" i="3"/>
  <c r="BL28" i="3" s="1"/>
  <c r="BE26" i="3"/>
  <c r="BE27" i="3"/>
  <c r="BL27" i="3" s="1"/>
  <c r="BV9" i="3"/>
  <c r="BV16" i="3"/>
  <c r="BV12" i="3"/>
  <c r="BV13" i="3"/>
  <c r="BV14" i="3"/>
  <c r="BV15" i="3"/>
  <c r="BV10" i="3"/>
  <c r="BV11" i="3"/>
  <c r="DE77" i="3"/>
  <c r="DO34" i="3"/>
  <c r="DO11" i="3"/>
  <c r="DO33" i="3"/>
  <c r="DO14" i="3"/>
  <c r="DO35" i="3"/>
  <c r="DO12" i="3"/>
  <c r="DO15" i="3"/>
  <c r="DO13" i="3"/>
  <c r="BV62" i="3"/>
  <c r="BV66" i="3"/>
  <c r="BV57" i="3"/>
  <c r="BV63" i="3"/>
  <c r="BV58" i="3"/>
  <c r="BV65" i="3"/>
  <c r="BV60" i="3"/>
  <c r="BV64" i="3"/>
  <c r="BV61" i="3"/>
  <c r="BV67" i="3"/>
  <c r="BV59" i="3"/>
  <c r="BV56" i="3"/>
  <c r="BV41" i="3"/>
  <c r="BV40" i="3"/>
  <c r="BV44" i="3"/>
  <c r="BV50" i="3"/>
  <c r="BV43" i="3"/>
  <c r="BV47" i="3"/>
  <c r="BV45" i="3"/>
  <c r="BV48" i="3"/>
  <c r="BV42" i="3"/>
  <c r="BV51" i="3"/>
  <c r="BV49" i="3"/>
  <c r="BV46" i="3"/>
  <c r="AD31" i="3" l="1"/>
  <c r="AC31" i="3"/>
  <c r="AE31" i="3"/>
  <c r="AB31" i="3"/>
  <c r="BL24" i="3"/>
  <c r="DE82" i="3"/>
  <c r="DQ82" i="3" s="1"/>
  <c r="AF93" i="7" s="1"/>
  <c r="AQ93" i="7" s="1"/>
  <c r="BL67" i="3"/>
  <c r="BL43" i="3"/>
  <c r="DE60" i="3"/>
  <c r="DE34" i="3"/>
  <c r="Y33" i="3"/>
  <c r="Z32" i="3"/>
  <c r="AA32" i="3" s="1"/>
  <c r="BL29" i="3"/>
  <c r="DE81" i="3"/>
  <c r="DQ81" i="3" s="1"/>
  <c r="AF92" i="7" s="1"/>
  <c r="AQ92" i="7" s="1"/>
  <c r="DE65" i="3"/>
  <c r="DQ65" i="3" s="1"/>
  <c r="AF68" i="7" s="1"/>
  <c r="AQ68" i="7" s="1"/>
  <c r="DE62" i="3"/>
  <c r="DE43" i="3"/>
  <c r="BL33" i="3"/>
  <c r="BX33" i="3" s="1"/>
  <c r="J20" i="7" s="1"/>
  <c r="T20" i="7" s="1"/>
  <c r="DE74" i="3"/>
  <c r="BL81" i="3"/>
  <c r="BX81" i="3" s="1"/>
  <c r="J92" i="7" s="1"/>
  <c r="T92" i="7" s="1"/>
  <c r="DE76" i="3"/>
  <c r="DE58" i="3"/>
  <c r="DE51" i="3"/>
  <c r="DQ51" i="3" s="1"/>
  <c r="AF46" i="7" s="1"/>
  <c r="AQ46" i="7" s="1"/>
  <c r="DE67" i="3"/>
  <c r="DE75" i="3"/>
  <c r="DQ75" i="3" s="1"/>
  <c r="AF86" i="7" s="1"/>
  <c r="AQ86" i="7" s="1"/>
  <c r="DE63" i="3"/>
  <c r="DQ63" i="3" s="1"/>
  <c r="AF66" i="7" s="1"/>
  <c r="AQ66" i="7" s="1"/>
  <c r="BL51" i="3"/>
  <c r="BX51" i="3" s="1"/>
  <c r="J46" i="7" s="1"/>
  <c r="T46" i="7" s="1"/>
  <c r="BL50" i="3"/>
  <c r="BX50" i="3" s="1"/>
  <c r="J45" i="7" s="1"/>
  <c r="T45" i="7" s="1"/>
  <c r="DE42" i="3"/>
  <c r="DQ42" i="3" s="1"/>
  <c r="AF37" i="7" s="1"/>
  <c r="AQ37" i="7" s="1"/>
  <c r="BL65" i="3"/>
  <c r="BX65" i="3" s="1"/>
  <c r="J68" i="7" s="1"/>
  <c r="T68" i="7" s="1"/>
  <c r="BL60" i="3"/>
  <c r="BL75" i="3"/>
  <c r="BX75" i="3" s="1"/>
  <c r="J86" i="7" s="1"/>
  <c r="T86" i="7" s="1"/>
  <c r="BL79" i="3"/>
  <c r="BX79" i="3" s="1"/>
  <c r="J90" i="7" s="1"/>
  <c r="T90" i="7" s="1"/>
  <c r="BL77" i="3"/>
  <c r="BX77" i="3" s="1"/>
  <c r="J88" i="7" s="1"/>
  <c r="T88" i="7" s="1"/>
  <c r="DE79" i="3"/>
  <c r="DQ79" i="3" s="1"/>
  <c r="AF90" i="7" s="1"/>
  <c r="AQ90" i="7" s="1"/>
  <c r="DE56" i="3"/>
  <c r="DQ56" i="3" s="1"/>
  <c r="AF59" i="7" s="1"/>
  <c r="AQ59" i="7" s="1"/>
  <c r="BL63" i="3"/>
  <c r="BX63" i="3" s="1"/>
  <c r="J66" i="7" s="1"/>
  <c r="T66" i="7" s="1"/>
  <c r="DE64" i="3"/>
  <c r="DQ64" i="3" s="1"/>
  <c r="AF67" i="7" s="1"/>
  <c r="AQ67" i="7" s="1"/>
  <c r="DO28" i="3"/>
  <c r="BL26" i="3"/>
  <c r="DO25" i="3"/>
  <c r="BV27" i="3"/>
  <c r="BX27" i="3" s="1"/>
  <c r="J14" i="7" s="1"/>
  <c r="T14" i="7" s="1"/>
  <c r="DE40" i="3"/>
  <c r="DE78" i="3"/>
  <c r="DQ78" i="3" s="1"/>
  <c r="AF89" i="7" s="1"/>
  <c r="AQ89" i="7" s="1"/>
  <c r="BL30" i="3"/>
  <c r="BX30" i="3" s="1"/>
  <c r="J17" i="7" s="1"/>
  <c r="T17" i="7" s="1"/>
  <c r="DE41" i="3"/>
  <c r="DQ41" i="3" s="1"/>
  <c r="AF36" i="7" s="1"/>
  <c r="AQ36" i="7" s="1"/>
  <c r="BL46" i="3"/>
  <c r="BX46" i="3" s="1"/>
  <c r="J41" i="7" s="1"/>
  <c r="T41" i="7" s="1"/>
  <c r="BL72" i="3"/>
  <c r="BX72" i="3" s="1"/>
  <c r="J83" i="7" s="1"/>
  <c r="T83" i="7" s="1"/>
  <c r="BL80" i="3"/>
  <c r="BX80" i="3" s="1"/>
  <c r="J91" i="7" s="1"/>
  <c r="T91" i="7" s="1"/>
  <c r="BL82" i="3"/>
  <c r="BX82" i="3" s="1"/>
  <c r="J93" i="7" s="1"/>
  <c r="T93" i="7" s="1"/>
  <c r="DE83" i="3"/>
  <c r="DQ83" i="3" s="1"/>
  <c r="AF94" i="7" s="1"/>
  <c r="AQ94" i="7" s="1"/>
  <c r="DE57" i="3"/>
  <c r="DQ57" i="3" s="1"/>
  <c r="AF60" i="7" s="1"/>
  <c r="AQ60" i="7" s="1"/>
  <c r="DE46" i="3"/>
  <c r="DQ46" i="3" s="1"/>
  <c r="AF41" i="7" s="1"/>
  <c r="AQ41" i="7" s="1"/>
  <c r="BL44" i="3"/>
  <c r="BX44" i="3" s="1"/>
  <c r="J39" i="7" s="1"/>
  <c r="T39" i="7" s="1"/>
  <c r="BL45" i="3"/>
  <c r="BX45" i="3" s="1"/>
  <c r="J40" i="7" s="1"/>
  <c r="T40" i="7" s="1"/>
  <c r="DE73" i="3"/>
  <c r="DQ73" i="3" s="1"/>
  <c r="AF84" i="7" s="1"/>
  <c r="AQ84" i="7" s="1"/>
  <c r="BL42" i="3"/>
  <c r="BX42" i="3" s="1"/>
  <c r="J37" i="7" s="1"/>
  <c r="T37" i="7" s="1"/>
  <c r="DE47" i="3"/>
  <c r="DQ47" i="3" s="1"/>
  <c r="AF42" i="7" s="1"/>
  <c r="AQ42" i="7" s="1"/>
  <c r="BL74" i="3"/>
  <c r="BX74" i="3" s="1"/>
  <c r="J85" i="7" s="1"/>
  <c r="T85" i="7" s="1"/>
  <c r="BL78" i="3"/>
  <c r="BX78" i="3" s="1"/>
  <c r="J89" i="7" s="1"/>
  <c r="T89" i="7" s="1"/>
  <c r="DE72" i="3"/>
  <c r="DQ72" i="3" s="1"/>
  <c r="AF83" i="7" s="1"/>
  <c r="AQ83" i="7" s="1"/>
  <c r="BL76" i="3"/>
  <c r="BX76" i="3" s="1"/>
  <c r="J87" i="7" s="1"/>
  <c r="T87" i="7" s="1"/>
  <c r="DE80" i="3"/>
  <c r="DQ80" i="3" s="1"/>
  <c r="AF91" i="7" s="1"/>
  <c r="AQ91" i="7" s="1"/>
  <c r="BL83" i="3"/>
  <c r="BX83" i="3" s="1"/>
  <c r="J94" i="7" s="1"/>
  <c r="T94" i="7" s="1"/>
  <c r="BL73" i="3"/>
  <c r="BX73" i="3" s="1"/>
  <c r="J84" i="7" s="1"/>
  <c r="T84" i="7" s="1"/>
  <c r="BL66" i="3"/>
  <c r="BX66" i="3" s="1"/>
  <c r="J69" i="7" s="1"/>
  <c r="T69" i="7" s="1"/>
  <c r="BL57" i="3"/>
  <c r="BX57" i="3" s="1"/>
  <c r="J60" i="7" s="1"/>
  <c r="T60" i="7" s="1"/>
  <c r="BL59" i="3"/>
  <c r="BX59" i="3" s="1"/>
  <c r="J62" i="7" s="1"/>
  <c r="T62" i="7" s="1"/>
  <c r="BL62" i="3"/>
  <c r="BX62" i="3" s="1"/>
  <c r="J65" i="7" s="1"/>
  <c r="T65" i="7" s="1"/>
  <c r="BL58" i="3"/>
  <c r="BX58" i="3" s="1"/>
  <c r="J61" i="7" s="1"/>
  <c r="T61" i="7" s="1"/>
  <c r="DE45" i="3"/>
  <c r="DQ45" i="3" s="1"/>
  <c r="AF40" i="7" s="1"/>
  <c r="AQ40" i="7" s="1"/>
  <c r="DE44" i="3"/>
  <c r="DQ44" i="3" s="1"/>
  <c r="AF39" i="7" s="1"/>
  <c r="AQ39" i="7" s="1"/>
  <c r="DE49" i="3"/>
  <c r="DQ49" i="3" s="1"/>
  <c r="AF44" i="7" s="1"/>
  <c r="AQ44" i="7" s="1"/>
  <c r="DE48" i="3"/>
  <c r="DQ48" i="3" s="1"/>
  <c r="AF43" i="7" s="1"/>
  <c r="AQ43" i="7" s="1"/>
  <c r="BL47" i="3"/>
  <c r="BX47" i="3" s="1"/>
  <c r="J42" i="7" s="1"/>
  <c r="T42" i="7" s="1"/>
  <c r="BL49" i="3"/>
  <c r="BX49" i="3" s="1"/>
  <c r="J44" i="7" s="1"/>
  <c r="T44" i="7" s="1"/>
  <c r="BL25" i="3"/>
  <c r="BL35" i="3"/>
  <c r="BX35" i="3" s="1"/>
  <c r="J22" i="7" s="1"/>
  <c r="T22" i="7" s="1"/>
  <c r="BL32" i="3"/>
  <c r="BX32" i="3" s="1"/>
  <c r="J19" i="7" s="1"/>
  <c r="T19" i="7" s="1"/>
  <c r="BL34" i="3"/>
  <c r="BX34" i="3" s="1"/>
  <c r="J21" i="7" s="1"/>
  <c r="T21" i="7" s="1"/>
  <c r="BL31" i="3"/>
  <c r="BX31" i="3" s="1"/>
  <c r="J18" i="7" s="1"/>
  <c r="T18" i="7" s="1"/>
  <c r="BL41" i="3"/>
  <c r="BX41" i="3" s="1"/>
  <c r="J36" i="7" s="1"/>
  <c r="T36" i="7" s="1"/>
  <c r="DO26" i="3"/>
  <c r="BL48" i="3"/>
  <c r="BX48" i="3" s="1"/>
  <c r="J43" i="7" s="1"/>
  <c r="T43" i="7" s="1"/>
  <c r="BL56" i="3"/>
  <c r="BX56" i="3" s="1"/>
  <c r="J59" i="7" s="1"/>
  <c r="T59" i="7" s="1"/>
  <c r="BL64" i="3"/>
  <c r="BX64" i="3" s="1"/>
  <c r="J67" i="7" s="1"/>
  <c r="T67" i="7" s="1"/>
  <c r="BL40" i="3"/>
  <c r="BX40" i="3" s="1"/>
  <c r="J35" i="7" s="1"/>
  <c r="T35" i="7" s="1"/>
  <c r="DO29" i="3"/>
  <c r="BV25" i="3"/>
  <c r="BV26" i="3"/>
  <c r="DO27" i="3"/>
  <c r="BV28" i="3"/>
  <c r="BX28" i="3" s="1"/>
  <c r="J15" i="7" s="1"/>
  <c r="T15" i="7" s="1"/>
  <c r="BV29" i="3"/>
  <c r="BV24" i="3"/>
  <c r="BX24" i="3" s="1"/>
  <c r="J11" i="7" s="1"/>
  <c r="T11" i="7" s="1"/>
  <c r="DO24" i="3"/>
  <c r="DE33" i="3"/>
  <c r="DQ33" i="3" s="1"/>
  <c r="AF20" i="7" s="1"/>
  <c r="AQ20" i="7" s="1"/>
  <c r="DE29" i="3"/>
  <c r="DE26" i="3"/>
  <c r="DE25" i="3"/>
  <c r="DE35" i="3"/>
  <c r="DQ35" i="3" s="1"/>
  <c r="AF22" i="7" s="1"/>
  <c r="AQ22" i="7" s="1"/>
  <c r="DE30" i="3"/>
  <c r="DQ30" i="3" s="1"/>
  <c r="AF17" i="7" s="1"/>
  <c r="AQ17" i="7" s="1"/>
  <c r="DE27" i="3"/>
  <c r="DE24" i="3"/>
  <c r="DE31" i="3"/>
  <c r="DQ31" i="3" s="1"/>
  <c r="AF18" i="7" s="1"/>
  <c r="AQ18" i="7" s="1"/>
  <c r="DE32" i="3"/>
  <c r="DQ32" i="3" s="1"/>
  <c r="AF19" i="7" s="1"/>
  <c r="AQ19" i="7" s="1"/>
  <c r="DE28" i="3"/>
  <c r="BV19" i="3"/>
  <c r="BV17" i="3"/>
  <c r="BV18" i="3"/>
  <c r="DQ40" i="3"/>
  <c r="AF35" i="7" s="1"/>
  <c r="AQ35" i="7" s="1"/>
  <c r="DQ74" i="3"/>
  <c r="AF85" i="7" s="1"/>
  <c r="AQ85" i="7" s="1"/>
  <c r="DQ77" i="3"/>
  <c r="AF88" i="7" s="1"/>
  <c r="AQ88" i="7" s="1"/>
  <c r="DQ60" i="3"/>
  <c r="AF63" i="7" s="1"/>
  <c r="AQ63" i="7" s="1"/>
  <c r="DQ58" i="3"/>
  <c r="AF61" i="7" s="1"/>
  <c r="AQ61" i="7" s="1"/>
  <c r="DQ76" i="3"/>
  <c r="AF87" i="7" s="1"/>
  <c r="AQ87" i="7" s="1"/>
  <c r="DQ61" i="3"/>
  <c r="AF64" i="7" s="1"/>
  <c r="AQ64" i="7" s="1"/>
  <c r="DQ50" i="3"/>
  <c r="AF45" i="7" s="1"/>
  <c r="AQ45" i="7" s="1"/>
  <c r="DQ59" i="3"/>
  <c r="AF62" i="7" s="1"/>
  <c r="AQ62" i="7" s="1"/>
  <c r="DQ67" i="3"/>
  <c r="AF70" i="7" s="1"/>
  <c r="AQ70" i="7" s="1"/>
  <c r="DQ62" i="3"/>
  <c r="AF65" i="7" s="1"/>
  <c r="AQ65" i="7" s="1"/>
  <c r="DQ66" i="3"/>
  <c r="AF69" i="7" s="1"/>
  <c r="AQ69" i="7" s="1"/>
  <c r="BX67" i="3"/>
  <c r="J70" i="7" s="1"/>
  <c r="T70" i="7" s="1"/>
  <c r="DQ34" i="3"/>
  <c r="AF21" i="7" s="1"/>
  <c r="AQ21" i="7" s="1"/>
  <c r="DQ43" i="3"/>
  <c r="AF38" i="7" s="1"/>
  <c r="AQ38" i="7" s="1"/>
  <c r="BX61" i="3"/>
  <c r="J64" i="7" s="1"/>
  <c r="T64" i="7" s="1"/>
  <c r="BX60" i="3"/>
  <c r="J63" i="7" s="1"/>
  <c r="T63" i="7" s="1"/>
  <c r="BX43" i="3"/>
  <c r="J38" i="7" s="1"/>
  <c r="T38" i="7" s="1"/>
  <c r="AD32" i="3" l="1"/>
  <c r="AC32" i="3"/>
  <c r="AE32" i="3"/>
  <c r="AB32" i="3"/>
  <c r="Y34" i="3"/>
  <c r="Z33" i="3"/>
  <c r="AA33" i="3" s="1"/>
  <c r="BX29" i="3"/>
  <c r="J16" i="7" s="1"/>
  <c r="T16" i="7" s="1"/>
  <c r="BX26" i="3"/>
  <c r="J13" i="7" s="1"/>
  <c r="T13" i="7" s="1"/>
  <c r="BX25" i="3"/>
  <c r="J12" i="7" s="1"/>
  <c r="T12" i="7" s="1"/>
  <c r="DQ25" i="3"/>
  <c r="AF12" i="7" s="1"/>
  <c r="AQ12" i="7" s="1"/>
  <c r="DQ28" i="3"/>
  <c r="AF15" i="7" s="1"/>
  <c r="AQ15" i="7" s="1"/>
  <c r="V90" i="7"/>
  <c r="V92" i="7"/>
  <c r="DQ26" i="3"/>
  <c r="AF13" i="7" s="1"/>
  <c r="AQ13" i="7" s="1"/>
  <c r="DQ24" i="3"/>
  <c r="AF11" i="7" s="1"/>
  <c r="AQ11" i="7" s="1"/>
  <c r="DQ29" i="3"/>
  <c r="AF16" i="7" s="1"/>
  <c r="AQ16" i="7" s="1"/>
  <c r="DQ27" i="3"/>
  <c r="AF14" i="7" s="1"/>
  <c r="AQ14" i="7" s="1"/>
  <c r="AS68" i="7"/>
  <c r="AS66" i="7"/>
  <c r="AS92" i="7"/>
  <c r="AS90" i="7"/>
  <c r="AS42" i="7"/>
  <c r="AS44" i="7"/>
  <c r="V68" i="7"/>
  <c r="V66" i="7"/>
  <c r="V44" i="7"/>
  <c r="V42" i="7"/>
  <c r="AD33" i="3" l="1"/>
  <c r="AC33" i="3"/>
  <c r="AE33" i="3"/>
  <c r="AB33" i="3"/>
  <c r="Y35" i="3"/>
  <c r="Z34" i="3"/>
  <c r="AA34" i="3" s="1"/>
  <c r="V20" i="7"/>
  <c r="V22" i="7" s="1"/>
  <c r="V18" i="7"/>
  <c r="N11" i="7" s="1"/>
  <c r="N85" i="7"/>
  <c r="O86" i="7"/>
  <c r="P86" i="7" s="1"/>
  <c r="AM86" i="7" s="1"/>
  <c r="O87" i="7"/>
  <c r="P87" i="7" s="1"/>
  <c r="AM87" i="7" s="1"/>
  <c r="O84" i="7"/>
  <c r="P84" i="7" s="1"/>
  <c r="AM84" i="7" s="1"/>
  <c r="O88" i="7"/>
  <c r="P88" i="7" s="1"/>
  <c r="AM88" i="7" s="1"/>
  <c r="N88" i="7"/>
  <c r="O83" i="7"/>
  <c r="P83" i="7" s="1"/>
  <c r="AM83" i="7" s="1"/>
  <c r="V94" i="7"/>
  <c r="N87" i="7"/>
  <c r="N89" i="7"/>
  <c r="N90" i="7"/>
  <c r="N92" i="7"/>
  <c r="O90" i="7"/>
  <c r="P90" i="7" s="1"/>
  <c r="AM90" i="7" s="1"/>
  <c r="O91" i="7"/>
  <c r="P91" i="7" s="1"/>
  <c r="AM91" i="7" s="1"/>
  <c r="N93" i="7"/>
  <c r="O93" i="7"/>
  <c r="P93" i="7" s="1"/>
  <c r="AM93" i="7" s="1"/>
  <c r="N94" i="7"/>
  <c r="O89" i="7"/>
  <c r="P89" i="7" s="1"/>
  <c r="AM89" i="7" s="1"/>
  <c r="N91" i="7"/>
  <c r="O92" i="7"/>
  <c r="P92" i="7" s="1"/>
  <c r="AM92" i="7" s="1"/>
  <c r="O94" i="7"/>
  <c r="P94" i="7" s="1"/>
  <c r="AM94" i="7" s="1"/>
  <c r="O85" i="7"/>
  <c r="P85" i="7" s="1"/>
  <c r="AM85" i="7" s="1"/>
  <c r="N84" i="7"/>
  <c r="N86" i="7"/>
  <c r="N83" i="7"/>
  <c r="AS20" i="7"/>
  <c r="AS18" i="7"/>
  <c r="AJ46" i="7"/>
  <c r="AK46" i="7"/>
  <c r="AL46" i="7" s="1"/>
  <c r="AJ45" i="7"/>
  <c r="AK45" i="7"/>
  <c r="AL45" i="7" s="1"/>
  <c r="AK37" i="7"/>
  <c r="AL37" i="7" s="1"/>
  <c r="AK36" i="7"/>
  <c r="AL36" i="7" s="1"/>
  <c r="AJ44" i="7"/>
  <c r="AK44" i="7"/>
  <c r="AL44" i="7" s="1"/>
  <c r="AJ43" i="7"/>
  <c r="AK43" i="7"/>
  <c r="AL43" i="7" s="1"/>
  <c r="AJ37" i="7"/>
  <c r="AJ36" i="7"/>
  <c r="AJ42" i="7"/>
  <c r="AK42" i="7"/>
  <c r="AL42" i="7" s="1"/>
  <c r="AJ35" i="7"/>
  <c r="AJ41" i="7"/>
  <c r="AK41" i="7"/>
  <c r="AL41" i="7" s="1"/>
  <c r="AK35" i="7"/>
  <c r="AL35" i="7" s="1"/>
  <c r="AJ40" i="7"/>
  <c r="AK40" i="7"/>
  <c r="AL40" i="7" s="1"/>
  <c r="AJ39" i="7"/>
  <c r="AK39" i="7"/>
  <c r="AL39" i="7" s="1"/>
  <c r="AJ38" i="7"/>
  <c r="AK38" i="7"/>
  <c r="AL38" i="7" s="1"/>
  <c r="AJ70" i="7"/>
  <c r="AK70" i="7"/>
  <c r="AL70" i="7" s="1"/>
  <c r="AJ60" i="7"/>
  <c r="AJ69" i="7"/>
  <c r="AK69" i="7"/>
  <c r="AL69" i="7" s="1"/>
  <c r="AJ68" i="7"/>
  <c r="AK68" i="7"/>
  <c r="AL68" i="7" s="1"/>
  <c r="AJ67" i="7"/>
  <c r="AK67" i="7"/>
  <c r="AL67" i="7" s="1"/>
  <c r="AK59" i="7"/>
  <c r="AL59" i="7" s="1"/>
  <c r="AJ66" i="7"/>
  <c r="AK66" i="7"/>
  <c r="AL66" i="7" s="1"/>
  <c r="AJ65" i="7"/>
  <c r="AK65" i="7"/>
  <c r="AL65" i="7" s="1"/>
  <c r="AK61" i="7"/>
  <c r="AL61" i="7" s="1"/>
  <c r="AK60" i="7"/>
  <c r="AL60" i="7" s="1"/>
  <c r="AJ64" i="7"/>
  <c r="AK64" i="7"/>
  <c r="AL64" i="7" s="1"/>
  <c r="AJ61" i="7"/>
  <c r="AJ63" i="7"/>
  <c r="AK63" i="7"/>
  <c r="AL63" i="7" s="1"/>
  <c r="AJ59" i="7"/>
  <c r="AJ62" i="7"/>
  <c r="AK62" i="7"/>
  <c r="AL62" i="7" s="1"/>
  <c r="AJ94" i="7"/>
  <c r="AK94" i="7"/>
  <c r="AL94" i="7" s="1"/>
  <c r="AJ93" i="7"/>
  <c r="AK93" i="7"/>
  <c r="AL93" i="7" s="1"/>
  <c r="AJ92" i="7"/>
  <c r="AK92" i="7"/>
  <c r="AL92" i="7" s="1"/>
  <c r="AJ84" i="7"/>
  <c r="AJ91" i="7"/>
  <c r="AK91" i="7"/>
  <c r="AL91" i="7" s="1"/>
  <c r="AJ90" i="7"/>
  <c r="AK90" i="7"/>
  <c r="AL90" i="7" s="1"/>
  <c r="AK84" i="7"/>
  <c r="AL84" i="7" s="1"/>
  <c r="AJ89" i="7"/>
  <c r="AK89" i="7"/>
  <c r="AL89" i="7" s="1"/>
  <c r="AJ88" i="7"/>
  <c r="AK88" i="7"/>
  <c r="AL88" i="7" s="1"/>
  <c r="AJ83" i="7"/>
  <c r="AJ87" i="7"/>
  <c r="AK87" i="7"/>
  <c r="AL87" i="7" s="1"/>
  <c r="AK85" i="7"/>
  <c r="AL85" i="7" s="1"/>
  <c r="AJ86" i="7"/>
  <c r="AK86" i="7"/>
  <c r="AL86" i="7" s="1"/>
  <c r="AJ85" i="7"/>
  <c r="AK83" i="7"/>
  <c r="AL83" i="7" s="1"/>
  <c r="N61" i="7"/>
  <c r="N60" i="7"/>
  <c r="N59" i="7"/>
  <c r="N70" i="7"/>
  <c r="N69" i="7"/>
  <c r="N68" i="7"/>
  <c r="N67" i="7"/>
  <c r="N66" i="7"/>
  <c r="N65" i="7"/>
  <c r="N64" i="7"/>
  <c r="N63" i="7"/>
  <c r="N62" i="7"/>
  <c r="N37" i="7"/>
  <c r="N36" i="7"/>
  <c r="N35" i="7"/>
  <c r="N46" i="7"/>
  <c r="N45" i="7"/>
  <c r="N44" i="7"/>
  <c r="N43" i="7"/>
  <c r="N42" i="7"/>
  <c r="N41" i="7"/>
  <c r="N40" i="7"/>
  <c r="N39" i="7"/>
  <c r="N38" i="7"/>
  <c r="O70" i="7"/>
  <c r="P70" i="7" s="1"/>
  <c r="AM70" i="7" s="1"/>
  <c r="O68" i="7"/>
  <c r="P68" i="7" s="1"/>
  <c r="AM68" i="7" s="1"/>
  <c r="O69" i="7"/>
  <c r="P69" i="7" s="1"/>
  <c r="AM69" i="7" s="1"/>
  <c r="O66" i="7"/>
  <c r="P66" i="7" s="1"/>
  <c r="AM66" i="7" s="1"/>
  <c r="O67" i="7"/>
  <c r="P67" i="7" s="1"/>
  <c r="AM67" i="7" s="1"/>
  <c r="O65" i="7"/>
  <c r="P65" i="7" s="1"/>
  <c r="AM65" i="7" s="1"/>
  <c r="O64" i="7"/>
  <c r="P64" i="7" s="1"/>
  <c r="AM64" i="7" s="1"/>
  <c r="O63" i="7"/>
  <c r="P63" i="7" s="1"/>
  <c r="AM63" i="7" s="1"/>
  <c r="O60" i="7"/>
  <c r="P60" i="7" s="1"/>
  <c r="AM60" i="7" s="1"/>
  <c r="O59" i="7"/>
  <c r="P59" i="7" s="1"/>
  <c r="AM59" i="7" s="1"/>
  <c r="O62" i="7"/>
  <c r="P62" i="7" s="1"/>
  <c r="AM62" i="7" s="1"/>
  <c r="O61" i="7"/>
  <c r="P61" i="7" s="1"/>
  <c r="AM61" i="7" s="1"/>
  <c r="O46" i="7"/>
  <c r="P46" i="7" s="1"/>
  <c r="AM46" i="7" s="1"/>
  <c r="O44" i="7"/>
  <c r="P44" i="7" s="1"/>
  <c r="AM44" i="7" s="1"/>
  <c r="O45" i="7"/>
  <c r="P45" i="7" s="1"/>
  <c r="AM45" i="7" s="1"/>
  <c r="O43" i="7"/>
  <c r="P43" i="7" s="1"/>
  <c r="AM43" i="7" s="1"/>
  <c r="O42" i="7"/>
  <c r="P42" i="7" s="1"/>
  <c r="AM42" i="7" s="1"/>
  <c r="O41" i="7"/>
  <c r="P41" i="7" s="1"/>
  <c r="AM41" i="7" s="1"/>
  <c r="O40" i="7"/>
  <c r="P40" i="7" s="1"/>
  <c r="AM40" i="7" s="1"/>
  <c r="O36" i="7"/>
  <c r="P36" i="7" s="1"/>
  <c r="AM36" i="7" s="1"/>
  <c r="O39" i="7"/>
  <c r="P39" i="7" s="1"/>
  <c r="AM39" i="7" s="1"/>
  <c r="O38" i="7"/>
  <c r="P38" i="7" s="1"/>
  <c r="AM38" i="7" s="1"/>
  <c r="O37" i="7"/>
  <c r="P37" i="7" s="1"/>
  <c r="AM37" i="7" s="1"/>
  <c r="O35" i="7"/>
  <c r="P35" i="7" s="1"/>
  <c r="AM35" i="7" s="1"/>
  <c r="AS46" i="7"/>
  <c r="AS70" i="7"/>
  <c r="AS94" i="7"/>
  <c r="V46" i="7"/>
  <c r="V70" i="7"/>
  <c r="AD34" i="3" l="1"/>
  <c r="AC34" i="3"/>
  <c r="AE34" i="3"/>
  <c r="AB34" i="3"/>
  <c r="Y36" i="3"/>
  <c r="Z35" i="3"/>
  <c r="AA35" i="3" s="1"/>
  <c r="O12" i="7"/>
  <c r="P12" i="7" s="1"/>
  <c r="AM12" i="7" s="1"/>
  <c r="N19" i="7"/>
  <c r="O18" i="7"/>
  <c r="P18" i="7" s="1"/>
  <c r="AM18" i="7" s="1"/>
  <c r="O19" i="7"/>
  <c r="P19" i="7" s="1"/>
  <c r="AM19" i="7" s="1"/>
  <c r="N14" i="7"/>
  <c r="N12" i="7"/>
  <c r="N15" i="7"/>
  <c r="O21" i="7"/>
  <c r="P21" i="7" s="1"/>
  <c r="AM21" i="7" s="1"/>
  <c r="N17" i="7"/>
  <c r="O20" i="7"/>
  <c r="P20" i="7" s="1"/>
  <c r="AM20" i="7" s="1"/>
  <c r="N18" i="7"/>
  <c r="O13" i="7"/>
  <c r="P13" i="7" s="1"/>
  <c r="AM13" i="7" s="1"/>
  <c r="N22" i="7"/>
  <c r="O22" i="7"/>
  <c r="P22" i="7" s="1"/>
  <c r="AM22" i="7" s="1"/>
  <c r="O14" i="7"/>
  <c r="P14" i="7" s="1"/>
  <c r="AM14" i="7" s="1"/>
  <c r="O15" i="7"/>
  <c r="P15" i="7" s="1"/>
  <c r="AM15" i="7" s="1"/>
  <c r="N16" i="7"/>
  <c r="O16" i="7"/>
  <c r="P16" i="7" s="1"/>
  <c r="AM16" i="7" s="1"/>
  <c r="N20" i="7"/>
  <c r="O17" i="7"/>
  <c r="P17" i="7" s="1"/>
  <c r="AM17" i="7" s="1"/>
  <c r="N21" i="7"/>
  <c r="O11" i="7"/>
  <c r="P11" i="7" s="1"/>
  <c r="AM11" i="7" s="1"/>
  <c r="N13" i="7"/>
  <c r="AM96" i="7"/>
  <c r="P96" i="7"/>
  <c r="IF9" i="3" s="1"/>
  <c r="IJ9" i="3" s="1"/>
  <c r="AJ16" i="7"/>
  <c r="AK17" i="7"/>
  <c r="AL17" i="7" s="1"/>
  <c r="AK16" i="7"/>
  <c r="AL16" i="7" s="1"/>
  <c r="AK19" i="7"/>
  <c r="AL19" i="7" s="1"/>
  <c r="AK18" i="7"/>
  <c r="AL18" i="7" s="1"/>
  <c r="AJ19" i="7"/>
  <c r="AS22" i="7"/>
  <c r="AK12" i="7"/>
  <c r="AL12" i="7" s="1"/>
  <c r="AJ20" i="7"/>
  <c r="AJ15" i="7"/>
  <c r="AJ21" i="7"/>
  <c r="AK15" i="7"/>
  <c r="AL15" i="7" s="1"/>
  <c r="AK21" i="7"/>
  <c r="AL21" i="7" s="1"/>
  <c r="AJ12" i="7"/>
  <c r="AJ22" i="7"/>
  <c r="AJ14" i="7"/>
  <c r="AK14" i="7"/>
  <c r="AL14" i="7" s="1"/>
  <c r="AK20" i="7"/>
  <c r="AL20" i="7" s="1"/>
  <c r="AJ18" i="7"/>
  <c r="AJ13" i="7"/>
  <c r="AK22" i="7"/>
  <c r="AL22" i="7" s="1"/>
  <c r="AJ17" i="7"/>
  <c r="AK11" i="7"/>
  <c r="AL11" i="7" s="1"/>
  <c r="AJ11" i="7"/>
  <c r="AK13" i="7"/>
  <c r="AL13" i="7" s="1"/>
  <c r="AL96" i="7"/>
  <c r="IU9" i="3" s="1"/>
  <c r="IY9" i="3" s="1"/>
  <c r="P72" i="7"/>
  <c r="IF8" i="3" s="1"/>
  <c r="IJ8" i="3" s="1"/>
  <c r="AM72" i="7"/>
  <c r="AL72" i="7"/>
  <c r="IU8" i="3" s="1"/>
  <c r="IY8" i="3" s="1"/>
  <c r="AM48" i="7"/>
  <c r="P48" i="7"/>
  <c r="IF7" i="3" s="1"/>
  <c r="IJ7" i="3" s="1"/>
  <c r="AL48" i="7"/>
  <c r="IU7" i="3" s="1"/>
  <c r="IY7" i="3" s="1"/>
  <c r="AE35" i="3" l="1"/>
  <c r="AB35" i="3"/>
  <c r="AD35" i="3"/>
  <c r="AC35" i="3"/>
  <c r="Y37" i="3"/>
  <c r="Z36" i="3"/>
  <c r="AA36" i="3" s="1"/>
  <c r="AM24" i="7"/>
  <c r="P24" i="7"/>
  <c r="IF6" i="3" s="1"/>
  <c r="IJ6" i="3" s="1"/>
  <c r="AL24" i="7"/>
  <c r="IU6" i="3" s="1"/>
  <c r="IY6" i="3" s="1"/>
  <c r="IZ9" i="3" s="1"/>
  <c r="JA9" i="3" s="1"/>
  <c r="AD36" i="3" l="1"/>
  <c r="AC36" i="3"/>
  <c r="AB36" i="3"/>
  <c r="AE36" i="3"/>
  <c r="Y38" i="3"/>
  <c r="Z37" i="3"/>
  <c r="AA37" i="3" s="1"/>
  <c r="IZ6" i="3"/>
  <c r="JD6" i="3" s="1"/>
  <c r="M12" i="8" s="1"/>
  <c r="IZ7" i="3"/>
  <c r="JA7" i="3" s="1"/>
  <c r="IZ8" i="3"/>
  <c r="JA8" i="3" s="1"/>
  <c r="JB9" i="3"/>
  <c r="K15" i="8" s="1"/>
  <c r="C16" i="20" s="1"/>
  <c r="JD9" i="3"/>
  <c r="M15" i="8" s="1"/>
  <c r="E16" i="20" s="1"/>
  <c r="JC9" i="3"/>
  <c r="L15" i="8" s="1"/>
  <c r="D16" i="20" s="1"/>
  <c r="IK9" i="3"/>
  <c r="IL9" i="3" s="1"/>
  <c r="IK8" i="3"/>
  <c r="IL8" i="3" s="1"/>
  <c r="IK7" i="3"/>
  <c r="IL7" i="3" s="1"/>
  <c r="IK6" i="3"/>
  <c r="IL6" i="3" s="1"/>
  <c r="AE37" i="3" l="1"/>
  <c r="AB37" i="3"/>
  <c r="AD37" i="3"/>
  <c r="AC37" i="3"/>
  <c r="Y39" i="3"/>
  <c r="Z38" i="3"/>
  <c r="AA38" i="3" s="1"/>
  <c r="JC6" i="3"/>
  <c r="L12" i="8" s="1"/>
  <c r="D13" i="20" s="1"/>
  <c r="JB6" i="3"/>
  <c r="K12" i="8" s="1"/>
  <c r="C13" i="20" s="1"/>
  <c r="JD8" i="3"/>
  <c r="M14" i="8" s="1"/>
  <c r="E15" i="20" s="1"/>
  <c r="JB8" i="3"/>
  <c r="K14" i="8" s="1"/>
  <c r="C15" i="20" s="1"/>
  <c r="JC8" i="3"/>
  <c r="L14" i="8" s="1"/>
  <c r="D15" i="20" s="1"/>
  <c r="JB7" i="3"/>
  <c r="K13" i="8" s="1"/>
  <c r="C14" i="20" s="1"/>
  <c r="JD7" i="3"/>
  <c r="M13" i="8" s="1"/>
  <c r="E14" i="20" s="1"/>
  <c r="JC7" i="3"/>
  <c r="L13" i="8" s="1"/>
  <c r="D14" i="20" s="1"/>
  <c r="E13" i="20"/>
  <c r="J15" i="8"/>
  <c r="B16" i="20" s="1"/>
  <c r="JA6" i="3"/>
  <c r="J12" i="8" s="1"/>
  <c r="B13" i="20" s="1"/>
  <c r="J14" i="8"/>
  <c r="B15" i="20" s="1"/>
  <c r="IM7" i="3"/>
  <c r="C13" i="8" s="1"/>
  <c r="IN7" i="3"/>
  <c r="D13" i="8" s="1"/>
  <c r="IO7" i="3"/>
  <c r="E13" i="8" s="1"/>
  <c r="B13" i="8"/>
  <c r="IM8" i="3"/>
  <c r="C14" i="8" s="1"/>
  <c r="IN8" i="3"/>
  <c r="D14" i="8" s="1"/>
  <c r="B14" i="8"/>
  <c r="IO8" i="3"/>
  <c r="E14" i="8" s="1"/>
  <c r="IN9" i="3"/>
  <c r="D15" i="8" s="1"/>
  <c r="IM9" i="3"/>
  <c r="C15" i="8" s="1"/>
  <c r="B15" i="8"/>
  <c r="IO9" i="3"/>
  <c r="E15" i="8" s="1"/>
  <c r="IN6" i="3"/>
  <c r="D12" i="8" s="1"/>
  <c r="IO6" i="3"/>
  <c r="E12" i="8" s="1"/>
  <c r="B12" i="8"/>
  <c r="IM6" i="3"/>
  <c r="C12" i="8" s="1"/>
  <c r="AB38" i="3" l="1"/>
  <c r="AC38" i="3"/>
  <c r="AD38" i="3"/>
  <c r="AE38" i="3"/>
  <c r="Y40" i="3"/>
  <c r="Z39" i="3"/>
  <c r="AA39" i="3" s="1"/>
  <c r="M9" i="8"/>
  <c r="E9" i="20" s="1"/>
  <c r="J13" i="8"/>
  <c r="B14" i="20" s="1"/>
  <c r="E9" i="8"/>
  <c r="AC39" i="3" l="1"/>
  <c r="AD39" i="3"/>
  <c r="AB39" i="3"/>
  <c r="AE39" i="3"/>
  <c r="Y41" i="3"/>
  <c r="Z40" i="3"/>
  <c r="AA40" i="3" s="1"/>
  <c r="AD40" i="3" l="1"/>
  <c r="AE40" i="3"/>
  <c r="AB40" i="3"/>
  <c r="AC40" i="3"/>
  <c r="Y42" i="3"/>
  <c r="Z41" i="3"/>
  <c r="AA41" i="3" s="1"/>
  <c r="AB41" i="3" l="1"/>
  <c r="AC41" i="3"/>
  <c r="AD41" i="3"/>
  <c r="AE41" i="3"/>
  <c r="Y43" i="3"/>
  <c r="Z42" i="3"/>
  <c r="AA42" i="3" s="1"/>
  <c r="AE42" i="3" l="1"/>
  <c r="AD42" i="3"/>
  <c r="AB42" i="3"/>
  <c r="AC42" i="3"/>
  <c r="Y44" i="3"/>
  <c r="Z43" i="3"/>
  <c r="AA43" i="3" s="1"/>
  <c r="AE43" i="3" l="1"/>
  <c r="AB43" i="3"/>
  <c r="AC43" i="3"/>
  <c r="AD43" i="3"/>
  <c r="Y45" i="3"/>
  <c r="Z44" i="3"/>
  <c r="AA44" i="3" s="1"/>
  <c r="AD44" i="3" l="1"/>
  <c r="AC44" i="3"/>
  <c r="AE44" i="3"/>
  <c r="AB44" i="3"/>
  <c r="Y46" i="3"/>
  <c r="Z45" i="3"/>
  <c r="AA45" i="3" s="1"/>
  <c r="AD45" i="3" l="1"/>
  <c r="AC45" i="3"/>
  <c r="AE45" i="3"/>
  <c r="AB45" i="3"/>
  <c r="Y47" i="3"/>
  <c r="Z46" i="3"/>
  <c r="AA46" i="3" s="1"/>
  <c r="AD46" i="3" l="1"/>
  <c r="AC46" i="3"/>
  <c r="AE46" i="3"/>
  <c r="AB46" i="3"/>
  <c r="Y48" i="3"/>
  <c r="Z47" i="3"/>
  <c r="AA47" i="3" s="1"/>
  <c r="AD47" i="3" l="1"/>
  <c r="AC47" i="3"/>
  <c r="AE47" i="3"/>
  <c r="AB47" i="3"/>
  <c r="Y49" i="3"/>
  <c r="Z48" i="3"/>
  <c r="AA48" i="3" s="1"/>
  <c r="AE48" i="3" l="1"/>
  <c r="AD48" i="3"/>
  <c r="AC48" i="3"/>
  <c r="AB48" i="3"/>
  <c r="Y50" i="3"/>
  <c r="Z49" i="3"/>
  <c r="AA49" i="3" s="1"/>
  <c r="AB49" i="3" l="1"/>
  <c r="AC49" i="3"/>
  <c r="AD49" i="3"/>
  <c r="AE49" i="3"/>
  <c r="Y51" i="3"/>
  <c r="Z50" i="3"/>
  <c r="AA50" i="3" s="1"/>
  <c r="AC50" i="3" l="1"/>
  <c r="AD50" i="3"/>
  <c r="AE50" i="3"/>
  <c r="AB50" i="3"/>
  <c r="Y52" i="3"/>
  <c r="Z51" i="3"/>
  <c r="AA51" i="3" s="1"/>
  <c r="AC51" i="3" l="1"/>
  <c r="AE51" i="3"/>
  <c r="AD51" i="3"/>
  <c r="AB51" i="3"/>
  <c r="Y53" i="3"/>
  <c r="Z52" i="3"/>
  <c r="AA52" i="3" s="1"/>
  <c r="AD52" i="3" l="1"/>
  <c r="AE52" i="3"/>
  <c r="AC52" i="3"/>
  <c r="AB52" i="3"/>
  <c r="Y54" i="3"/>
  <c r="Z53" i="3"/>
  <c r="AA53" i="3" s="1"/>
  <c r="AB53" i="3" l="1"/>
  <c r="AE53" i="3"/>
  <c r="AC53" i="3"/>
  <c r="AD53"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<sst xmlns="http://schemas.openxmlformats.org/spreadsheetml/2006/main" count="2508" uniqueCount="481">
  <si>
    <t>INSTRUCCIONES PARA LA CUMPLIMENTACIÓN DEL MOD60.
 GASTO DE PERSONAL.</t>
  </si>
  <si>
    <t>-. Para cada uno de los trabajadores participantes, se deberá cumplimentar un MOD60 y anexarlo a la cuenta justificativa (Solicitud de Cobro) del expediente.</t>
  </si>
  <si>
    <t>-. Solamente hay que introducir datos en las pestañas de color azul. Las pestañas de color verde contienen tanto las instrucciones de cumplimentación de la hoja excel como el resumen de los gastos imputados por el trabajador. Las pestañas de color gris sirven para la elaboración de los informes finales por parte del INFO y AUDITORES por lo que están inactivas.</t>
  </si>
  <si>
    <t>-. Con el fin de limitar al máximo la introducción de datos incoherentes, se recomienda ir cumplimentando las distintas pestañas en orden secuencial. En determinadas situaciones, al acceder a una pestaña se mostrará únicamente un aviso indicando que falta completar algún dato en pestañas anteriores.</t>
  </si>
  <si>
    <t>-. Como norma general, hay que cumplimentar datos en las celdas de color azul claro. Las celdas en color azul oscuro indican que será necesario insertar algún tipo de documento en formato pdf.</t>
  </si>
  <si>
    <t>-. En el caso de que falte incorporar un dato o que el dato incorporado sea incoherente, se mostrará un mensaje de aviso en una celda de color naranja.</t>
  </si>
  <si>
    <t>¿CÓMO INSERTAR UN ARCHIVO EN FORMATO PDF?</t>
  </si>
  <si>
    <t>-. La inserción de archivos digitalizados, en formato pdf, se realiza de la siguiente manera:</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</si>
  <si>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</si>
  <si>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</si>
  <si>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</si>
  <si>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</si>
  <si>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r>
      <t>e) Dentro de la primera pestaña ("Crear nuevo") seleccionamos la opción</t>
    </r>
    <r>
      <rPr>
        <b/>
        <sz val="10"/>
        <color rgb="FFFF0000"/>
        <rFont val="Nunito Sans"/>
      </rPr>
      <t xml:space="preserve"> "Package"</t>
    </r>
    <r>
      <rPr>
        <sz val="10"/>
        <color rgb="FFFF0000"/>
        <rFont val="Nunito Sans"/>
      </rPr>
      <t>, marcamos la opción "Mostrar como icono" y pulsamos el botón "Aceptar".</t>
    </r>
  </si>
  <si>
    <r>
      <t>f) Seleccionamos el archivo PDF correspondiente al archivo a insertar.</t>
    </r>
    <r>
      <rPr>
        <b/>
        <sz val="10"/>
        <color rgb="FFFF0000"/>
        <rFont val="Nunito Sans"/>
      </rPr>
      <t xml:space="preserve"> (IMPORTANTE: ESTE DOCUMENTO DEBE ESTAR CERRADO ANTES DE SELECCIONARLO)</t>
    </r>
  </si>
  <si>
    <t>g) De forma automática se incluye una imagen con el logotipo de Archivo PDF, que corresponde al archivo recién insertado.</t>
  </si>
  <si>
    <t>PESTAÑA "EXPEDIENTE"</t>
  </si>
  <si>
    <t>-. En la pestaña "EXPEDIENTE" se deberá cumplimentar:</t>
  </si>
  <si>
    <t>a) Celda C17: en su caso, modalidad del expediente.</t>
  </si>
  <si>
    <t>b) Celda D19: número del expediente.</t>
  </si>
  <si>
    <t>c) Celda C21: nombre o razón social del beneficiario.</t>
  </si>
  <si>
    <t>d) Celda F25: en su caso, fecha inicial del plazo de ejecución del proyecto/actividad.</t>
  </si>
  <si>
    <t>e) Celda F27: fecha final del plazo de ejecución del proyecto/actividad.</t>
  </si>
  <si>
    <t>PESTAÑA "IDENTIFICACIÓN DEL TRABAJADOR"</t>
  </si>
  <si>
    <t>-. En la pestaña "IDENTIFICACIÓN DEL TRABAJADOR" se deberá cumplimentar el nombre y apellidos del trabajador (celdas D11, D12 y D13).</t>
  </si>
  <si>
    <t>-. A continuación hay que cumplimentar los siguientes datos relativos al contrato del trabajador:</t>
  </si>
  <si>
    <t>a) Celda F18: SÍ/NO el trabajador tenía contrato vigente durante todo el plazo de ejecución del proyecto/actividad.</t>
  </si>
  <si>
    <t>c) Celda F20: en su caso, SÍ/NO el trabajador seguía contratado a la finalización del plazo de ejecución del proyecto/actividad.</t>
  </si>
  <si>
    <t>d) Celda F21: en su caso, fecha de finalización del contrato.</t>
  </si>
  <si>
    <t>-.Por último y para cada uno de los ejercicios, se deberán seleccionar única y exclusivamente los meses en los que se hubiese disfrutado de algún día de vacaciones y/o días de permiso retribuido:</t>
  </si>
  <si>
    <t>-. En primer lugar, se seleccionarán los meses del ejercicio en los que se disfrutó de algún día de vacaciones y/o permiso retribuido.</t>
  </si>
  <si>
    <t>-. A continuación, se cumplimentará el número de días de dicho mes en los que el trabajador disfrutó de días de vacaciones y/o permiso retribuido.</t>
  </si>
  <si>
    <t>-. Por último, se insertarán los archivos, en formato pdf, de la nómina mensual y los documentos acreditativos del pago de la misma.</t>
  </si>
  <si>
    <t>PESTAÑA "% DEDICACIÓN TRABAJADOR"</t>
  </si>
  <si>
    <t>-. En la pestaña "% DEDICACIÓN TRABAJADOR" se debera cumplimentar, en primer lugar, la fecha de emisión (celda F9).</t>
  </si>
  <si>
    <t>NOTA: la fecha reflejada debe cumplir dos requisitos: por un lado, ser anterior a la fecha de finalización del plazo de ejecución del proyecto y, por otro lado, no exisitir dedicación del trabajador en un mes anterior al de la firma de dicho documento.</t>
  </si>
  <si>
    <t>-. A continuación se insertarán dos archivos en formato pdf: contrato de trabajo (celda E14) y el Informe de datos para la cotización - IdC emitido por la Tesorería General de la Seguridad Social (celda F14)</t>
  </si>
  <si>
    <t>-. Para cada mes de cada ejercicio dentro del plazo de ejecución del proyecto/actividad, se irán cumplimentando los porcentajes de dedicación mensual atendiendo a las posibles incidencias/errores que se indican al final de cada ejercicio</t>
  </si>
  <si>
    <t>NOTA 1: El pocentaje de dedicación mensual se calculará dividiendo el número de horas (días, para el caso de dedicación a jornada completa) dedicadas al proyecto en el mes entre el número de horas laborables del mes (días laborables, para el caso de dedicación a jornada completa) de acuerdo con el calendario laboral de la empresa.</t>
  </si>
  <si>
    <t>PESTAÑA "GASTOS EJER. X".</t>
  </si>
  <si>
    <t>-. La pestaña "GASTOS EJER. X" está dividida en 4 bloques:</t>
  </si>
  <si>
    <t>a) BLOQUE 1: Tabla de cotizaciones.</t>
  </si>
  <si>
    <t>b) BLOQUE 2: Nóminas mensuales.</t>
  </si>
  <si>
    <t>c) BLOQUE 3: Otras nóminas.</t>
  </si>
  <si>
    <t>d) BLOQUE 4: Seguridad Social empresa.</t>
  </si>
  <si>
    <t>-. BLOQUE 1: Tabla de cotizaciones.</t>
  </si>
  <si>
    <t>-. BLOQUE 2: Nóminas mensuales.</t>
  </si>
  <si>
    <t>NOTA:  Las filas correspondientes a los meses en los que no se hubiese reflejado dedicación estarán coloreadas en verde.</t>
  </si>
  <si>
    <t>-. Hay que cumplimentar, para cada nómina, los importes correspondientes a "Seguridad social del trabajador" (columna "X") y "Retención IRPF del trabajador" (columna "Y"). Así mismo, hay que cumplimentar la fecha valor de abono de la nómina (columna "AA") y la fecha valor de ingreso de IRPF (columna "AB").</t>
  </si>
  <si>
    <t>-. En las columnas "AC" y "AD" hay que insertar, respectivamente, los archivos en formato pdf de la nómina mensual y los documentos acreditativos del pago de la misma.</t>
  </si>
  <si>
    <t>-. En la columna "AE" se puede incorporar, si fuera necesario, cualquier observación que el beneficiario considere oportuna.</t>
  </si>
  <si>
    <t>-. BLOQUE 3: Otras nóminas (por ejemplo, pagas extraordinarias, atrasos, ...).</t>
  </si>
  <si>
    <t xml:space="preserve">-. De forma análoga, se procederá a cumplimentar el bloque correspondiente a "OTRAS NÓMINAS", teniendo en cuenta que para que sean subvencionables, total o parcialmente, será necesario que cumplan simultáneamente los dos siguientes criterios: </t>
  </si>
  <si>
    <t>a) El período de devengo se encuentre comprendido, al menos parcialmente, dentro del plazo de ejecución del proyecto.</t>
  </si>
  <si>
    <t>b) La fecha valor de abono de la nómina y/o de su IRPF sea anterior a la finalización del plazo de justificación.</t>
  </si>
  <si>
    <t>NOTA: la repercusión mensual de las "OTRAS NÓMINAS" en el coste mensual del trabajador se hace en función del período de devengo indicado para cada una de ellas por lo que hay que prestar especial atención a las fechas que se indiquen.</t>
  </si>
  <si>
    <t>-.  BLOQUE 4: Seguridad Social empresa:</t>
  </si>
  <si>
    <t>-. En este bloque se reflejara, para cada mes del ejercicicio en los que el trabajdor haya tenido dedicación al proyecto:</t>
  </si>
  <si>
    <t>a) La base de cotización (columna "D")</t>
  </si>
  <si>
    <t>b) El importe de la Seguridad Social relativo a las OTRAS NÓMINAS que se hubiese abonado en el mes (columna "F").</t>
  </si>
  <si>
    <t>d) Fecha de valor del abono del recibo de liquidación de cotizaciones mensual (RLC) (columna "I").</t>
  </si>
  <si>
    <t>AÑO:</t>
  </si>
  <si>
    <t>BORM BASES REGULADORAS
(Y MODIFICACIONES):</t>
  </si>
  <si>
    <t>DIVISIÓN:</t>
  </si>
  <si>
    <t>LÍNEA:</t>
  </si>
  <si>
    <t>CT01</t>
  </si>
  <si>
    <t>BORM EXTRACTO
 CONVOCATORIA
 (Y MODIFICACIONES):</t>
  </si>
  <si>
    <t>Nº EXPEDIENTE:</t>
  </si>
  <si>
    <t>BENEFICIARIO:</t>
  </si>
  <si>
    <t>INFO</t>
  </si>
  <si>
    <t>FECHAS DEFINITIVAS</t>
  </si>
  <si>
    <t>FECHA FINAL PLAZO JUSTIFICACIÓN:</t>
  </si>
  <si>
    <t>DATOS TRABAJADOR</t>
  </si>
  <si>
    <t>NOMBRE:</t>
  </si>
  <si>
    <t>PRIMER APELLIDO:</t>
  </si>
  <si>
    <t>SEGUNDO APELLIDO:</t>
  </si>
  <si>
    <t>ACRÓNIMO:</t>
  </si>
  <si>
    <t>DATOS DEL CONTRATO</t>
  </si>
  <si>
    <t>¿HA ESTADO CONTRATADO DURANTE TODO EL PLAZO DE EJECUCIÓN DEL PROYECTO?</t>
  </si>
  <si>
    <t>NO</t>
  </si>
  <si>
    <t>FECHA INICIO DE CONTRATO:</t>
  </si>
  <si>
    <t>A FECHA DE FINALIZACIÓN DEL PLAZO DE EJECUCIÓN DEL PROYECTO ¿SEGUÍA CONTRATADO EL TRABAJADOR?</t>
  </si>
  <si>
    <t>FECHA FINALIZACIÓN DEL CONTRATO:</t>
  </si>
  <si>
    <t>INICIO PLAZO EJECUCIÓN:</t>
  </si>
  <si>
    <t>FINAL PLAZO DE EJECUCIÓN:</t>
  </si>
  <si>
    <t>FECHA EFECTIVA INICIO TRABAJO:</t>
  </si>
  <si>
    <t>FECHA EFECTIVA FINAL TRABAJO:</t>
  </si>
  <si>
    <t>SÍ</t>
  </si>
  <si>
    <t>INICIO:</t>
  </si>
  <si>
    <t>FIN:</t>
  </si>
  <si>
    <t>DÍAS:</t>
  </si>
  <si>
    <t>MESES CON MÁS DE 23 DÏAS LABORABLES</t>
  </si>
  <si>
    <t>MES</t>
  </si>
  <si>
    <t>Nº DÍAS
LABORABLES
DISFRUTADOS
COMO
VACACIONES</t>
  </si>
  <si>
    <t>Nº DÍAS
LABORABLES
DISFRUTADOS
COMO
PERMISO
RETRIBUIDO</t>
  </si>
  <si>
    <t>INSERTAR 
ARCHIVO NÓMINA (PDF)</t>
  </si>
  <si>
    <t>INSERTAR DOCUMENTO(S) DE
PAGO DE NÓMINA (PDF)</t>
  </si>
  <si>
    <t>FECHA EMISIÓN (1):</t>
  </si>
  <si>
    <t xml:space="preserve">NOTA 1: </t>
  </si>
  <si>
    <t>Este formulario debe emitirse con anterioridad a la primera imputación mensual del trabajador al proyecto/actividad.</t>
  </si>
  <si>
    <t>INSERTAR CONTRATO
DE TRABAJO (PDF)</t>
  </si>
  <si>
    <t>INSERTAR INFORME DATOS
PARA LA COTIZACIÓN (Idc)</t>
  </si>
  <si>
    <t>PORCENTAJE DE DEDICACIÓN POR EJERCICIO</t>
  </si>
  <si>
    <t>NOTA 2:</t>
  </si>
  <si>
    <t>El pocentaje de dedicación mensual se calculará dividiendo el número de horas (días, para el caso de dedicación a jornada completa) dedicadas al proyecto en el mes entre el número de horas laborables del mes (días laborables, para el caso de dedicación a jornada completa) de acuerdo con el calendario laboral de la empresa.
Se entenderá día laborable aquel que no sea festivo de acuerdo con el calendario laboral de la empresa.</t>
  </si>
  <si>
    <t>NOTA 3:</t>
  </si>
  <si>
    <t>El valor del porcentaje se reflejará con dos cifras decimales. En los meses que no exista dedicación, se puede dejar en blanco o consiganar el valor 0%.
Si el valor de un porcentaje correspondiente a un mes se colorea en rojo, es conveniente revisar tanto el cálculo de dicho porcentaje como el número de días laborables y de permiso retribuidos de dicho mes (en la pestaña "IDENTIFICACIÓN DEL TRABAJADOR") por una posible incoherencia.</t>
  </si>
  <si>
    <t>INICIO PROYECTO:</t>
  </si>
  <si>
    <t>FINAL PROYECTO:</t>
  </si>
  <si>
    <t>PRIMERA DEDICACIÓN FACTIBLE:</t>
  </si>
  <si>
    <t>ÚLTIMA DEDICACIÓN FACTIBLE:</t>
  </si>
  <si>
    <t>INICIO DEDICACIÓN:</t>
  </si>
  <si>
    <t>1º DEDICACIÓN POR FORMULARIO:</t>
  </si>
  <si>
    <t>MESES CON DEDICACIÓN EJERC.:</t>
  </si>
  <si>
    <t>MES CON DEDICACIÓN</t>
  </si>
  <si>
    <t>&gt;100%</t>
  </si>
  <si>
    <t>PRIMERA
IMPUTACIÓN</t>
  </si>
  <si>
    <t>ÚLTIMA
IMPUTACIÓN</t>
  </si>
  <si>
    <t>ENE</t>
  </si>
  <si>
    <t>FEB</t>
  </si>
  <si>
    <t>MAR</t>
  </si>
  <si>
    <t>ABR</t>
  </si>
  <si>
    <t>MAY</t>
  </si>
  <si>
    <t>JUN</t>
  </si>
  <si>
    <t>JUL</t>
  </si>
  <si>
    <t>AGO</t>
  </si>
  <si>
    <t>SEP</t>
  </si>
  <si>
    <t>OCT</t>
  </si>
  <si>
    <t>NOV</t>
  </si>
  <si>
    <t>DIC</t>
  </si>
  <si>
    <t>PORCENTAJE DE DEDICACIÓN MENSUAL AL PROYECTO POR EJERCICIO</t>
  </si>
  <si>
    <t>NOTA 4:</t>
  </si>
  <si>
    <t>Una vez cumplimentados:</t>
  </si>
  <si>
    <t>Se procederá de la siguiente manera:</t>
  </si>
  <si>
    <t>a) La fecha de emisión (Celda F9).
b) Insertados los archivos pdf correspondientes a "Informe de datos para la cotización (IdC)" y "Contrato de trabajo".
c) Cumplimentados los porcentajes de dedicación mensual.</t>
  </si>
  <si>
    <t>1-. Imprimir esta pestaña de la hoja excel.
2-. Firmar esta hoja excel tanto por el trabajador como por el responsable.
3-. Escanear dicho documento e incorporarlo en la celda G54 como archivo pdf.</t>
  </si>
  <si>
    <t>FIRMA DEL TRABAJADOR</t>
  </si>
  <si>
    <t>FIRMA DEL RESPONSABLE</t>
  </si>
  <si>
    <t>INSERTAR ESTE FORMULARIO DE DEDICACIÓN FIRMADO (PDF)</t>
  </si>
  <si>
    <t>dias vac</t>
  </si>
  <si>
    <t>h/dia</t>
  </si>
  <si>
    <t>% max</t>
  </si>
  <si>
    <t>1 EJ</t>
  </si>
  <si>
    <t>2 EJ</t>
  </si>
  <si>
    <t>3 EJ</t>
  </si>
  <si>
    <t>4 EJ</t>
  </si>
  <si>
    <t>ene</t>
  </si>
  <si>
    <t>feb</t>
  </si>
  <si>
    <t>mar</t>
  </si>
  <si>
    <t>abr</t>
  </si>
  <si>
    <t>may</t>
  </si>
  <si>
    <t>jun</t>
  </si>
  <si>
    <t>jul</t>
  </si>
  <si>
    <t>ago</t>
  </si>
  <si>
    <t>sep</t>
  </si>
  <si>
    <t>oct</t>
  </si>
  <si>
    <t>nov</t>
  </si>
  <si>
    <t>dic</t>
  </si>
  <si>
    <t>Nº DE INCIDENCIAS</t>
  </si>
  <si>
    <t>INFORME</t>
  </si>
  <si>
    <t>NOTA 5:</t>
  </si>
  <si>
    <t>Sólamente cumplimentar los datos correspondientes a aquellas nóminas de meses en los que el trabajador tenga dedicación al proyecto. Las celdas correspondientes a los meses en los que no se refleje dedicación se colorearán automáticamente en verde.</t>
  </si>
  <si>
    <t>BENEF</t>
  </si>
  <si>
    <t>FINAL</t>
  </si>
  <si>
    <t>OBSERVACIONES INFO</t>
  </si>
  <si>
    <t>TOT</t>
  </si>
  <si>
    <t>AT</t>
  </si>
  <si>
    <t>AW</t>
  </si>
  <si>
    <t>AZ</t>
  </si>
  <si>
    <t>BC</t>
  </si>
  <si>
    <t>BF</t>
  </si>
  <si>
    <t>BI</t>
  </si>
  <si>
    <t>BL</t>
  </si>
  <si>
    <t>BR</t>
  </si>
  <si>
    <t>BU</t>
  </si>
  <si>
    <t>BX</t>
  </si>
  <si>
    <t>CA</t>
  </si>
  <si>
    <t>CD</t>
  </si>
  <si>
    <t>CH</t>
  </si>
  <si>
    <t>CM</t>
  </si>
  <si>
    <t>CP</t>
  </si>
  <si>
    <t>CT</t>
  </si>
  <si>
    <t>CW</t>
  </si>
  <si>
    <t>Contingencias comunes:</t>
  </si>
  <si>
    <t>NOTA 6:</t>
  </si>
  <si>
    <t xml:space="preserve">Solamente cumplimentar los datos correspondientes a "OTRAS NÓMINAS" que cumplan simultáneamente los dos siguientes criterios: </t>
  </si>
  <si>
    <t>AT y EP:</t>
  </si>
  <si>
    <t>Desempleo:</t>
  </si>
  <si>
    <t>Formación profesional:</t>
  </si>
  <si>
    <t>NOTA 7:</t>
  </si>
  <si>
    <t>En el caso de que alguna de las fecha valor de abono de nómina, de ingreso de IRPF o de abono de las Seguridad Social empresa no se encuentre dentro del plazo de ejecución o sea posterior a la finalización del plazo de justificación, la celda se coloreará en naranja.</t>
  </si>
  <si>
    <t>Fondo garantía salarial:</t>
  </si>
  <si>
    <t>TIPO COTIZACIÓN SS EMPRESA</t>
  </si>
  <si>
    <t>FECHAS</t>
  </si>
  <si>
    <t>IDENTIFICACIÓN DE LA NÓMINA</t>
  </si>
  <si>
    <t>IMPORTES SUBVENCIONABLES</t>
  </si>
  <si>
    <r>
      <t xml:space="preserve">IMPORTES </t>
    </r>
    <r>
      <rPr>
        <b/>
        <sz val="10"/>
        <color rgb="FFFF0000"/>
        <rFont val="Nunito Sans"/>
      </rPr>
      <t>NO</t>
    </r>
    <r>
      <rPr>
        <b/>
        <sz val="10"/>
        <color rgb="FF0592CB"/>
        <rFont val="Nunito Sans"/>
      </rPr>
      <t xml:space="preserve"> SUBVENCIONABLES</t>
    </r>
  </si>
  <si>
    <t>TOTAL
DEVENGADO
NÓMINA</t>
  </si>
  <si>
    <t>SEGURIDAD
SOCIAL
TRABAJADOR</t>
  </si>
  <si>
    <t>RETENCIÓN
IRPF
TRABAJADOR</t>
  </si>
  <si>
    <t>IMPORTE
LÍQUIDO
PERCIBIDO</t>
  </si>
  <si>
    <t>FECHA
VALOR
ABONO
NÓMINA</t>
  </si>
  <si>
    <t>FECHA
VALOR
INGRESO
IRPF
(MODELO 111)</t>
  </si>
  <si>
    <t>INSERTAR
ARCHIVO
NÓNIMA
(PDF)</t>
  </si>
  <si>
    <t>INSERTAR DOCUMENTO(S) DE PAGO DE NÓMINA
(PDF)</t>
  </si>
  <si>
    <t>EN SU CASO,
OBSERVACIONES DEL BENEFICIARIO</t>
  </si>
  <si>
    <t>NOM
Y S.S.</t>
  </si>
  <si>
    <t>IRPF</t>
  </si>
  <si>
    <t>TOTAL DÍAS</t>
  </si>
  <si>
    <t>SEG. SOC. TRABAJ.</t>
  </si>
  <si>
    <t>RET. IRPF TRABAJ.</t>
  </si>
  <si>
    <t>FECHA ABONO NÓM.</t>
  </si>
  <si>
    <t>FECHA INGRESO IRPF</t>
  </si>
  <si>
    <t>Nº</t>
  </si>
  <si>
    <t>OBSERVACIONES
INFO</t>
  </si>
  <si>
    <t>PERÍODO DE
LIQUIDACIÓN</t>
  </si>
  <si>
    <t>TOTAL
DÍAS
(indicados en nómina)</t>
  </si>
  <si>
    <t>SALARIO
BASE</t>
  </si>
  <si>
    <t>COMPLEMENTOS NÓMINA INCLUIDOS EN CONVENIO</t>
  </si>
  <si>
    <t>IMPORTE
NÓMINA
A CONSIDERAR
SUBVENCIONABLE</t>
  </si>
  <si>
    <r>
      <t xml:space="preserve">COMPLEMENTOS NÓMINA </t>
    </r>
    <r>
      <rPr>
        <b/>
        <sz val="10"/>
        <color rgb="FFFF0000"/>
        <rFont val="Nunito Sans"/>
      </rPr>
      <t>NO</t>
    </r>
    <r>
      <rPr>
        <b/>
        <sz val="8"/>
        <color theme="1"/>
        <rFont val="Nunito Sans"/>
      </rPr>
      <t xml:space="preserve"> INCLUIDOS EN CONVENIO</t>
    </r>
  </si>
  <si>
    <r>
      <t xml:space="preserve">PERCEPCIONES
</t>
    </r>
    <r>
      <rPr>
        <b/>
        <sz val="8"/>
        <color rgb="FFFF0000"/>
        <rFont val="Nunito Sans"/>
      </rPr>
      <t>NO</t>
    </r>
    <r>
      <rPr>
        <b/>
        <sz val="8"/>
        <color theme="1"/>
        <rFont val="Nunito Sans"/>
      </rPr>
      <t xml:space="preserve">
SALARIALES</t>
    </r>
  </si>
  <si>
    <t>SALARIO BASE</t>
  </si>
  <si>
    <t>IMPORTE
NÓMINA
SUBVENC.</t>
  </si>
  <si>
    <r>
      <t xml:space="preserve">COMPLEMENTOS NÓMINA </t>
    </r>
    <r>
      <rPr>
        <b/>
        <sz val="10"/>
        <rFont val="Nunito Sans"/>
      </rPr>
      <t>NO</t>
    </r>
    <r>
      <rPr>
        <b/>
        <sz val="8"/>
        <rFont val="Nunito Sans"/>
      </rPr>
      <t xml:space="preserve"> INCLUIDOS EN CONVENIO</t>
    </r>
  </si>
  <si>
    <t>PERCEP. NO SALARIAL</t>
  </si>
  <si>
    <r>
      <t xml:space="preserve">COMPLEMENTO
CONVENIO
</t>
    </r>
    <r>
      <rPr>
        <b/>
        <sz val="8"/>
        <color theme="1"/>
        <rFont val="Nunito Sans"/>
      </rPr>
      <t>1</t>
    </r>
  </si>
  <si>
    <r>
      <t xml:space="preserve">COMPLEMENTO
CONVENIO
</t>
    </r>
    <r>
      <rPr>
        <b/>
        <sz val="8"/>
        <color theme="1"/>
        <rFont val="Nunito Sans"/>
      </rPr>
      <t>2</t>
    </r>
  </si>
  <si>
    <r>
      <t xml:space="preserve">COMPLEMENTO
CONVENIO
</t>
    </r>
    <r>
      <rPr>
        <b/>
        <sz val="8"/>
        <color theme="1"/>
        <rFont val="Nunito Sans"/>
      </rPr>
      <t>3</t>
    </r>
  </si>
  <si>
    <r>
      <t xml:space="preserve">COMPLEMENTO
CONVENIO
</t>
    </r>
    <r>
      <rPr>
        <b/>
        <sz val="8"/>
        <color theme="1"/>
        <rFont val="Nunito Sans"/>
      </rPr>
      <t>4</t>
    </r>
  </si>
  <si>
    <r>
      <t xml:space="preserve">COMPLEMENTO
CONVENIO
</t>
    </r>
    <r>
      <rPr>
        <b/>
        <sz val="8"/>
        <color theme="1"/>
        <rFont val="Nunito Sans"/>
      </rPr>
      <t>5</t>
    </r>
  </si>
  <si>
    <r>
      <rPr>
        <b/>
        <sz val="8"/>
        <rFont val="Nunito Sans"/>
      </rPr>
      <t>TOTAL</t>
    </r>
    <r>
      <rPr>
        <b/>
        <sz val="6"/>
        <rFont val="Nunito Sans"/>
      </rPr>
      <t xml:space="preserve">
COMPLEMENTO
SEGÚN
CONVENIO</t>
    </r>
  </si>
  <si>
    <r>
      <t xml:space="preserve">COMPLEMENTO
FUERA DE
CONVENIO
</t>
    </r>
    <r>
      <rPr>
        <b/>
        <sz val="8"/>
        <color theme="1"/>
        <rFont val="Nunito Sans"/>
      </rPr>
      <t>1</t>
    </r>
  </si>
  <si>
    <r>
      <t xml:space="preserve">COMPLEMENTO
FUERA DE
CONVENIO
</t>
    </r>
    <r>
      <rPr>
        <b/>
        <sz val="8"/>
        <color theme="1"/>
        <rFont val="Nunito Sans"/>
      </rPr>
      <t>2</t>
    </r>
  </si>
  <si>
    <r>
      <t xml:space="preserve">COMPLEMENTO
FUERA DE
CONVENIO
</t>
    </r>
    <r>
      <rPr>
        <b/>
        <sz val="8"/>
        <color theme="1"/>
        <rFont val="Nunito Sans"/>
      </rPr>
      <t>3</t>
    </r>
  </si>
  <si>
    <r>
      <t xml:space="preserve">COMPLEMENTO
FUERA DE
CONVENIO
</t>
    </r>
    <r>
      <rPr>
        <b/>
        <sz val="8"/>
        <color theme="1"/>
        <rFont val="Nunito Sans"/>
      </rPr>
      <t>4</t>
    </r>
  </si>
  <si>
    <r>
      <t xml:space="preserve">COMPLEMENTO
FUERA DE
CONVENIO
</t>
    </r>
    <r>
      <rPr>
        <b/>
        <sz val="8"/>
        <color theme="1"/>
        <rFont val="Nunito Sans"/>
      </rPr>
      <t>5</t>
    </r>
  </si>
  <si>
    <r>
      <rPr>
        <b/>
        <sz val="8"/>
        <color theme="1"/>
        <rFont val="Nunito Sans"/>
      </rPr>
      <t>TOTAL</t>
    </r>
    <r>
      <rPr>
        <b/>
        <sz val="6"/>
        <color theme="1"/>
        <rFont val="Nunito Sans"/>
      </rPr>
      <t xml:space="preserve">
COMPLEMENTO
FUERA
CONVENIO</t>
    </r>
  </si>
  <si>
    <t>COMPROBACIÓN
FECHAS</t>
  </si>
  <si>
    <t>BENEF.
COMPLEM.
CONV. 1</t>
  </si>
  <si>
    <t>INFO
COMPLEM.
CONV. 1</t>
  </si>
  <si>
    <t>FINAL
COMPLEM.
CONV. 1</t>
  </si>
  <si>
    <t>BENEF.
COMPLEM.
CONV. 2</t>
  </si>
  <si>
    <t>INFO
COMPLEM.
CONV. 2</t>
  </si>
  <si>
    <t>FINAL
COMPLEM.
CONV. 2</t>
  </si>
  <si>
    <t>BENEF.
COMPLEM.
CONV. 3</t>
  </si>
  <si>
    <t>INFO
COMPLEM.
CONV. 3</t>
  </si>
  <si>
    <t>FINAL
COMPLEM.
CONV. 3</t>
  </si>
  <si>
    <t>BENEF.
COMPLEM.
CONV. 4</t>
  </si>
  <si>
    <t>INFO
COMPLEM.
CONV. 4</t>
  </si>
  <si>
    <t>FINAL
COMPLEM.
CONV. 4</t>
  </si>
  <si>
    <t>BENEF.
COMPLEM.
CONV. 5</t>
  </si>
  <si>
    <t>INFO
COMPLEM.
CONV. 5</t>
  </si>
  <si>
    <t>FINAL
COMPLEM.
CONV. 5</t>
  </si>
  <si>
    <t>TOTAL
COMPLEM.
CONVENIO</t>
  </si>
  <si>
    <t>BENEF.
COMPL. NO
CONV. 1</t>
  </si>
  <si>
    <t>INFO
COMPL. NO
CONV. 1</t>
  </si>
  <si>
    <t>FINAL
COMPL. NO
CONV. 1</t>
  </si>
  <si>
    <t>BENEF.
COMPL. NO
CONV. 2</t>
  </si>
  <si>
    <t>INFO
COMPL. NO
CONV. 2</t>
  </si>
  <si>
    <t>FINAL
COMPL. NO
CONV. 2</t>
  </si>
  <si>
    <t>BENEF.
COMPL. NO
CONV. 3</t>
  </si>
  <si>
    <t>INFO
COMPL. NO
CONV. 3</t>
  </si>
  <si>
    <t>FINAL
COMPL. NO
CONV. 3</t>
  </si>
  <si>
    <t>BENEF.
COMPL. NO
CONV. 4</t>
  </si>
  <si>
    <t>INFO
COMPL. NO
CONV. 4</t>
  </si>
  <si>
    <t>FINAL
COMPL. NO
CONV. 4</t>
  </si>
  <si>
    <t>BENEF.
COMPL. NO
CONV. 5</t>
  </si>
  <si>
    <t>INFO
COMPL. NO
CONV. 5</t>
  </si>
  <si>
    <t>FINAL
COMPL. NO
CONV. 5</t>
  </si>
  <si>
    <t>TOTAL
COMPL. NO
CONVENIO</t>
  </si>
  <si>
    <t>ENERO</t>
  </si>
  <si>
    <t>FEBRERO</t>
  </si>
  <si>
    <t>MARZO</t>
  </si>
  <si>
    <t>ABRIL</t>
  </si>
  <si>
    <t>MAYO</t>
  </si>
  <si>
    <t>JUNIO</t>
  </si>
  <si>
    <t>JULIO</t>
  </si>
  <si>
    <t>AGOSTO</t>
  </si>
  <si>
    <t>SEPTIEMBRE</t>
  </si>
  <si>
    <t>OCTUBRE</t>
  </si>
  <si>
    <t>NOVIEMBRE</t>
  </si>
  <si>
    <t>DICIEMBRE</t>
  </si>
  <si>
    <r>
      <t xml:space="preserve">OTRAS NÓMINAS (por ejemplo, pagas extraordinarias, atrasos...).
</t>
    </r>
    <r>
      <rPr>
        <b/>
        <sz val="10"/>
        <color rgb="FF0592CB"/>
        <rFont val="Nunito Sans"/>
      </rPr>
      <t>NOTA: en el caso, por ejemplo, de nómina de atrasos se incluirá en este bloque el importe de la Seguridad Social correspondiente al trabajador. La Seguridad Social correspondiente a la empresa se reflejará, en el mes correspondiente, en el siguiente bloque (SEGURIDAD SOCIAL EMPRESA)</t>
    </r>
  </si>
  <si>
    <t>IDENTIFICACIÓN
NÓMINA</t>
  </si>
  <si>
    <t>PERÍODO DEVENGO</t>
  </si>
  <si>
    <t>INICIO
(dd/mm/aa)</t>
  </si>
  <si>
    <t>FIN
(dd/mm/aa)</t>
  </si>
  <si>
    <t>INICIO
BENEF</t>
  </si>
  <si>
    <t>INICIO
INFO</t>
  </si>
  <si>
    <t>FIN
BENEF</t>
  </si>
  <si>
    <t>FIN
INFO</t>
  </si>
  <si>
    <t>IMPORTE
SEG. SOCIAL
EMPRESA
MENSUAL</t>
  </si>
  <si>
    <t>IMPORTE
SEG. SOC.
EMPRESA
OTRAS NÓMINAS</t>
  </si>
  <si>
    <t>BONIF.
SEG.
SOCIAL</t>
  </si>
  <si>
    <t>IMPORTE
TOTAL
SEG. SOCIAL
EMPRESA</t>
  </si>
  <si>
    <t>FECHA
VALOR
ABONO
SEG.SOC.</t>
  </si>
  <si>
    <t>BASE COTIZACIÓN</t>
  </si>
  <si>
    <t>SEG. SOC. OTRAS NÓM.</t>
  </si>
  <si>
    <t>BONIF. SEG. SOCIAL</t>
  </si>
  <si>
    <t>FECHA ABONO SEG.SOC.</t>
  </si>
  <si>
    <t>AQ</t>
  </si>
  <si>
    <t>IMPORTES NO SUBVENCIONABLES</t>
  </si>
  <si>
    <t>OBSERVACIONES</t>
  </si>
  <si>
    <t>COMPLEMENTOS NÓMINA NO INCLUIDOS EN CONVENIO</t>
  </si>
  <si>
    <t>%
REPERC.
VACAC Y 
PERM.</t>
  </si>
  <si>
    <t>NÓMINA</t>
  </si>
  <si>
    <t>IRPF NÓMINA (MODELO 111)</t>
  </si>
  <si>
    <t>OTRAS
NÓMINAS</t>
  </si>
  <si>
    <t>SEGURIDAD SOCIAL</t>
  </si>
  <si>
    <t>REPERCUSIÓN
MENSUAL
DE
VACACIONES
Y/O PERMISOS
RETRIBUIDOS</t>
  </si>
  <si>
    <t>GASTO TOTAL
MENSUAL CON
REPERCUSIÓN 
DE VACACIONES
Y/O PERMISOS</t>
  </si>
  <si>
    <t>GASTO
TOTAL
MENSUAL
SUBVENCIONADO</t>
  </si>
  <si>
    <t>GASTO
TOTAL
MENSUAL
CON REPERCUSIÓN 
DE VACACIONES</t>
  </si>
  <si>
    <t>GASTO
TOTAL
MENSUAL
SUBVENCIONADO
INFO</t>
  </si>
  <si>
    <t>GASTO
TOTAL
MENSUAL
SUBVENCIONADO
BENEFICIARIO</t>
  </si>
  <si>
    <t>GASTO LÍQUIDO
MENSUAL
A CONSIDERAR
(excl. SS e IRPF)</t>
  </si>
  <si>
    <t>GASTO
MENSUAL
NÓMINA
SUBVENCIONABLE</t>
  </si>
  <si>
    <t>IMPORTE
MENSUAL
IRPF</t>
  </si>
  <si>
    <t>FECHA
VALOR
INGRESO
IRPF</t>
  </si>
  <si>
    <t>GASTO
IRPF
SUBVENCIONABLE</t>
  </si>
  <si>
    <t>REPERCUSIÓN
MENSUAL (EXTRAS,...)</t>
  </si>
  <si>
    <t>GASTO
MENSUAL
SEGURIDAD
SOCIAL</t>
  </si>
  <si>
    <t>GASTO
SEGURIDAD
SOCIAL
SUBVENCIONABLE</t>
  </si>
  <si>
    <t>SUMA DE PORCENTAJES DE DEDICACIÓN</t>
  </si>
  <si>
    <t>COSTE TOTAL AÑO SEGÚN BENEFICIARIO</t>
  </si>
  <si>
    <t>COSTE TOTAL AÑO CON REPERCUSIÓN DE VACACIONES</t>
  </si>
  <si>
    <t>CTE. CORRECTOR</t>
  </si>
  <si>
    <t>EXISTE ALGÚN % SUPERIOR A 100%</t>
  </si>
  <si>
    <t>EXISTE ALGÚN % SUPERIOR A 100%;</t>
  </si>
  <si>
    <t>TOTAL TRABAJADOR:</t>
  </si>
  <si>
    <t>EJERCICIO</t>
  </si>
  <si>
    <t>ACRÓNIMO</t>
  </si>
  <si>
    <t>TRABAJADOR</t>
  </si>
  <si>
    <t>IMPORTE</t>
  </si>
  <si>
    <t>,</t>
  </si>
  <si>
    <t>.</t>
  </si>
  <si>
    <t>SEG. SOCIAL TRABAJADOR OTRAS NÓMINAS</t>
  </si>
  <si>
    <t>FILTRO RESUMEN</t>
  </si>
  <si>
    <t>REPERCUSIÓN DIAS FDS EN PERMISOS RETRIBUIDOS</t>
  </si>
  <si>
    <t>PROGRAMA</t>
  </si>
  <si>
    <t>CONVOCATORIA</t>
  </si>
  <si>
    <t>PLAZO DE EJECUCIÓN</t>
  </si>
  <si>
    <t>USUARIOS</t>
  </si>
  <si>
    <t>MESES DURACIÓN PROYECTO</t>
  </si>
  <si>
    <t>REPERCUSIÓN MENSUAL DE OTRAS NÓMINAS (LÍQUIDO E IRPF) SEGÚN BENEFICIARIO</t>
  </si>
  <si>
    <t>REPERCUSIÓN MENSUAL DE OTRAS NÓMINAS (LÍQUIDO E IRPF) SEGÚN INFO</t>
  </si>
  <si>
    <t>Las pagas no devengadas a "mes completo" pierden la parte proporcional de un mes al final</t>
  </si>
  <si>
    <t>INICIO
DE
MES</t>
  </si>
  <si>
    <t>FIN
DE
MES</t>
  </si>
  <si>
    <t>MES
DENTRO
PLAZO</t>
  </si>
  <si>
    <t>OTRAS
NOMINAS
1</t>
  </si>
  <si>
    <t>OTRAS
NOMINAS
2</t>
  </si>
  <si>
    <t>OTRAS
NOMINAS
3</t>
  </si>
  <si>
    <t>OTRAS
NOMINAS
4</t>
  </si>
  <si>
    <t>OTRAS
NOMINAS
5</t>
  </si>
  <si>
    <t>OTRAS
NOMINAS
6</t>
  </si>
  <si>
    <t>OTRAS
NOMINAS
7</t>
  </si>
  <si>
    <t>OTRAS
NOMINAS
8</t>
  </si>
  <si>
    <t>OTRAS
NOMINAS
9</t>
  </si>
  <si>
    <t>OTRAS
NOMINAS
10</t>
  </si>
  <si>
    <t>OTRAS
NOMINAS
11</t>
  </si>
  <si>
    <t>OTRAS
NOMINAS
12</t>
  </si>
  <si>
    <t>OTRAS
NOMINAS
13</t>
  </si>
  <si>
    <t>OTRAS
NOMINAS
14</t>
  </si>
  <si>
    <t>OTRAS
NOMINAS
15</t>
  </si>
  <si>
    <t>OTRAS
NOMINAS
16</t>
  </si>
  <si>
    <t>OTRAS
NOMINAS
17</t>
  </si>
  <si>
    <t>OTRAS
NOMINAS
18</t>
  </si>
  <si>
    <t>OTRAS
NOMINAS
19</t>
  </si>
  <si>
    <t>OTRAS
NOMINAS
20</t>
  </si>
  <si>
    <t>OTRAS
NOMINAS
21</t>
  </si>
  <si>
    <t>OTRAS
NOMINAS
22</t>
  </si>
  <si>
    <t>OTRAS
NOMINAS
23</t>
  </si>
  <si>
    <t>OTRAS
NOMINAS
24</t>
  </si>
  <si>
    <t>OTRAS
NOMINAS
25</t>
  </si>
  <si>
    <t>OTRAS
NOMINAS
26</t>
  </si>
  <si>
    <t>OTRAS
NOMINAS
27</t>
  </si>
  <si>
    <t>OTRAS
NOMINAS
28</t>
  </si>
  <si>
    <t>OTRAS
NOMINAS
29</t>
  </si>
  <si>
    <t>OTRAS
NOMINAS
30</t>
  </si>
  <si>
    <t>OTRAS
NOMINAS
31</t>
  </si>
  <si>
    <t>OTRAS
NOMINAS
32</t>
  </si>
  <si>
    <t>TOTAL</t>
  </si>
  <si>
    <t>DEPT</t>
  </si>
  <si>
    <t>NOMBRE PROGRAMA</t>
  </si>
  <si>
    <t>BORM BBRR</t>
  </si>
  <si>
    <t>LÍNEA ÚNICA:</t>
  </si>
  <si>
    <t>BORM BASES REGULADORAS
(Y MODIFCACIONES)</t>
  </si>
  <si>
    <t>INICIO COMÚN:</t>
  </si>
  <si>
    <t>HOJA</t>
  </si>
  <si>
    <t>MAESTRO</t>
  </si>
  <si>
    <t>PRIMER EJERCICIO</t>
  </si>
  <si>
    <t>SEGUNDO EJERCICIO</t>
  </si>
  <si>
    <t>TERCER EJERCICIO</t>
  </si>
  <si>
    <t>CUARTO EJERCICIO</t>
  </si>
  <si>
    <t>INICIAL</t>
  </si>
  <si>
    <t>MODIFICACIÓN 1</t>
  </si>
  <si>
    <t>MODIFICACIÓN 2</t>
  </si>
  <si>
    <t>VISUALIZACIÓN</t>
  </si>
  <si>
    <t>PROGRAMA DE AYUDAS DIRIGIDAS A LOS CCTT DE LA REGIÓN DE MURCIA DESTINADAS A LA REALIZACIÓN DE ACTIVIDADES DE I+D DE CARÁCTER NO ECONÓMICO.</t>
  </si>
  <si>
    <t>nº 82, de 11 de abril de 2023</t>
  </si>
  <si>
    <t>RANGO</t>
  </si>
  <si>
    <t>CT02</t>
  </si>
  <si>
    <t>FECHA INICIO (dd/mm/aa)</t>
  </si>
  <si>
    <t>USUARIOS INTERNOS</t>
  </si>
  <si>
    <t>FJI</t>
  </si>
  <si>
    <t>MESES JUSTIFICACIÓN TRAS EJECUCIÓN</t>
  </si>
  <si>
    <t>meses</t>
  </si>
  <si>
    <t>FJM</t>
  </si>
  <si>
    <t>BORM EXTRACTO
CONVOCATORIA
(Y MODIFICACIONES):</t>
  </si>
  <si>
    <t>FPP</t>
  </si>
  <si>
    <t>FECHA FINAL EJECUCIÓN</t>
  </si>
  <si>
    <t>FSL</t>
  </si>
  <si>
    <t>Esta columna NO PARECE TENER UTILIDAD</t>
  </si>
  <si>
    <t>DIA FINAL EJECUCIÓN</t>
  </si>
  <si>
    <t>JJL</t>
  </si>
  <si>
    <t>NO PARECE UN BUEN DATO A UTILIZAR</t>
  </si>
  <si>
    <t>NO SE USA.
DATO
ERRONEO</t>
  </si>
  <si>
    <t>MES FINAL EJECUCIÓN</t>
  </si>
  <si>
    <t>CONVOCATORIA: COSTE MENSUAL MÁXIMO</t>
  </si>
  <si>
    <t>AÑO FINAL DE EJECUCIÓN</t>
  </si>
  <si>
    <t>PCP</t>
  </si>
  <si>
    <t>SRM</t>
  </si>
  <si>
    <t>Máx. mensual tiempo completo</t>
  </si>
  <si>
    <t>FECHA FINAL PROV. JUSTIFICACIÓN</t>
  </si>
  <si>
    <t>VMA</t>
  </si>
  <si>
    <t>FECHA FINAL DE JUSTIFICACIÓN</t>
  </si>
  <si>
    <t>IMPORTES OTRAS NÓMINAS INDICADOS POR BENEFICIARIO</t>
  </si>
  <si>
    <t>IMPORTES OTRAS NÓMINAS SUBVENCIONABLES SEGÚN BENEFICIARIO POR FECHA DE ABONO</t>
  </si>
  <si>
    <t>IMPORTES OTRAS NÓMINAS CONSIDERADOS POR INFO</t>
  </si>
  <si>
    <t>IMPORTES OTRAS NÓMINAS SUBVENCIONABLES SEGÚN INFO POR FECHA DE ABONO</t>
  </si>
  <si>
    <t>(*): Se deberá indicar la fecha de presentación de la solicitud de ayuda o la fecha de inicio del plazo de ejecución de acuerdo con lo dispuesto en el segundo punto de las condiciones particulares de la Resolución Individual de Concesión de Ayuda.</t>
  </si>
  <si>
    <t>TOTAL
DEVENGADO
NOMINA
SUBVENCIONABLE</t>
  </si>
  <si>
    <t>S.S.
TRABAJADOR</t>
  </si>
  <si>
    <t>DEVENGADO
NOMINA
TOTAL
SIN S.S</t>
  </si>
  <si>
    <t>LÍQUIDO
NÓMINA
SUBVENC.
(EXCLUIDOS
SEG. SOC E IRPF)</t>
  </si>
  <si>
    <t>FECHA
VALOR
ABONO
IRPF</t>
  </si>
  <si>
    <t>SUBVENCIONABLE POR FECHA ABONO</t>
  </si>
  <si>
    <t>DEVENGO</t>
  </si>
  <si>
    <t>MESES EN
EJERCICIO</t>
  </si>
  <si>
    <t>REPRCUSIÓN DIARIA</t>
  </si>
  <si>
    <t>REPERCUSIÓN
MENSUAL</t>
  </si>
  <si>
    <t>FECHA
PAGO
NÓMINA</t>
  </si>
  <si>
    <t>ÚLTIMO
DÍA MES
SIGUIENTE</t>
  </si>
  <si>
    <t xml:space="preserve">LÍQUIDO
NÓMINA
SUBVENCIONABLE
</t>
  </si>
  <si>
    <t>IRPF
SUBVENCIONABLE</t>
  </si>
  <si>
    <t>TOTAL
SUBVENC.</t>
  </si>
  <si>
    <t>DÍAS DE
DEVENGO</t>
  </si>
  <si>
    <t>MESES
DEVENGO</t>
  </si>
  <si>
    <t>(**): La fecha final del plazo de ejecución del proyecto/actividad viene reflejada en el segundo punto de las condiciones particulares de la Resolución Individual de Concesión de Ayuda.</t>
  </si>
  <si>
    <t>PAGO S.S</t>
  </si>
  <si>
    <t>EMPRESA</t>
  </si>
  <si>
    <t>OTRAS NÓM.</t>
  </si>
  <si>
    <t>COMODIN</t>
  </si>
  <si>
    <t>USUARIOS EXTERNOS</t>
  </si>
  <si>
    <t>EX1</t>
  </si>
  <si>
    <t>EX2</t>
  </si>
  <si>
    <t>EX3</t>
  </si>
  <si>
    <t>EX4</t>
  </si>
  <si>
    <t>EX5</t>
  </si>
  <si>
    <t>APLICACIÓN FECHA ABONO</t>
  </si>
  <si>
    <t>USUARIO:</t>
  </si>
  <si>
    <t>REPERC.</t>
  </si>
  <si>
    <t>VACAC Y 
PERM.</t>
  </si>
  <si>
    <t xml:space="preserve"> A 100%</t>
  </si>
  <si>
    <t>SUPERIOR</t>
  </si>
  <si>
    <t>ALGÚN %</t>
  </si>
  <si>
    <t>EXISTE</t>
  </si>
  <si>
    <t>b) Celda F19: fecha de inicio del contrato.</t>
  </si>
  <si>
    <t>NOTA 2: El porcentaje se reflejará con dos cifras decimales. En los meses que no exista dedicación, se puede dejar en blanco o consignar el valor 0%.</t>
  </si>
  <si>
    <t>-. Por último, se imprimirá esta pestaña, que deberá ser firmada tanto por el trabajador como por su responsable, y se insertará como archivo en formato pdf (celda G53).</t>
  </si>
  <si>
    <t>MEI:</t>
  </si>
  <si>
    <t>-.Se cumplimentarán los porcentajes correspondientes a Contigencias comunes, MEI, AT y EP, desempleo, formación profesional y fondo de garantía salarial. (celdas F9 a F14).</t>
  </si>
  <si>
    <t>-. Sólamente es necesario cumplimentar los datos correspondientes a aquellas nóminas de meses en los que el trabajador haya tenido dedicación al proyecto.</t>
  </si>
  <si>
    <t>-. A la hora de cumplimentar los datos de la nómina mensual (columnas "E" a "U") hay que diferenciar entre los complementos de la nómina mensual incluidos en el Conveniode aplicación  (SUBVENCIONABLES) y aquellos no incluidos en el Convenio (NO SUBVENCIONABLES).</t>
  </si>
  <si>
    <t>c) En su caso, bonificaciones en el importe a abonar de la Seguridad Social (columna "G")</t>
  </si>
  <si>
    <t>mmm-aa</t>
  </si>
  <si>
    <t>EPTE</t>
  </si>
  <si>
    <t>PROGRAMA DE AYUDAS PARA LA REALIZACIÓN DE PROYECTOS EMPRESARIALES EN LAS FASES DE CREACIÓN Y CONSOLIDACIÓN DE EMPRESAS CON POTENCIAL TECNOLÓGICO Y ESCALABLES EN EL MARCO DE LA RIS4 REGIÓN DE MURCIA, COFINANCIADAS POR EL FEDER.</t>
  </si>
  <si>
    <t>nº 100, de 2 de mayo de 2024</t>
  </si>
  <si>
    <t>nº 102, 6 de mayo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</si>
</sst>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dd/mm/yy"/>
    <numFmt numFmtId="167" formatCode="0.0"/>
  </numFmts>
  <fonts count="45" x14ac:knownFonts="1">
    <font>
      <sz val="10"/>
      <color theme="1"/>
      <name val="Century Gothic"/>
      <family val="2"/>
    </font>
    <font>
      <sz val="10"/>
      <color theme="1"/>
      <name val="Century Gothic"/>
      <family val="2"/>
    </font>
    <font>
      <sz val="10"/>
      <name val="Arial"/>
      <family val="2"/>
    </font>
    <font>
      <sz val="8"/>
      <name val="Century Gothic"/>
      <family val="2"/>
    </font>
    <font>
      <sz val="10"/>
      <name val="Nunito Sans"/>
    </font>
    <font>
      <b/>
      <sz val="10"/>
      <name val="Nunito Sans"/>
    </font>
    <font>
      <b/>
      <sz val="10"/>
      <color rgb="FFFF0000"/>
      <name val="Nunito Sans"/>
    </font>
    <font>
      <b/>
      <sz val="9"/>
      <name val="Nunito Sans"/>
    </font>
    <font>
      <u/>
      <sz val="10"/>
      <color theme="10"/>
      <name val="Century Gothic"/>
      <family val="2"/>
    </font>
    <font>
      <sz val="10"/>
      <color theme="0"/>
      <name val="Nunito Sans"/>
    </font>
    <font>
      <sz val="9"/>
      <name val="Nunito Sans"/>
    </font>
    <font>
      <b/>
      <sz val="12"/>
      <color theme="1"/>
      <name val="Nunito Sans"/>
    </font>
    <font>
      <sz val="10"/>
      <color theme="1"/>
      <name val="Nunito Sans"/>
    </font>
    <font>
      <b/>
      <sz val="10"/>
      <color theme="1"/>
      <name val="Nunito Sans"/>
    </font>
    <font>
      <b/>
      <sz val="8"/>
      <color theme="1"/>
      <name val="Nunito Sans"/>
    </font>
    <font>
      <b/>
      <sz val="17"/>
      <color rgb="FF0592CB"/>
      <name val="Arial"/>
      <family val="2"/>
    </font>
    <font>
      <b/>
      <sz val="13"/>
      <color rgb="FF0592CB"/>
      <name val="Arial"/>
      <family val="2"/>
    </font>
    <font>
      <b/>
      <sz val="12"/>
      <color rgb="FF0592CB"/>
      <name val="Nunito Sans Black"/>
    </font>
    <font>
      <b/>
      <sz val="10"/>
      <color rgb="FF0592CB"/>
      <name val="Nunito Sans"/>
    </font>
    <font>
      <b/>
      <sz val="10"/>
      <color theme="0"/>
      <name val="Nunito Sans Black"/>
    </font>
    <font>
      <b/>
      <sz val="9"/>
      <color theme="1"/>
      <name val="Nunito Sans"/>
    </font>
    <font>
      <sz val="11"/>
      <color theme="1"/>
      <name val="Nunito Sans"/>
    </font>
    <font>
      <sz val="6"/>
      <color theme="1"/>
      <name val="Nunito Sans"/>
    </font>
    <font>
      <sz val="9"/>
      <color theme="1"/>
      <name val="Nunito Sans"/>
    </font>
    <font>
      <sz val="7"/>
      <color theme="1"/>
      <name val="Nunito Sans"/>
    </font>
    <font>
      <sz val="8"/>
      <color theme="1"/>
      <name val="Nunito Sans"/>
    </font>
    <font>
      <b/>
      <sz val="11"/>
      <color rgb="FF0592CB"/>
      <name val="Nunito Sans"/>
    </font>
    <font>
      <b/>
      <sz val="10"/>
      <color rgb="FF0592CB"/>
      <name val="Nunito Sans Black"/>
    </font>
    <font>
      <b/>
      <sz val="8"/>
      <color rgb="FFFF0000"/>
      <name val="Nunito Sans"/>
    </font>
    <font>
      <b/>
      <sz val="10"/>
      <color rgb="FFFF5050"/>
      <name val="Nunito Sans Black"/>
    </font>
    <font>
      <sz val="10"/>
      <color rgb="FFFF5050"/>
      <name val="Nunito Sans Black"/>
    </font>
    <font>
      <b/>
      <sz val="8"/>
      <name val="Nunito Sans"/>
    </font>
    <font>
      <b/>
      <sz val="7"/>
      <name val="Nunito Sans"/>
    </font>
    <font>
      <b/>
      <sz val="6"/>
      <color theme="1"/>
      <name val="Nunito Sans"/>
    </font>
    <font>
      <b/>
      <sz val="6"/>
      <name val="Nunito Sans"/>
    </font>
    <font>
      <sz val="12"/>
      <color theme="1"/>
      <name val="Nunito Sans"/>
    </font>
    <font>
      <b/>
      <sz val="7"/>
      <color theme="1"/>
      <name val="Nunito Sans"/>
    </font>
    <font>
      <b/>
      <sz val="11"/>
      <color theme="1"/>
      <name val="Nunito Sans"/>
    </font>
    <font>
      <b/>
      <sz val="12"/>
      <color rgb="FF0592CB"/>
      <name val="Nunito Sans"/>
    </font>
    <font>
      <b/>
      <sz val="10"/>
      <color rgb="FFFF5050"/>
      <name val="Nunito Sans"/>
    </font>
    <font>
      <b/>
      <sz val="14"/>
      <color rgb="FF0592CB"/>
      <name val="Nunito Sans"/>
    </font>
    <font>
      <sz val="10"/>
      <color rgb="FF0592CB"/>
      <name val="Nunito Sans"/>
    </font>
    <font>
      <sz val="10"/>
      <color rgb="FFFF0000"/>
      <name val="Nunito Sans"/>
    </font>
    <font>
      <sz val="8"/>
      <name val="Nunito Sans"/>
    </font>
    <font>
      <sz val="10"/>
      <color theme="8" tint="0.79998168889431442"/>
      <name val="Nunito Sans"/>
    </font>
  </fonts>
  <fills count="19">
    <fill>
      <patternFill patternType="none"/>
    </fill>
    <fill>
      <patternFill patternType="gray125"/>
    </fill>
    <fill>
      <patternFill patternType="solid">
        <fgColor theme="0" tint="-0.14999847407452621"/>
        <bgColor indexed="64"/>
      </patternFill>
    </fill>
    <fill>
      <patternFill patternType="solid">
        <fgColor rgb="FFE7F1F9"/>
        <bgColor indexed="64"/>
      </patternFill>
    </fill>
    <fill>
      <patternFill patternType="solid">
        <fgColor theme="8" tint="0.79998168889431442"/>
        <bgColor indexed="64"/>
      </patternFill>
    </fill>
    <fill>
      <patternFill patternType="solid">
        <fgColor rgb="FFFF9999"/>
        <bgColor indexed="64"/>
      </patternFill>
    </fill>
    <fill>
      <patternFill patternType="solid">
        <fgColor theme="9" tint="0.39997558519241921"/>
        <bgColor indexed="64"/>
      </patternFill>
    </fill>
    <fill>
      <patternFill patternType="solid">
        <fgColor rgb="FFCCCCFF"/>
        <bgColor indexed="64"/>
      </patternFill>
    </fill>
    <fill>
      <patternFill patternType="solid">
        <fgColor rgb="FFFFFF00"/>
        <bgColor indexed="64"/>
      </patternFill>
    </fill>
    <fill>
      <patternFill patternType="solid">
        <fgColor rgb="FFDDEE00"/>
        <bgColor indexed="64"/>
      </patternFill>
    </fill>
    <fill>
      <patternFill patternType="solid">
        <fgColor theme="0" tint="-4.9989318521683403E-2"/>
        <bgColor indexed="64"/>
      </patternFill>
    </fill>
    <fill>
      <patternFill patternType="solid">
        <fgColor rgb="FFB8D637"/>
        <bgColor indexed="64"/>
      </patternFill>
    </fill>
    <fill>
      <patternFill patternType="solid">
        <fgColor rgb="FFDDEBF7"/>
        <bgColor indexed="64"/>
      </patternFill>
    </fill>
    <fill>
      <patternFill patternType="solid">
        <fgColor rgb="FFFFE699"/>
        <bgColor indexed="64"/>
      </patternFill>
    </fill>
    <fill>
      <patternFill patternType="solid">
        <fgColor theme="4" tint="0.39997558519241921"/>
        <bgColor indexed="64"/>
      </patternFill>
    </fill>
    <fill>
      <patternFill patternType="darkUp">
        <fgColor theme="0" tint="-0.14996795556505021"/>
        <bgColor auto="1"/>
      </patternFill>
    </fill>
    <fill>
      <patternFill patternType="darkUp">
        <fgColor theme="0" tint="-0.14996795556505021"/>
        <bgColor indexed="65"/>
      </patternFill>
    </fill>
    <fill>
      <patternFill patternType="solid">
        <fgColor rgb="FFD9D9D9"/>
        <bgColor rgb="FFCCFFFF"/>
      </patternFill>
    </fill>
    <fill>
      <patternFill patternType="solid">
        <fgColor rgb="FFFF0000"/>
        <bgColor indexed="64"/>
      </patternFill>
    </fill>
  </fills>
  <borders count="233">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indexed="64"/>
      </right>
      <top style="thin">
        <color indexed="64"/>
      </top>
      <bottom/>
      <diagonal/>
    </border>
    <border>
      <left style="thin">
        <color auto="1"/>
      </left>
      <right style="medium">
        <color indexed="64"/>
      </right>
      <top style="thin">
        <color auto="1"/>
      </top>
      <bottom style="thin">
        <color auto="1"/>
      </bottom>
      <diagonal/>
    </border>
    <border>
      <left style="medium">
        <color indexed="64"/>
      </left>
      <right style="thin">
        <color indexed="64"/>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auto="1"/>
      </left>
      <right style="medium">
        <color indexed="64"/>
      </right>
      <top/>
      <bottom style="thin">
        <color indexed="64"/>
      </bottom>
      <diagonal/>
    </border>
    <border>
      <left style="medium">
        <color indexed="64"/>
      </left>
      <right style="thin">
        <color auto="1"/>
      </right>
      <top/>
      <bottom style="thin">
        <color auto="1"/>
      </bottom>
      <diagonal/>
    </border>
    <border>
      <left/>
      <right style="thin">
        <color auto="1"/>
      </right>
      <top style="medium">
        <color indexed="64"/>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ck">
        <color auto="1"/>
      </left>
      <right/>
      <top style="thick">
        <color auto="1"/>
      </top>
      <bottom style="medium">
        <color indexed="64"/>
      </bottom>
      <diagonal/>
    </border>
    <border>
      <left/>
      <right/>
      <top style="thick">
        <color auto="1"/>
      </top>
      <bottom style="medium">
        <color indexed="64"/>
      </bottom>
      <diagonal/>
    </border>
    <border>
      <left style="thick">
        <color auto="1"/>
      </left>
      <right style="thin">
        <color indexed="64"/>
      </right>
      <top/>
      <bottom style="medium">
        <color indexed="64"/>
      </bottom>
      <diagonal/>
    </border>
    <border>
      <left style="thick">
        <color auto="1"/>
      </left>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n">
        <color auto="1"/>
      </right>
      <top style="thin">
        <color auto="1"/>
      </top>
      <bottom style="medium">
        <color indexed="64"/>
      </bottom>
      <diagonal/>
    </border>
    <border>
      <left style="thick">
        <color auto="1"/>
      </left>
      <right style="thin">
        <color auto="1"/>
      </right>
      <top style="thin">
        <color auto="1"/>
      </top>
      <bottom style="thin">
        <color auto="1"/>
      </bottom>
      <diagonal/>
    </border>
    <border>
      <left style="thick">
        <color auto="1"/>
      </left>
      <right/>
      <top style="thick">
        <color auto="1"/>
      </top>
      <bottom/>
      <diagonal/>
    </border>
    <border>
      <left/>
      <right style="thick">
        <color auto="1"/>
      </right>
      <top style="thick">
        <color auto="1"/>
      </top>
      <bottom/>
      <diagonal/>
    </border>
    <border>
      <left style="thick">
        <color indexed="64"/>
      </left>
      <right/>
      <top/>
      <bottom/>
      <diagonal/>
    </border>
    <border>
      <left/>
      <right/>
      <top style="thick">
        <color auto="1"/>
      </top>
      <bottom/>
      <diagonal/>
    </border>
    <border>
      <left/>
      <right/>
      <top style="medium">
        <color indexed="64"/>
      </top>
      <bottom style="thick">
        <color auto="1"/>
      </bottom>
      <diagonal/>
    </border>
    <border>
      <left/>
      <right style="thick">
        <color auto="1"/>
      </right>
      <top/>
      <bottom style="thin">
        <color indexed="64"/>
      </bottom>
      <diagonal/>
    </border>
    <border>
      <left/>
      <right style="thick">
        <color auto="1"/>
      </right>
      <top style="thin">
        <color auto="1"/>
      </top>
      <bottom style="thin">
        <color auto="1"/>
      </bottom>
      <diagonal/>
    </border>
    <border>
      <left/>
      <right/>
      <top style="thick">
        <color auto="1"/>
      </top>
      <bottom style="thick">
        <color auto="1"/>
      </bottom>
      <diagonal/>
    </border>
    <border>
      <left/>
      <right style="thick">
        <color indexed="64"/>
      </right>
      <top style="thick">
        <color auto="1"/>
      </top>
      <bottom style="thick">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auto="1"/>
      </right>
      <top style="medium">
        <color auto="1"/>
      </top>
      <bottom/>
      <diagonal/>
    </border>
    <border>
      <left style="medium">
        <color auto="1"/>
      </left>
      <right style="thin">
        <color indexed="64"/>
      </right>
      <top/>
      <bottom/>
      <diagonal/>
    </border>
    <border>
      <left style="thin">
        <color auto="1"/>
      </left>
      <right style="medium">
        <color auto="1"/>
      </right>
      <top/>
      <bottom/>
      <diagonal/>
    </border>
    <border>
      <left style="thin">
        <color indexed="64"/>
      </left>
      <right style="medium">
        <color auto="1"/>
      </right>
      <top/>
      <bottom style="medium">
        <color indexed="64"/>
      </bottom>
      <diagonal/>
    </border>
    <border>
      <left style="medium">
        <color auto="1"/>
      </left>
      <right/>
      <top style="thin">
        <color auto="1"/>
      </top>
      <bottom style="thin">
        <color auto="1"/>
      </bottom>
      <diagonal/>
    </border>
    <border>
      <left style="thin">
        <color auto="1"/>
      </left>
      <right style="medium">
        <color auto="1"/>
      </right>
      <top style="thin">
        <color auto="1"/>
      </top>
      <bottom/>
      <diagonal/>
    </border>
    <border>
      <left/>
      <right style="medium">
        <color auto="1"/>
      </right>
      <top style="thick">
        <color auto="1"/>
      </top>
      <bottom style="medium">
        <color indexed="64"/>
      </bottom>
      <diagonal/>
    </border>
    <border>
      <left style="medium">
        <color indexed="64"/>
      </left>
      <right/>
      <top style="thick">
        <color auto="1"/>
      </top>
      <bottom/>
      <diagonal/>
    </border>
    <border>
      <left/>
      <right style="medium">
        <color indexed="64"/>
      </right>
      <top style="thick">
        <color auto="1"/>
      </top>
      <bottom/>
      <diagonal/>
    </border>
    <border>
      <left style="medium">
        <color auto="1"/>
      </left>
      <right style="thin">
        <color auto="1"/>
      </right>
      <top style="thick">
        <color auto="1"/>
      </top>
      <bottom/>
      <diagonal/>
    </border>
    <border>
      <left style="thick">
        <color auto="1"/>
      </left>
      <right style="thin">
        <color auto="1"/>
      </right>
      <top style="medium">
        <color auto="1"/>
      </top>
      <bottom/>
      <diagonal/>
    </border>
    <border>
      <left style="thick">
        <color auto="1"/>
      </left>
      <right/>
      <top style="medium">
        <color indexed="64"/>
      </top>
      <bottom style="thin">
        <color auto="1"/>
      </bottom>
      <diagonal/>
    </border>
    <border>
      <left style="medium">
        <color auto="1"/>
      </left>
      <right style="thick">
        <color auto="1"/>
      </right>
      <top/>
      <bottom style="thin">
        <color indexed="64"/>
      </bottom>
      <diagonal/>
    </border>
    <border>
      <left style="medium">
        <color auto="1"/>
      </left>
      <right style="thick">
        <color auto="1"/>
      </right>
      <top style="thin">
        <color auto="1"/>
      </top>
      <bottom style="thin">
        <color auto="1"/>
      </bottom>
      <diagonal/>
    </border>
    <border>
      <left style="medium">
        <color auto="1"/>
      </left>
      <right style="thick">
        <color auto="1"/>
      </right>
      <top style="thin">
        <color auto="1"/>
      </top>
      <bottom/>
      <diagonal/>
    </border>
    <border>
      <left/>
      <right style="medium">
        <color indexed="64"/>
      </right>
      <top/>
      <bottom style="thick">
        <color auto="1"/>
      </bottom>
      <diagonal/>
    </border>
    <border>
      <left style="medium">
        <color indexed="64"/>
      </left>
      <right/>
      <top/>
      <bottom style="thick">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style="thin">
        <color auto="1"/>
      </top>
      <bottom style="medium">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top style="thin">
        <color auto="1"/>
      </top>
      <bottom style="medium">
        <color indexed="64"/>
      </bottom>
      <diagonal/>
    </border>
    <border>
      <left style="medium">
        <color indexed="64"/>
      </left>
      <right style="medium">
        <color indexed="64"/>
      </right>
      <top style="thick">
        <color auto="1"/>
      </top>
      <bottom/>
      <diagonal/>
    </border>
    <border>
      <left style="medium">
        <color indexed="64"/>
      </left>
      <right style="medium">
        <color indexed="64"/>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
      <left style="medium">
        <color indexed="64"/>
      </left>
      <right style="thin">
        <color indexed="64"/>
      </right>
      <top style="medium">
        <color auto="1"/>
      </top>
      <bottom style="medium">
        <color indexed="64"/>
      </bottom>
      <diagonal/>
    </border>
    <border>
      <left style="thin">
        <color indexed="64"/>
      </left>
      <right style="thin">
        <color indexed="64"/>
      </right>
      <top style="medium">
        <color auto="1"/>
      </top>
      <bottom style="medium">
        <color indexed="64"/>
      </bottom>
      <diagonal/>
    </border>
    <border>
      <left style="thin">
        <color indexed="64"/>
      </left>
      <right style="medium">
        <color indexed="64"/>
      </right>
      <top style="medium">
        <color auto="1"/>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style="thin">
        <color auto="1"/>
      </left>
      <right style="thick">
        <color auto="1"/>
      </right>
      <top style="medium">
        <color indexed="64"/>
      </top>
      <bottom style="thin">
        <color auto="1"/>
      </bottom>
      <diagonal/>
    </border>
    <border>
      <left/>
      <right style="thin">
        <color auto="1"/>
      </right>
      <top style="thin">
        <color auto="1"/>
      </top>
      <bottom style="medium">
        <color indexed="64"/>
      </bottom>
      <diagonal/>
    </border>
    <border>
      <left style="medium">
        <color auto="1"/>
      </left>
      <right/>
      <top/>
      <bottom style="thin">
        <color auto="1"/>
      </bottom>
      <diagonal/>
    </border>
    <border>
      <left style="medium">
        <color auto="1"/>
      </left>
      <right/>
      <top style="thick">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thick">
        <color indexed="64"/>
      </left>
      <right style="thin">
        <color indexed="64"/>
      </right>
      <top style="thick">
        <color auto="1"/>
      </top>
      <bottom style="thin">
        <color indexed="64"/>
      </bottom>
      <diagonal/>
    </border>
    <border>
      <left style="thin">
        <color indexed="64"/>
      </left>
      <right style="thin">
        <color indexed="64"/>
      </right>
      <top style="thick">
        <color auto="1"/>
      </top>
      <bottom style="thin">
        <color indexed="64"/>
      </bottom>
      <diagonal/>
    </border>
    <border>
      <left style="thin">
        <color indexed="64"/>
      </left>
      <right/>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top style="thick">
        <color indexed="64"/>
      </top>
      <bottom style="thin">
        <color indexed="64"/>
      </bottom>
      <diagonal/>
    </border>
    <border>
      <left/>
      <right style="thin">
        <color indexed="64"/>
      </right>
      <top style="thick">
        <color auto="1"/>
      </top>
      <bottom style="thin">
        <color indexed="64"/>
      </bottom>
      <diagonal/>
    </border>
    <border>
      <left style="thick">
        <color auto="1"/>
      </left>
      <right style="thin">
        <color auto="1"/>
      </right>
      <top style="thick">
        <color auto="1"/>
      </top>
      <bottom style="thick">
        <color indexed="64"/>
      </bottom>
      <diagonal/>
    </border>
    <border>
      <left style="thin">
        <color auto="1"/>
      </left>
      <right style="thin">
        <color auto="1"/>
      </right>
      <top style="thick">
        <color auto="1"/>
      </top>
      <bottom style="thick">
        <color indexed="64"/>
      </bottom>
      <diagonal/>
    </border>
    <border>
      <left style="thick">
        <color auto="1"/>
      </left>
      <right/>
      <top style="thick">
        <color auto="1"/>
      </top>
      <bottom style="thin">
        <color auto="1"/>
      </bottom>
      <diagonal/>
    </border>
    <border>
      <left/>
      <right style="thick">
        <color auto="1"/>
      </right>
      <top style="thick">
        <color auto="1"/>
      </top>
      <bottom style="thin">
        <color indexed="64"/>
      </bottom>
      <diagonal/>
    </border>
    <border>
      <left style="thick">
        <color auto="1"/>
      </left>
      <right style="medium">
        <color auto="1"/>
      </right>
      <top style="medium">
        <color indexed="64"/>
      </top>
      <bottom style="thin">
        <color auto="1"/>
      </bottom>
      <diagonal/>
    </border>
    <border>
      <left style="thick">
        <color auto="1"/>
      </left>
      <right style="medium">
        <color indexed="64"/>
      </right>
      <top/>
      <bottom style="medium">
        <color auto="1"/>
      </bottom>
      <diagonal/>
    </border>
    <border>
      <left style="thick">
        <color auto="1"/>
      </left>
      <right/>
      <top style="thin">
        <color auto="1"/>
      </top>
      <bottom style="medium">
        <color auto="1"/>
      </bottom>
      <diagonal/>
    </border>
    <border>
      <left style="thick">
        <color auto="1"/>
      </left>
      <right style="medium">
        <color auto="1"/>
      </right>
      <top style="thin">
        <color auto="1"/>
      </top>
      <bottom style="medium">
        <color indexed="64"/>
      </bottom>
      <diagonal/>
    </border>
    <border>
      <left style="thick">
        <color auto="1"/>
      </left>
      <right style="medium">
        <color auto="1"/>
      </right>
      <top/>
      <bottom style="thin">
        <color indexed="64"/>
      </bottom>
      <diagonal/>
    </border>
    <border>
      <left style="thick">
        <color auto="1"/>
      </left>
      <right style="medium">
        <color auto="1"/>
      </right>
      <top style="thin">
        <color auto="1"/>
      </top>
      <bottom style="thin">
        <color auto="1"/>
      </bottom>
      <diagonal/>
    </border>
    <border>
      <left/>
      <right style="medium">
        <color indexed="64"/>
      </right>
      <top/>
      <bottom style="thin">
        <color indexed="64"/>
      </bottom>
      <diagonal/>
    </border>
    <border>
      <left/>
      <right style="thick">
        <color indexed="64"/>
      </right>
      <top/>
      <bottom style="medium">
        <color auto="1"/>
      </bottom>
      <diagonal/>
    </border>
    <border>
      <left style="thin">
        <color indexed="64"/>
      </left>
      <right style="thick">
        <color indexed="64"/>
      </right>
      <top style="thick">
        <color indexed="64"/>
      </top>
      <bottom/>
      <diagonal/>
    </border>
    <border>
      <left style="thin">
        <color indexed="64"/>
      </left>
      <right style="thick">
        <color indexed="64"/>
      </right>
      <top/>
      <bottom style="medium">
        <color indexed="64"/>
      </bottom>
      <diagonal/>
    </border>
    <border>
      <left style="medium">
        <color auto="1"/>
      </left>
      <right/>
      <top style="thick">
        <color auto="1"/>
      </top>
      <bottom style="thin">
        <color auto="1"/>
      </bottom>
      <diagonal/>
    </border>
    <border>
      <left/>
      <right style="medium">
        <color auto="1"/>
      </right>
      <top style="thick">
        <color auto="1"/>
      </top>
      <bottom style="thin">
        <color auto="1"/>
      </bottom>
      <diagonal/>
    </border>
    <border>
      <left style="thin">
        <color indexed="64"/>
      </left>
      <right style="thick">
        <color indexed="64"/>
      </right>
      <top style="thin">
        <color indexed="64"/>
      </top>
      <bottom style="medium">
        <color auto="1"/>
      </bottom>
      <diagonal/>
    </border>
    <border>
      <left style="thin">
        <color auto="1"/>
      </left>
      <right style="medium">
        <color auto="1"/>
      </right>
      <top style="thick">
        <color auto="1"/>
      </top>
      <bottom style="thick">
        <color indexed="64"/>
      </bottom>
      <diagonal/>
    </border>
    <border>
      <left style="thin">
        <color auto="1"/>
      </left>
      <right style="medium">
        <color auto="1"/>
      </right>
      <top style="thick">
        <color indexed="64"/>
      </top>
      <bottom style="thin">
        <color indexed="64"/>
      </bottom>
      <diagonal/>
    </border>
    <border>
      <left/>
      <right style="thick">
        <color indexed="64"/>
      </right>
      <top style="thin">
        <color indexed="64"/>
      </top>
      <bottom style="medium">
        <color auto="1"/>
      </bottom>
      <diagonal/>
    </border>
    <border>
      <left style="medium">
        <color indexed="64"/>
      </left>
      <right style="thin">
        <color indexed="64"/>
      </right>
      <top style="thick">
        <color auto="1"/>
      </top>
      <bottom style="thin">
        <color indexed="64"/>
      </bottom>
      <diagonal/>
    </border>
    <border>
      <left/>
      <right style="thick">
        <color indexed="64"/>
      </right>
      <top/>
      <bottom/>
      <diagonal/>
    </border>
    <border>
      <left style="thick">
        <color auto="1"/>
      </left>
      <right style="medium">
        <color indexed="64"/>
      </right>
      <top/>
      <bottom/>
      <diagonal/>
    </border>
    <border>
      <left/>
      <right style="medium">
        <color indexed="64"/>
      </right>
      <top style="thin">
        <color indexed="64"/>
      </top>
      <bottom/>
      <diagonal/>
    </border>
    <border>
      <left/>
      <right style="thick">
        <color auto="1"/>
      </right>
      <top style="medium">
        <color indexed="64"/>
      </top>
      <bottom style="thin">
        <color auto="1"/>
      </bottom>
      <diagonal/>
    </border>
    <border>
      <left/>
      <right style="thick">
        <color auto="1"/>
      </right>
      <top style="thin">
        <color indexed="64"/>
      </top>
      <bottom/>
      <diagonal/>
    </border>
    <border>
      <left style="medium">
        <color indexed="64"/>
      </left>
      <right style="thin">
        <color auto="1"/>
      </right>
      <top style="medium">
        <color indexed="64"/>
      </top>
      <bottom/>
      <diagonal/>
    </border>
    <border>
      <left style="thin">
        <color indexed="64"/>
      </left>
      <right style="thick">
        <color indexed="64"/>
      </right>
      <top/>
      <bottom/>
      <diagonal/>
    </border>
    <border>
      <left style="medium">
        <color indexed="64"/>
      </left>
      <right style="medium">
        <color indexed="64"/>
      </right>
      <top style="thin">
        <color indexed="64"/>
      </top>
      <bottom/>
      <diagonal/>
    </border>
    <border>
      <left style="medium">
        <color auto="1"/>
      </left>
      <right/>
      <top style="thin">
        <color auto="1"/>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style="medium">
        <color theme="0" tint="-0.14996795556505021"/>
      </left>
      <right style="medium">
        <color theme="0" tint="-0.14996795556505021"/>
      </right>
      <top style="medium">
        <color theme="0" tint="-0.14996795556505021"/>
      </top>
      <bottom style="thin">
        <color auto="1"/>
      </bottom>
      <diagonal/>
    </border>
    <border>
      <left style="medium">
        <color theme="0" tint="-0.14996795556505021"/>
      </left>
      <right style="medium">
        <color theme="0" tint="-0.14996795556505021"/>
      </right>
      <top style="thin">
        <color auto="1"/>
      </top>
      <bottom style="thin">
        <color auto="1"/>
      </bottom>
      <diagonal/>
    </border>
    <border>
      <left style="medium">
        <color theme="0" tint="-0.14996795556505021"/>
      </left>
      <right style="medium">
        <color theme="0" tint="-0.14996795556505021"/>
      </right>
      <top style="thin">
        <color auto="1"/>
      </top>
      <bottom style="medium">
        <color theme="0" tint="-0.14996795556505021"/>
      </bottom>
      <diagonal/>
    </border>
    <border>
      <left style="medium">
        <color theme="0" tint="-0.14996795556505021"/>
      </left>
      <right/>
      <top style="medium">
        <color theme="0" tint="-0.14996795556505021"/>
      </top>
      <bottom style="medium">
        <color theme="0" tint="-0.14996795556505021"/>
      </bottom>
      <diagonal/>
    </border>
    <border>
      <left/>
      <right/>
      <top style="medium">
        <color theme="0" tint="-0.14996795556505021"/>
      </top>
      <bottom style="medium">
        <color theme="0" tint="-0.14996795556505021"/>
      </bottom>
      <diagonal/>
    </border>
    <border>
      <left/>
      <right style="medium">
        <color theme="0" tint="-0.14996795556505021"/>
      </right>
      <top style="medium">
        <color theme="0" tint="-0.14996795556505021"/>
      </top>
      <bottom style="medium">
        <color theme="0" tint="-0.14996795556505021"/>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bottom/>
      <diagonal/>
    </border>
    <border>
      <left/>
      <right style="medium">
        <color theme="0" tint="-0.24994659260841701"/>
      </right>
      <top/>
      <bottom/>
      <diagonal/>
    </border>
    <border>
      <left style="medium">
        <color theme="0" tint="-0.24994659260841701"/>
      </left>
      <right/>
      <top/>
      <bottom style="medium">
        <color theme="0" tint="-0.24994659260841701"/>
      </bottom>
      <diagonal/>
    </border>
    <border>
      <left/>
      <right/>
      <top/>
      <bottom style="medium">
        <color theme="0" tint="-0.24994659260841701"/>
      </bottom>
      <diagonal/>
    </border>
    <border>
      <left/>
      <right style="medium">
        <color theme="0" tint="-0.24994659260841701"/>
      </right>
      <top/>
      <bottom style="medium">
        <color theme="0" tint="-0.24994659260841701"/>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medium">
        <color theme="0" tint="-0.14996795556505021"/>
      </left>
      <right/>
      <top style="medium">
        <color theme="0" tint="-0.14996795556505021"/>
      </top>
      <bottom/>
      <diagonal/>
    </border>
    <border>
      <left/>
      <right/>
      <top style="medium">
        <color theme="0" tint="-0.14996795556505021"/>
      </top>
      <bottom/>
      <diagonal/>
    </border>
    <border>
      <left/>
      <right style="medium">
        <color theme="0" tint="-0.14996795556505021"/>
      </right>
      <top style="medium">
        <color theme="0" tint="-0.14996795556505021"/>
      </top>
      <bottom/>
      <diagonal/>
    </border>
    <border>
      <left style="medium">
        <color theme="0" tint="-0.14996795556505021"/>
      </left>
      <right/>
      <top/>
      <bottom/>
      <diagonal/>
    </border>
    <border>
      <left/>
      <right style="medium">
        <color theme="0" tint="-0.14996795556505021"/>
      </right>
      <top/>
      <bottom/>
      <diagonal/>
    </border>
    <border>
      <left style="medium">
        <color theme="0" tint="-0.14996795556505021"/>
      </left>
      <right/>
      <top/>
      <bottom style="medium">
        <color theme="0" tint="-0.14996795556505021"/>
      </bottom>
      <diagonal/>
    </border>
    <border>
      <left/>
      <right/>
      <top/>
      <bottom style="medium">
        <color theme="0" tint="-0.14996795556505021"/>
      </bottom>
      <diagonal/>
    </border>
    <border>
      <left/>
      <right style="medium">
        <color theme="0" tint="-0.14996795556505021"/>
      </right>
      <top/>
      <bottom style="medium">
        <color theme="0" tint="-0.14996795556505021"/>
      </bottom>
      <diagonal/>
    </border>
    <border>
      <left/>
      <right style="thick">
        <color theme="0" tint="-0.24994659260841701"/>
      </right>
      <top style="thick">
        <color theme="0" tint="-0.24994659260841701"/>
      </top>
      <bottom style="thick">
        <color theme="0" tint="-0.24994659260841701"/>
      </bottom>
      <diagonal/>
    </border>
    <border>
      <left/>
      <right/>
      <top style="thick">
        <color theme="0" tint="-0.24994659260841701"/>
      </top>
      <bottom style="thick">
        <color theme="0" tint="-0.24994659260841701"/>
      </bottom>
      <diagonal/>
    </border>
    <border>
      <left style="thick">
        <color theme="0" tint="-0.24994659260841701"/>
      </left>
      <right/>
      <top style="thick">
        <color theme="0" tint="-0.24994659260841701"/>
      </top>
      <bottom/>
      <diagonal/>
    </border>
    <border>
      <left style="thick">
        <color theme="0" tint="-0.24994659260841701"/>
      </left>
      <right/>
      <top style="thin">
        <color auto="1"/>
      </top>
      <bottom style="thin">
        <color auto="1"/>
      </bottom>
      <diagonal/>
    </border>
    <border>
      <left style="thick">
        <color theme="0" tint="-0.24994659260841701"/>
      </left>
      <right/>
      <top/>
      <bottom style="thick">
        <color theme="0" tint="-0.24994659260841701"/>
      </bottom>
      <diagonal/>
    </border>
    <border>
      <left style="thick">
        <color theme="0" tint="-0.24994659260841701"/>
      </left>
      <right/>
      <top style="thin">
        <color auto="1"/>
      </top>
      <bottom/>
      <diagonal/>
    </border>
    <border>
      <left style="thin">
        <color indexed="64"/>
      </left>
      <right style="thick">
        <color theme="0" tint="-0.24994659260841701"/>
      </right>
      <top style="thick">
        <color theme="0" tint="-0.24994659260841701"/>
      </top>
      <bottom style="thin">
        <color indexed="64"/>
      </bottom>
      <diagonal/>
    </border>
    <border>
      <left style="thin">
        <color indexed="64"/>
      </left>
      <right style="thick">
        <color theme="0" tint="-0.24994659260841701"/>
      </right>
      <top style="thin">
        <color indexed="64"/>
      </top>
      <bottom style="thin">
        <color indexed="64"/>
      </bottom>
      <diagonal/>
    </border>
    <border>
      <left/>
      <right/>
      <top/>
      <bottom style="thick">
        <color theme="0" tint="-0.24994659260841701"/>
      </bottom>
      <diagonal/>
    </border>
    <border>
      <left style="thick">
        <color theme="0" tint="-0.24994659260841701"/>
      </left>
      <right/>
      <top/>
      <bottom/>
      <diagonal/>
    </border>
    <border>
      <left style="thin">
        <color indexed="64"/>
      </left>
      <right style="thick">
        <color theme="0" tint="-0.24994659260841701"/>
      </right>
      <top style="thin">
        <color indexed="64"/>
      </top>
      <bottom/>
      <diagonal/>
    </border>
    <border>
      <left style="thick">
        <color theme="0" tint="-0.24994659260841701"/>
      </left>
      <right style="thin">
        <color auto="1"/>
      </right>
      <top style="medium">
        <color auto="1"/>
      </top>
      <bottom/>
      <diagonal/>
    </border>
    <border>
      <left style="thick">
        <color theme="0" tint="-0.24994659260841701"/>
      </left>
      <right style="thin">
        <color indexed="64"/>
      </right>
      <top/>
      <bottom style="medium">
        <color indexed="64"/>
      </bottom>
      <diagonal/>
    </border>
    <border>
      <left style="thick">
        <color theme="0" tint="-0.24994659260841701"/>
      </left>
      <right/>
      <top style="medium">
        <color indexed="64"/>
      </top>
      <bottom style="thin">
        <color auto="1"/>
      </bottom>
      <diagonal/>
    </border>
    <border>
      <left style="thick">
        <color theme="0" tint="-0.24994659260841701"/>
      </left>
      <right style="medium">
        <color theme="0" tint="-0.24994659260841701"/>
      </right>
      <top style="thick">
        <color theme="0" tint="-0.24994659260841701"/>
      </top>
      <bottom style="medium">
        <color indexed="64"/>
      </bottom>
      <diagonal/>
    </border>
    <border>
      <left style="medium">
        <color theme="0" tint="-0.24994659260841701"/>
      </left>
      <right style="medium">
        <color theme="0" tint="-0.24994659260841701"/>
      </right>
      <top style="thick">
        <color theme="0" tint="-0.24994659260841701"/>
      </top>
      <bottom style="medium">
        <color indexed="64"/>
      </bottom>
      <diagonal/>
    </border>
    <border>
      <left style="medium">
        <color theme="0" tint="-0.24994659260841701"/>
      </left>
      <right style="medium">
        <color indexed="64"/>
      </right>
      <top style="thick">
        <color theme="0" tint="-0.24994659260841701"/>
      </top>
      <bottom style="medium">
        <color indexed="64"/>
      </bottom>
      <diagonal/>
    </border>
    <border>
      <left style="medium">
        <color indexed="64"/>
      </left>
      <right style="thick">
        <color theme="0" tint="-0.24994659260841701"/>
      </right>
      <top style="thick">
        <color theme="0" tint="-0.24994659260841701"/>
      </top>
      <bottom/>
      <diagonal/>
    </border>
    <border>
      <left style="medium">
        <color indexed="64"/>
      </left>
      <right style="thick">
        <color theme="0" tint="-0.24994659260841701"/>
      </right>
      <top/>
      <bottom/>
      <diagonal/>
    </border>
    <border>
      <left style="medium">
        <color indexed="64"/>
      </left>
      <right style="thick">
        <color theme="0" tint="-0.24994659260841701"/>
      </right>
      <top/>
      <bottom style="medium">
        <color indexed="64"/>
      </bottom>
      <diagonal/>
    </border>
    <border>
      <left style="medium">
        <color auto="1"/>
      </left>
      <right style="thick">
        <color theme="0" tint="-0.24994659260841701"/>
      </right>
      <top/>
      <bottom style="thin">
        <color indexed="64"/>
      </bottom>
      <diagonal/>
    </border>
    <border>
      <left style="medium">
        <color auto="1"/>
      </left>
      <right style="thick">
        <color theme="0" tint="-0.24994659260841701"/>
      </right>
      <top style="thin">
        <color auto="1"/>
      </top>
      <bottom style="thin">
        <color auto="1"/>
      </bottom>
      <diagonal/>
    </border>
    <border>
      <left style="medium">
        <color auto="1"/>
      </left>
      <right style="thick">
        <color theme="0" tint="-0.24994659260841701"/>
      </right>
      <top style="thin">
        <color auto="1"/>
      </top>
      <bottom/>
      <diagonal/>
    </border>
    <border>
      <left/>
      <right style="thick">
        <color theme="0" tint="-0.24994659260841701"/>
      </right>
      <top/>
      <bottom style="thick">
        <color theme="0" tint="-0.24994659260841701"/>
      </bottom>
      <diagonal/>
    </border>
    <border>
      <left style="thick">
        <color theme="0" tint="-0.24994659260841701"/>
      </left>
      <right style="thin">
        <color auto="1"/>
      </right>
      <top style="medium">
        <color indexed="64"/>
      </top>
      <bottom style="thin">
        <color auto="1"/>
      </bottom>
      <diagonal/>
    </border>
    <border>
      <left style="thick">
        <color theme="0" tint="-0.24994659260841701"/>
      </left>
      <right style="thin">
        <color auto="1"/>
      </right>
      <top style="thin">
        <color auto="1"/>
      </top>
      <bottom style="medium">
        <color indexed="64"/>
      </bottom>
      <diagonal/>
    </border>
    <border>
      <left style="thick">
        <color theme="0" tint="-0.24994659260841701"/>
      </left>
      <right style="thin">
        <color auto="1"/>
      </right>
      <top/>
      <bottom style="thin">
        <color indexed="64"/>
      </bottom>
      <diagonal/>
    </border>
    <border>
      <left style="thick">
        <color theme="0" tint="-0.24994659260841701"/>
      </left>
      <right style="thin">
        <color auto="1"/>
      </right>
      <top style="thin">
        <color auto="1"/>
      </top>
      <bottom style="thin">
        <color auto="1"/>
      </bottom>
      <diagonal/>
    </border>
    <border>
      <left/>
      <right style="thick">
        <color theme="0" tint="-0.24994659260841701"/>
      </right>
      <top/>
      <bottom style="thin">
        <color indexed="64"/>
      </bottom>
      <diagonal/>
    </border>
    <border>
      <left/>
      <right style="thick">
        <color theme="0" tint="-0.24994659260841701"/>
      </right>
      <top style="thin">
        <color auto="1"/>
      </top>
      <bottom style="thin">
        <color auto="1"/>
      </bottom>
      <diagonal/>
    </border>
    <border>
      <left style="thick">
        <color theme="0" tint="-0.24994659260841701"/>
      </left>
      <right/>
      <top style="medium">
        <color auto="1"/>
      </top>
      <bottom/>
      <diagonal/>
    </border>
    <border>
      <left/>
      <right style="thick">
        <color theme="0" tint="-0.24994659260841701"/>
      </right>
      <top style="medium">
        <color indexed="64"/>
      </top>
      <bottom/>
      <diagonal/>
    </border>
    <border>
      <left style="thick">
        <color theme="0" tint="-0.24994659260841701"/>
      </left>
      <right style="thin">
        <color indexed="64"/>
      </right>
      <top style="thick">
        <color theme="0" tint="-0.24994659260841701"/>
      </top>
      <bottom/>
      <diagonal/>
    </border>
    <border>
      <left style="thin">
        <color indexed="64"/>
      </left>
      <right style="thin">
        <color indexed="64"/>
      </right>
      <top style="thick">
        <color theme="0" tint="-0.24994659260841701"/>
      </top>
      <bottom/>
      <diagonal/>
    </border>
    <border>
      <left/>
      <right/>
      <top style="thick">
        <color theme="0" tint="-0.24994659260841701"/>
      </top>
      <bottom/>
      <diagonal/>
    </border>
    <border>
      <left/>
      <right style="thick">
        <color theme="0" tint="-0.24994659260841701"/>
      </right>
      <top style="thick">
        <color theme="0" tint="-0.24994659260841701"/>
      </top>
      <bottom/>
      <diagonal/>
    </border>
    <border>
      <left/>
      <right style="thick">
        <color theme="0" tint="-0.24994659260841701"/>
      </right>
      <top/>
      <bottom style="medium">
        <color auto="1"/>
      </bottom>
      <diagonal/>
    </border>
    <border>
      <left/>
      <right style="thick">
        <color theme="0" tint="-0.24994659260841701"/>
      </right>
      <top/>
      <bottom/>
      <diagonal/>
    </border>
    <border>
      <left style="thin">
        <color indexed="64"/>
      </left>
      <right/>
      <top style="thick">
        <color theme="0" tint="-0.24994659260841701"/>
      </top>
      <bottom/>
      <diagonal/>
    </border>
    <border>
      <left style="medium">
        <color auto="1"/>
      </left>
      <right/>
      <top style="thick">
        <color theme="0" tint="-0.24994659260841701"/>
      </top>
      <bottom/>
      <diagonal/>
    </border>
    <border>
      <left style="thick">
        <color theme="0" tint="-0.24994659260841701"/>
      </left>
      <right style="thin">
        <color auto="1"/>
      </right>
      <top style="thin">
        <color auto="1"/>
      </top>
      <bottom/>
      <diagonal/>
    </border>
    <border>
      <left/>
      <right style="thick">
        <color theme="0" tint="-0.24994659260841701"/>
      </right>
      <top style="thin">
        <color indexed="64"/>
      </top>
      <bottom/>
      <diagonal/>
    </border>
    <border>
      <left/>
      <right/>
      <top style="medium">
        <color theme="0" tint="-0.24994659260841701"/>
      </top>
      <bottom style="thick">
        <color theme="0" tint="-0.24994659260841701"/>
      </bottom>
      <diagonal/>
    </border>
    <border>
      <left style="thick">
        <color theme="0" tint="-0.24994659260841701"/>
      </left>
      <right style="thick">
        <color theme="0" tint="-0.24994659260841701"/>
      </right>
      <top/>
      <bottom/>
      <diagonal/>
    </border>
    <border>
      <left style="thick">
        <color auto="1"/>
      </left>
      <right/>
      <top style="medium">
        <color auto="1"/>
      </top>
      <bottom/>
      <diagonal/>
    </border>
    <border>
      <left/>
      <right style="thick">
        <color auto="1"/>
      </right>
      <top style="medium">
        <color indexed="64"/>
      </top>
      <bottom/>
      <diagonal/>
    </border>
    <border>
      <left style="medium">
        <color theme="0" tint="-0.14996795556505021"/>
      </left>
      <right style="thin">
        <color indexed="64"/>
      </right>
      <top style="medium">
        <color theme="0" tint="-0.14996795556505021"/>
      </top>
      <bottom style="medium">
        <color theme="0" tint="-0.14996795556505021"/>
      </bottom>
      <diagonal/>
    </border>
    <border>
      <left style="thin">
        <color indexed="64"/>
      </left>
      <right style="medium">
        <color theme="0" tint="-0.14996795556505021"/>
      </right>
      <top style="medium">
        <color theme="0" tint="-0.14996795556505021"/>
      </top>
      <bottom style="medium">
        <color theme="0" tint="-0.14996795556505021"/>
      </bottom>
      <diagonal/>
    </border>
    <border>
      <left style="thick">
        <color theme="0" tint="-0.14996795556505021"/>
      </left>
      <right/>
      <top style="thick">
        <color theme="0" tint="-0.14996795556505021"/>
      </top>
      <bottom style="thick">
        <color theme="0" tint="-0.14996795556505021"/>
      </bottom>
      <diagonal/>
    </border>
    <border>
      <left/>
      <right/>
      <top style="thick">
        <color theme="0" tint="-0.14996795556505021"/>
      </top>
      <bottom style="thick">
        <color theme="0" tint="-0.14996795556505021"/>
      </bottom>
      <diagonal/>
    </border>
    <border>
      <left/>
      <right style="thick">
        <color theme="0" tint="-0.14996795556505021"/>
      </right>
      <top style="thick">
        <color theme="0" tint="-0.14996795556505021"/>
      </top>
      <bottom style="thick">
        <color theme="0" tint="-0.14996795556505021"/>
      </bottom>
      <diagonal/>
    </border>
    <border>
      <left style="medium">
        <color rgb="FFFF0000"/>
      </left>
      <right style="medium">
        <color rgb="FFFF0000"/>
      </right>
      <top style="medium">
        <color rgb="FFFF0000"/>
      </top>
      <bottom style="medium">
        <color rgb="FFFF0000"/>
      </bottom>
      <diagonal/>
    </border>
    <border>
      <left style="thin">
        <color auto="1"/>
      </left>
      <right/>
      <top style="thick">
        <color auto="1"/>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thin">
        <color indexed="64"/>
      </left>
      <right style="thick">
        <color theme="0" tint="-0.24994659260841701"/>
      </right>
      <top style="thin">
        <color indexed="64"/>
      </top>
      <bottom style="thick">
        <color theme="0" tint="-0.24994659260841701"/>
      </bottom>
      <diagonal/>
    </border>
    <border>
      <left style="thin">
        <color indexed="64"/>
      </left>
      <right style="medium">
        <color indexed="64"/>
      </right>
      <top style="thick">
        <color theme="0" tint="-0.24994659260841701"/>
      </top>
      <bottom/>
      <diagonal/>
    </border>
    <border>
      <left style="thin">
        <color indexed="64"/>
      </left>
      <right style="thick">
        <color theme="0" tint="-0.24994659260841701"/>
      </right>
      <top/>
      <bottom style="thin">
        <color indexed="64"/>
      </bottom>
      <diagonal/>
    </border>
    <border>
      <left style="medium">
        <color theme="0" tint="-0.14993743705557422"/>
      </left>
      <right/>
      <top style="medium">
        <color theme="0" tint="-0.14996795556505021"/>
      </top>
      <bottom/>
      <diagonal/>
    </border>
    <border>
      <left/>
      <right style="medium">
        <color theme="0" tint="-0.14993743705557422"/>
      </right>
      <top style="medium">
        <color theme="0" tint="-0.14996795556505021"/>
      </top>
      <bottom/>
      <diagonal/>
    </border>
    <border>
      <left style="medium">
        <color theme="0" tint="-0.14993743705557422"/>
      </left>
      <right/>
      <top/>
      <bottom style="medium">
        <color theme="0" tint="-0.14993743705557422"/>
      </bottom>
      <diagonal/>
    </border>
    <border>
      <left/>
      <right/>
      <top/>
      <bottom style="medium">
        <color theme="0" tint="-0.14993743705557422"/>
      </bottom>
      <diagonal/>
    </border>
    <border>
      <left/>
      <right style="medium">
        <color theme="0" tint="-0.14993743705557422"/>
      </right>
      <top/>
      <bottom style="medium">
        <color theme="0" tint="-0.14993743705557422"/>
      </bottom>
      <diagonal/>
    </border>
    <border>
      <left/>
      <right style="medium">
        <color theme="0" tint="-0.14990691854609822"/>
      </right>
      <top style="medium">
        <color theme="0" tint="-0.14996795556505021"/>
      </top>
      <bottom/>
      <diagonal/>
    </border>
    <border>
      <left/>
      <right/>
      <top/>
      <bottom style="medium">
        <color theme="0" tint="-0.14990691854609822"/>
      </bottom>
      <diagonal/>
    </border>
    <border>
      <left/>
      <right style="medium">
        <color theme="0" tint="-0.14990691854609822"/>
      </right>
      <top/>
      <bottom style="medium">
        <color theme="0" tint="-0.14990691854609822"/>
      </bottom>
      <diagonal/>
    </border>
    <border>
      <left style="medium">
        <color theme="0" tint="-0.14993743705557422"/>
      </left>
      <right/>
      <top style="medium">
        <color theme="0" tint="-0.14993743705557422"/>
      </top>
      <bottom/>
      <diagonal/>
    </border>
    <border>
      <left style="medium">
        <color theme="0" tint="-0.14996795556505021"/>
      </left>
      <right/>
      <top/>
      <bottom style="medium">
        <color theme="0" tint="-0.14993743705557422"/>
      </bottom>
      <diagonal/>
    </border>
  </borders>
  <cellStyleXfs count="4">
    <xf numFmtId="0" fontId="0" fillId="0" borderId="0"/>
    <xf numFmtId="9" fontId="1" fillId="0" borderId="0" applyFont="0" applyFill="0" applyBorder="0" applyAlignment="0" applyProtection="0"/>
    <xf numFmtId="0" fontId="2" fillId="0" borderId="0"/>
    <xf numFmtId="0" fontId="8" fillId="0" borderId="0" applyNumberFormat="0" applyFill="0" applyBorder="0" applyAlignment="0" applyProtection="0"/>
  </cellStyleXfs>
  <cellXfs count="1234">
    <xf numFmtId="0" fontId="0" fillId="0" borderId="0" xfId="0"/>
    <xf numFmtId="0" fontId="4" fillId="0" borderId="0" xfId="2" applyFont="1" applyAlignment="1" applyProtection="1">
      <alignment vertical="center"/>
      <protection hidden="1"/>
    </xf>
    <xf numFmtId="0" fontId="4" fillId="0" borderId="0" xfId="2" applyFont="1" applyAlignment="1" applyProtection="1">
      <alignment horizontal="center" vertical="center"/>
      <protection hidden="1"/>
    </xf>
    <xf numFmtId="0" fontId="5" fillId="0" borderId="0" xfId="2" applyFont="1" applyProtection="1">
      <protection hidden="1"/>
    </xf>
    <xf numFmtId="0" fontId="4" fillId="0" borderId="0" xfId="2" applyFont="1" applyProtection="1">
      <protection hidden="1"/>
    </xf>
    <xf numFmtId="0" fontId="4" fillId="0" borderId="0" xfId="2" applyFont="1" applyAlignment="1" applyProtection="1">
      <alignment horizontal="center"/>
      <protection hidden="1"/>
    </xf>
    <xf numFmtId="0" fontId="4" fillId="0" borderId="0" xfId="0" applyFont="1" applyAlignment="1" applyProtection="1">
      <alignment vertical="center"/>
      <protection hidden="1"/>
    </xf>
    <xf numFmtId="0" fontId="5" fillId="0" borderId="0" xfId="0" applyFont="1" applyAlignment="1" applyProtection="1">
      <alignment horizontal="center" vertical="center"/>
      <protection hidden="1"/>
    </xf>
    <xf numFmtId="0" fontId="4" fillId="0" borderId="0" xfId="0" applyFont="1" applyAlignment="1" applyProtection="1">
      <alignment horizontal="center" vertical="center"/>
      <protection hidden="1"/>
    </xf>
    <xf numFmtId="0" fontId="4" fillId="0" borderId="0" xfId="0" applyFont="1" applyAlignment="1" applyProtection="1">
      <alignment horizontal="left" vertical="center" wrapText="1" indent="1"/>
      <protection hidden="1"/>
    </xf>
    <xf numFmtId="0" fontId="4" fillId="0" borderId="0" xfId="0" applyFont="1" applyAlignment="1" applyProtection="1">
      <alignment vertical="center"/>
      <protection locked="0" hidden="1"/>
    </xf>
    <xf numFmtId="0" fontId="4" fillId="0" borderId="1" xfId="0" applyFont="1" applyBorder="1" applyAlignment="1" applyProtection="1">
      <alignment vertical="center"/>
      <protection hidden="1"/>
    </xf>
    <xf numFmtId="0" fontId="4" fillId="4" borderId="1" xfId="0" applyFont="1" applyFill="1" applyBorder="1" applyAlignment="1" applyProtection="1">
      <alignment horizontal="center" vertical="center"/>
      <protection hidden="1"/>
    </xf>
    <xf numFmtId="0" fontId="4" fillId="0" borderId="91" xfId="0" applyFont="1" applyBorder="1" applyAlignment="1" applyProtection="1">
      <alignment horizontal="center" vertical="center"/>
      <protection hidden="1"/>
    </xf>
    <xf numFmtId="0" fontId="4" fillId="0" borderId="1" xfId="0" applyFont="1" applyBorder="1" applyAlignment="1" applyProtection="1">
      <alignment horizontal="center" vertical="center"/>
      <protection hidden="1"/>
    </xf>
    <xf numFmtId="0" fontId="6" fillId="0" borderId="0" xfId="0" applyFont="1" applyAlignment="1" applyProtection="1">
      <alignment horizontal="right" vertical="center"/>
      <protection hidden="1"/>
    </xf>
    <xf numFmtId="0" fontId="4" fillId="0" borderId="85" xfId="0" applyFont="1" applyBorder="1" applyAlignment="1" applyProtection="1">
      <alignment horizontal="center" vertical="center"/>
      <protection hidden="1"/>
    </xf>
    <xf numFmtId="164" fontId="4" fillId="4" borderId="1" xfId="0" applyNumberFormat="1" applyFont="1" applyFill="1" applyBorder="1" applyAlignment="1" applyProtection="1">
      <alignment horizontal="center" vertical="center"/>
      <protection hidden="1"/>
    </xf>
    <xf numFmtId="0" fontId="4" fillId="4" borderId="10" xfId="0" applyFont="1" applyFill="1" applyBorder="1" applyAlignment="1" applyProtection="1">
      <alignment vertical="center"/>
      <protection hidden="1"/>
    </xf>
    <xf numFmtId="0" fontId="4" fillId="4" borderId="1" xfId="0" applyFont="1" applyFill="1" applyBorder="1" applyAlignment="1" applyProtection="1">
      <alignment horizontal="left" vertical="center"/>
      <protection hidden="1"/>
    </xf>
    <xf numFmtId="0" fontId="4" fillId="0" borderId="87" xfId="0" applyFont="1" applyBorder="1" applyAlignment="1" applyProtection="1">
      <alignment horizontal="center" vertical="center"/>
      <protection hidden="1"/>
    </xf>
    <xf numFmtId="14" fontId="4" fillId="4" borderId="1" xfId="0" applyNumberFormat="1" applyFont="1" applyFill="1" applyBorder="1" applyAlignment="1" applyProtection="1">
      <alignment vertical="center"/>
      <protection hidden="1"/>
    </xf>
    <xf numFmtId="0" fontId="4" fillId="0" borderId="98" xfId="0" applyFont="1" applyBorder="1" applyAlignment="1" applyProtection="1">
      <alignment horizontal="center" vertical="center"/>
      <protection hidden="1"/>
    </xf>
    <xf numFmtId="0" fontId="5" fillId="0" borderId="0" xfId="0" applyFont="1" applyAlignment="1" applyProtection="1">
      <alignment horizontal="left" vertical="center"/>
      <protection hidden="1"/>
    </xf>
    <xf numFmtId="0" fontId="4" fillId="0" borderId="86" xfId="0" applyFont="1" applyBorder="1" applyAlignment="1" applyProtection="1">
      <alignment horizontal="center" vertical="center"/>
      <protection hidden="1"/>
    </xf>
    <xf numFmtId="0" fontId="4" fillId="3" borderId="1" xfId="0" applyFont="1" applyFill="1" applyBorder="1" applyAlignment="1" applyProtection="1">
      <alignment horizontal="center" vertical="center"/>
      <protection hidden="1"/>
    </xf>
    <xf numFmtId="0" fontId="4" fillId="0" borderId="0" xfId="0" applyFont="1" applyAlignment="1" applyProtection="1">
      <alignment horizontal="left" vertical="center"/>
      <protection hidden="1"/>
    </xf>
    <xf numFmtId="166" fontId="4" fillId="0" borderId="1" xfId="0" applyNumberFormat="1" applyFont="1" applyBorder="1" applyAlignment="1" applyProtection="1">
      <alignment vertical="center"/>
      <protection hidden="1"/>
    </xf>
    <xf numFmtId="4" fontId="4" fillId="4" borderId="1" xfId="0" applyNumberFormat="1" applyFont="1" applyFill="1" applyBorder="1" applyAlignment="1" applyProtection="1">
      <alignment horizontal="right" vertical="center"/>
      <protection hidden="1"/>
    </xf>
    <xf numFmtId="0" fontId="5" fillId="0" borderId="1" xfId="0" applyFont="1" applyBorder="1" applyAlignment="1" applyProtection="1">
      <alignment vertical="center"/>
      <protection hidden="1"/>
    </xf>
    <xf numFmtId="49" fontId="4" fillId="0" borderId="0" xfId="0" applyNumberFormat="1" applyFont="1" applyAlignment="1" applyProtection="1">
      <alignment vertical="center" wrapText="1"/>
      <protection hidden="1"/>
    </xf>
    <xf numFmtId="49" fontId="4" fillId="0" borderId="0" xfId="0" applyNumberFormat="1" applyFont="1" applyAlignment="1" applyProtection="1">
      <alignment horizontal="left" vertical="center" wrapText="1" indent="1"/>
      <protection hidden="1"/>
    </xf>
    <xf numFmtId="49" fontId="4" fillId="0" borderId="0" xfId="0" applyNumberFormat="1" applyFont="1" applyAlignment="1" applyProtection="1">
      <alignment horizontal="left" vertical="center" indent="1"/>
      <protection hidden="1"/>
    </xf>
    <xf numFmtId="49" fontId="4" fillId="0" borderId="0" xfId="0" quotePrefix="1" applyNumberFormat="1" applyFont="1" applyAlignment="1" applyProtection="1">
      <alignment horizontal="left" vertical="center" wrapText="1" indent="1"/>
      <protection hidden="1"/>
    </xf>
    <xf numFmtId="0" fontId="4" fillId="0" borderId="0" xfId="0" quotePrefix="1" applyFont="1" applyAlignment="1" applyProtection="1">
      <alignment horizontal="left" vertical="center" wrapText="1" indent="1"/>
      <protection hidden="1"/>
    </xf>
    <xf numFmtId="0" fontId="4" fillId="0" borderId="0" xfId="0" quotePrefix="1" applyFont="1" applyAlignment="1" applyProtection="1">
      <alignment vertical="center"/>
      <protection hidden="1"/>
    </xf>
    <xf numFmtId="0" fontId="4" fillId="0" borderId="0" xfId="0" quotePrefix="1" applyFont="1" applyAlignment="1" applyProtection="1">
      <alignment horizontal="left" vertical="center" indent="1"/>
      <protection hidden="1"/>
    </xf>
    <xf numFmtId="0" fontId="5" fillId="0" borderId="0" xfId="0" quotePrefix="1" applyFont="1" applyAlignment="1" applyProtection="1">
      <alignment vertical="center"/>
      <protection hidden="1"/>
    </xf>
    <xf numFmtId="49" fontId="4" fillId="0" borderId="0" xfId="0" applyNumberFormat="1" applyFont="1" applyAlignment="1" applyProtection="1">
      <alignment horizontal="left" vertical="center" wrapText="1" indent="2"/>
      <protection hidden="1"/>
    </xf>
    <xf numFmtId="0" fontId="4" fillId="0" borderId="0" xfId="0" quotePrefix="1" applyFont="1" applyAlignment="1" applyProtection="1">
      <alignment horizontal="left" vertical="center" wrapText="1" indent="2"/>
      <protection hidden="1"/>
    </xf>
    <xf numFmtId="0" fontId="4" fillId="0" borderId="0" xfId="0" quotePrefix="1" applyFont="1" applyAlignment="1" applyProtection="1">
      <alignment horizontal="left" vertical="center" indent="2"/>
      <protection hidden="1"/>
    </xf>
    <xf numFmtId="165" fontId="4" fillId="12" borderId="1" xfId="2" applyNumberFormat="1" applyFont="1" applyFill="1" applyBorder="1" applyAlignment="1" applyProtection="1">
      <alignment horizontal="left" vertical="center"/>
      <protection locked="0"/>
    </xf>
    <xf numFmtId="166" fontId="4" fillId="12" borderId="1" xfId="0" applyNumberFormat="1" applyFont="1" applyFill="1" applyBorder="1" applyAlignment="1" applyProtection="1">
      <alignment horizontal="center" vertical="center"/>
      <protection locked="0"/>
    </xf>
    <xf numFmtId="0" fontId="12" fillId="0" borderId="0" xfId="0" applyFont="1"/>
    <xf numFmtId="0" fontId="4" fillId="0" borderId="11" xfId="2" applyFont="1" applyBorder="1" applyAlignment="1">
      <alignment horizontal="center" vertical="center"/>
    </xf>
    <xf numFmtId="0" fontId="9" fillId="0" borderId="8" xfId="0" applyFont="1" applyBorder="1" applyAlignment="1">
      <alignment horizontal="center" vertical="center"/>
    </xf>
    <xf numFmtId="0" fontId="12" fillId="0" borderId="0" xfId="0" applyFont="1" applyAlignment="1">
      <alignment horizontal="center"/>
    </xf>
    <xf numFmtId="0" fontId="12" fillId="0" borderId="0" xfId="0" applyFont="1" applyAlignment="1">
      <alignment vertical="center"/>
    </xf>
    <xf numFmtId="0" fontId="12" fillId="0" borderId="92" xfId="0" applyFont="1" applyBorder="1" applyAlignment="1">
      <alignment vertical="center"/>
    </xf>
    <xf numFmtId="0" fontId="12" fillId="0" borderId="9" xfId="0" applyFont="1" applyBorder="1" applyAlignment="1">
      <alignment vertical="center"/>
    </xf>
    <xf numFmtId="0" fontId="12" fillId="0" borderId="10" xfId="0" applyFont="1" applyBorder="1" applyAlignment="1">
      <alignment vertical="center"/>
    </xf>
    <xf numFmtId="166" fontId="12" fillId="0" borderId="1" xfId="0" applyNumberFormat="1" applyFont="1" applyBorder="1" applyAlignment="1">
      <alignment horizontal="left" vertical="center" indent="1"/>
    </xf>
    <xf numFmtId="0" fontId="13" fillId="0" borderId="0" xfId="0" applyFont="1" applyAlignment="1">
      <alignment vertical="center"/>
    </xf>
    <xf numFmtId="0" fontId="12" fillId="0" borderId="0" xfId="0" applyFont="1" applyAlignment="1">
      <alignment horizontal="center" vertical="center"/>
    </xf>
    <xf numFmtId="166" fontId="12" fillId="0" borderId="1" xfId="0" applyNumberFormat="1" applyFont="1" applyBorder="1" applyAlignment="1">
      <alignment vertical="center"/>
    </xf>
    <xf numFmtId="0" fontId="12" fillId="0" borderId="1" xfId="0" applyFont="1" applyBorder="1" applyAlignment="1">
      <alignment horizontal="center" vertical="center"/>
    </xf>
    <xf numFmtId="0" fontId="12" fillId="0" borderId="1" xfId="0" applyFont="1" applyBorder="1" applyAlignment="1">
      <alignment horizontal="left" vertical="center" indent="1"/>
    </xf>
    <xf numFmtId="0" fontId="12" fillId="0" borderId="0" xfId="0" applyFont="1" applyAlignment="1">
      <alignment horizontal="left" vertical="center" indent="1"/>
    </xf>
    <xf numFmtId="0" fontId="12" fillId="0" borderId="0" xfId="0" applyFont="1" applyAlignment="1">
      <alignment horizontal="right" vertical="center"/>
    </xf>
    <xf numFmtId="0" fontId="12" fillId="0" borderId="17" xfId="0" applyFont="1" applyBorder="1" applyAlignment="1">
      <alignment horizontal="center"/>
    </xf>
    <xf numFmtId="17" fontId="12" fillId="4" borderId="1" xfId="0" applyNumberFormat="1" applyFont="1" applyFill="1" applyBorder="1" applyAlignment="1" applyProtection="1">
      <alignment horizontal="center" vertical="center"/>
      <protection locked="0"/>
    </xf>
    <xf numFmtId="0" fontId="12" fillId="4" borderId="1" xfId="0" applyFont="1" applyFill="1" applyBorder="1" applyAlignment="1" applyProtection="1">
      <alignment horizontal="center" vertical="center"/>
      <protection locked="0"/>
    </xf>
    <xf numFmtId="0" fontId="12" fillId="0" borderId="1" xfId="0" applyFont="1" applyBorder="1" applyProtection="1">
      <protection locked="0"/>
    </xf>
    <xf numFmtId="17" fontId="12" fillId="0" borderId="0" xfId="0" applyNumberFormat="1" applyFont="1" applyAlignment="1" applyProtection="1">
      <alignment horizontal="center" vertical="center"/>
      <protection locked="0"/>
    </xf>
    <xf numFmtId="0" fontId="12" fillId="0" borderId="0" xfId="0" applyFont="1" applyAlignment="1" applyProtection="1">
      <alignment horizontal="center" vertical="center"/>
      <protection locked="0"/>
    </xf>
    <xf numFmtId="0" fontId="12" fillId="0" borderId="3" xfId="0" applyFont="1" applyBorder="1" applyAlignment="1" applyProtection="1">
      <alignment horizontal="center"/>
      <protection locked="0"/>
    </xf>
    <xf numFmtId="0" fontId="12" fillId="0" borderId="0" xfId="0" applyFont="1" applyAlignment="1" applyProtection="1">
      <alignment horizontal="center"/>
      <protection locked="0"/>
    </xf>
    <xf numFmtId="49" fontId="4" fillId="0" borderId="0" xfId="0" quotePrefix="1" applyNumberFormat="1" applyFont="1" applyAlignment="1" applyProtection="1">
      <alignment horizontal="justify" vertical="center" wrapText="1"/>
      <protection hidden="1"/>
    </xf>
    <xf numFmtId="49" fontId="4" fillId="0" borderId="0" xfId="0" applyNumberFormat="1" applyFont="1" applyAlignment="1" applyProtection="1">
      <alignment horizontal="justify" vertical="center" wrapText="1"/>
      <protection hidden="1"/>
    </xf>
    <xf numFmtId="49" fontId="4" fillId="0" borderId="0" xfId="0" applyNumberFormat="1" applyFont="1" applyAlignment="1" applyProtection="1">
      <alignment horizontal="justify" vertical="center"/>
      <protection hidden="1"/>
    </xf>
    <xf numFmtId="49" fontId="4" fillId="0" borderId="0" xfId="0" quotePrefix="1" applyNumberFormat="1" applyFont="1" applyAlignment="1" applyProtection="1">
      <alignment horizontal="justify" vertical="center"/>
      <protection hidden="1"/>
    </xf>
    <xf numFmtId="49" fontId="18" fillId="10" borderId="138" xfId="0" applyNumberFormat="1" applyFont="1" applyFill="1" applyBorder="1" applyAlignment="1" applyProtection="1">
      <alignment horizontal="center" vertical="center"/>
      <protection hidden="1"/>
    </xf>
    <xf numFmtId="166" fontId="12" fillId="0" borderId="1" xfId="0" applyNumberFormat="1" applyFont="1" applyBorder="1" applyAlignment="1">
      <alignment horizontal="center" vertical="center"/>
    </xf>
    <xf numFmtId="166" fontId="12" fillId="4" borderId="1" xfId="0" applyNumberFormat="1" applyFont="1" applyFill="1" applyBorder="1" applyAlignment="1" applyProtection="1">
      <alignment horizontal="center" vertical="center"/>
      <protection locked="0"/>
    </xf>
    <xf numFmtId="0" fontId="11" fillId="0" borderId="0" xfId="0" applyFont="1" applyAlignment="1">
      <alignment horizontal="right" vertical="center" indent="1"/>
    </xf>
    <xf numFmtId="0" fontId="12" fillId="0" borderId="0" xfId="0" applyFont="1" applyAlignment="1">
      <alignment horizontal="right" vertical="center" indent="1"/>
    </xf>
    <xf numFmtId="0" fontId="17" fillId="0" borderId="0" xfId="0" applyFont="1" applyAlignment="1">
      <alignment horizontal="right" vertical="center"/>
    </xf>
    <xf numFmtId="0" fontId="13" fillId="11" borderId="88" xfId="0" applyFont="1" applyFill="1" applyBorder="1" applyAlignment="1">
      <alignment horizontal="center" vertical="center"/>
    </xf>
    <xf numFmtId="0" fontId="14" fillId="11" borderId="89" xfId="0" applyFont="1" applyFill="1" applyBorder="1" applyAlignment="1">
      <alignment horizontal="center" vertical="center" wrapText="1"/>
    </xf>
    <xf numFmtId="0" fontId="13" fillId="11" borderId="89" xfId="0" applyFont="1" applyFill="1" applyBorder="1" applyAlignment="1">
      <alignment horizontal="center" vertical="center" wrapText="1"/>
    </xf>
    <xf numFmtId="0" fontId="13" fillId="11" borderId="90" xfId="0" applyFont="1" applyFill="1" applyBorder="1" applyAlignment="1">
      <alignment horizontal="center" vertical="center" wrapText="1"/>
    </xf>
    <xf numFmtId="0" fontId="12" fillId="0" borderId="0" xfId="0" applyFont="1" applyAlignment="1" applyProtection="1">
      <alignment horizontal="center" vertical="center"/>
      <protection hidden="1"/>
    </xf>
    <xf numFmtId="0" fontId="12" fillId="0" borderId="0" xfId="0" applyFont="1" applyAlignment="1" applyProtection="1">
      <alignment vertical="center"/>
      <protection hidden="1"/>
    </xf>
    <xf numFmtId="0" fontId="12" fillId="0" borderId="0" xfId="0" applyFont="1" applyProtection="1">
      <protection hidden="1"/>
    </xf>
    <xf numFmtId="0" fontId="12" fillId="0" borderId="0" xfId="0" applyFont="1" applyAlignment="1" applyProtection="1">
      <alignment horizontal="left" vertical="center"/>
      <protection hidden="1"/>
    </xf>
    <xf numFmtId="0" fontId="12" fillId="0" borderId="1" xfId="0" applyFont="1" applyBorder="1" applyAlignment="1" applyProtection="1">
      <alignment horizontal="center" vertical="center"/>
      <protection hidden="1"/>
    </xf>
    <xf numFmtId="0" fontId="13" fillId="0" borderId="0" xfId="0" applyFont="1" applyAlignment="1" applyProtection="1">
      <alignment horizontal="center" vertical="center"/>
      <protection hidden="1"/>
    </xf>
    <xf numFmtId="0" fontId="21" fillId="0" borderId="0" xfId="0" applyFont="1" applyAlignment="1" applyProtection="1">
      <alignment vertical="center"/>
      <protection hidden="1"/>
    </xf>
    <xf numFmtId="0" fontId="12" fillId="0" borderId="0" xfId="0" applyFont="1" applyAlignment="1" applyProtection="1">
      <alignment textRotation="255" wrapText="1"/>
      <protection hidden="1"/>
    </xf>
    <xf numFmtId="166" fontId="12" fillId="0" borderId="0" xfId="0" applyNumberFormat="1" applyFont="1" applyAlignment="1" applyProtection="1">
      <alignment vertical="center"/>
      <protection hidden="1"/>
    </xf>
    <xf numFmtId="166" fontId="22" fillId="0" borderId="0" xfId="0" applyNumberFormat="1" applyFont="1" applyAlignment="1" applyProtection="1">
      <alignment horizontal="center" vertical="center"/>
      <protection hidden="1"/>
    </xf>
    <xf numFmtId="166" fontId="12" fillId="0" borderId="0" xfId="0" applyNumberFormat="1" applyFont="1" applyAlignment="1" applyProtection="1">
      <alignment horizontal="right" vertical="center"/>
      <protection hidden="1"/>
    </xf>
    <xf numFmtId="0" fontId="12" fillId="0" borderId="2" xfId="0" applyFont="1" applyBorder="1" applyAlignment="1" applyProtection="1">
      <alignment vertical="center"/>
      <protection hidden="1"/>
    </xf>
    <xf numFmtId="0" fontId="23" fillId="0" borderId="3" xfId="0" applyFont="1" applyBorder="1" applyAlignment="1" applyProtection="1">
      <alignment horizontal="center" vertical="center"/>
      <protection hidden="1"/>
    </xf>
    <xf numFmtId="0" fontId="12" fillId="0" borderId="3" xfId="0" applyFont="1" applyBorder="1" applyAlignment="1" applyProtection="1">
      <alignment horizontal="center" vertical="center"/>
      <protection hidden="1"/>
    </xf>
    <xf numFmtId="0" fontId="12" fillId="0" borderId="4" xfId="0" applyFont="1" applyBorder="1" applyAlignment="1" applyProtection="1">
      <alignment horizontal="center" vertical="center"/>
      <protection hidden="1"/>
    </xf>
    <xf numFmtId="0" fontId="12" fillId="0" borderId="5" xfId="0" applyFont="1" applyBorder="1" applyAlignment="1" applyProtection="1">
      <alignment vertical="center"/>
      <protection hidden="1"/>
    </xf>
    <xf numFmtId="166" fontId="23" fillId="0" borderId="6" xfId="0" applyNumberFormat="1" applyFont="1" applyBorder="1" applyAlignment="1" applyProtection="1">
      <alignment horizontal="right" vertical="center"/>
      <protection hidden="1"/>
    </xf>
    <xf numFmtId="166" fontId="24" fillId="0" borderId="6" xfId="0" applyNumberFormat="1" applyFont="1" applyBorder="1" applyAlignment="1" applyProtection="1">
      <alignment horizontal="center" vertical="center"/>
      <protection hidden="1"/>
    </xf>
    <xf numFmtId="166" fontId="24" fillId="0" borderId="7" xfId="0" applyNumberFormat="1" applyFont="1" applyBorder="1" applyAlignment="1" applyProtection="1">
      <alignment horizontal="center" vertical="center"/>
      <protection hidden="1"/>
    </xf>
    <xf numFmtId="0" fontId="21" fillId="0" borderId="0" xfId="0" applyFont="1" applyAlignment="1" applyProtection="1">
      <alignment horizontal="center" vertical="center"/>
      <protection hidden="1"/>
    </xf>
    <xf numFmtId="10" fontId="21" fillId="0" borderId="0" xfId="0" applyNumberFormat="1" applyFont="1" applyAlignment="1" applyProtection="1">
      <alignment vertical="center"/>
      <protection hidden="1"/>
    </xf>
    <xf numFmtId="0" fontId="21" fillId="0" borderId="0" xfId="0" applyFont="1" applyProtection="1">
      <protection hidden="1"/>
    </xf>
    <xf numFmtId="166" fontId="23" fillId="0" borderId="0" xfId="0" applyNumberFormat="1" applyFont="1" applyAlignment="1" applyProtection="1">
      <alignment horizontal="center" vertical="center"/>
      <protection hidden="1"/>
    </xf>
    <xf numFmtId="0" fontId="13" fillId="0" borderId="0" xfId="0" applyFont="1" applyAlignment="1" applyProtection="1">
      <alignment horizontal="left" vertical="center" wrapText="1" indent="1"/>
      <protection hidden="1"/>
    </xf>
    <xf numFmtId="0" fontId="17" fillId="0" borderId="0" xfId="0" applyFont="1" applyAlignment="1">
      <alignment horizontal="left" vertical="center"/>
    </xf>
    <xf numFmtId="0" fontId="12" fillId="14" borderId="91" xfId="0" applyFont="1" applyFill="1" applyBorder="1" applyAlignment="1" applyProtection="1">
      <alignment vertical="center"/>
      <protection locked="0" hidden="1"/>
    </xf>
    <xf numFmtId="0" fontId="12" fillId="0" borderId="92" xfId="0" applyFont="1" applyBorder="1" applyAlignment="1" applyProtection="1">
      <alignment vertical="center"/>
      <protection hidden="1"/>
    </xf>
    <xf numFmtId="166" fontId="23" fillId="0" borderId="9" xfId="0" applyNumberFormat="1" applyFont="1" applyBorder="1" applyAlignment="1" applyProtection="1">
      <alignment vertical="center"/>
      <protection hidden="1"/>
    </xf>
    <xf numFmtId="0" fontId="12" fillId="0" borderId="9" xfId="0" applyFont="1" applyBorder="1" applyAlignment="1" applyProtection="1">
      <alignment horizontal="center" vertical="center"/>
      <protection hidden="1"/>
    </xf>
    <xf numFmtId="0" fontId="12" fillId="0" borderId="10" xfId="0" applyFont="1" applyBorder="1" applyAlignment="1" applyProtection="1">
      <alignment horizontal="center" vertical="center"/>
      <protection hidden="1"/>
    </xf>
    <xf numFmtId="0" fontId="13" fillId="11" borderId="91" xfId="0" applyFont="1" applyFill="1" applyBorder="1" applyAlignment="1" applyProtection="1">
      <alignment horizontal="center" vertical="center" wrapText="1"/>
      <protection hidden="1"/>
    </xf>
    <xf numFmtId="0" fontId="18" fillId="2" borderId="153" xfId="0" applyFont="1" applyFill="1" applyBorder="1" applyAlignment="1" applyProtection="1">
      <alignment horizontal="left" vertical="center" indent="1"/>
      <protection hidden="1"/>
    </xf>
    <xf numFmtId="0" fontId="12" fillId="0" borderId="1" xfId="0" applyFont="1" applyBorder="1" applyAlignment="1" applyProtection="1">
      <alignment horizontal="center" vertical="center" wrapText="1"/>
      <protection hidden="1"/>
    </xf>
    <xf numFmtId="10" fontId="25" fillId="0" borderId="1" xfId="1" applyNumberFormat="1" applyFont="1" applyFill="1" applyBorder="1" applyAlignment="1" applyProtection="1">
      <alignment vertical="center"/>
      <protection hidden="1"/>
    </xf>
    <xf numFmtId="10" fontId="23" fillId="0" borderId="1" xfId="1" applyNumberFormat="1" applyFont="1" applyFill="1" applyBorder="1" applyAlignment="1" applyProtection="1">
      <alignment vertical="center"/>
      <protection hidden="1"/>
    </xf>
    <xf numFmtId="0" fontId="23" fillId="0" borderId="0" xfId="0" applyFont="1" applyAlignment="1" applyProtection="1">
      <alignment vertical="center"/>
      <protection hidden="1"/>
    </xf>
    <xf numFmtId="0" fontId="23" fillId="0" borderId="0" xfId="0" applyFont="1" applyAlignment="1" applyProtection="1">
      <alignment horizontal="center" vertical="center"/>
      <protection hidden="1"/>
    </xf>
    <xf numFmtId="0" fontId="23" fillId="0" borderId="1" xfId="0" applyFont="1" applyBorder="1" applyAlignment="1" applyProtection="1">
      <alignment horizontal="center" vertical="center"/>
      <protection hidden="1"/>
    </xf>
    <xf numFmtId="0" fontId="20" fillId="0" borderId="1" xfId="0" applyFont="1" applyBorder="1" applyAlignment="1" applyProtection="1">
      <alignment horizontal="center" vertical="center"/>
      <protection hidden="1"/>
    </xf>
    <xf numFmtId="0" fontId="23" fillId="4" borderId="1" xfId="0" applyFont="1" applyFill="1" applyBorder="1" applyAlignment="1" applyProtection="1">
      <alignment horizontal="center" vertical="center"/>
      <protection hidden="1"/>
    </xf>
    <xf numFmtId="10" fontId="23" fillId="0" borderId="1" xfId="1" applyNumberFormat="1" applyFont="1" applyFill="1" applyBorder="1" applyAlignment="1" applyProtection="1">
      <alignment horizontal="center" vertical="center"/>
      <protection hidden="1"/>
    </xf>
    <xf numFmtId="0" fontId="23" fillId="0" borderId="11" xfId="0" applyFont="1" applyBorder="1" applyAlignment="1" applyProtection="1">
      <alignment horizontal="center" vertical="center"/>
      <protection hidden="1"/>
    </xf>
    <xf numFmtId="10" fontId="23" fillId="0" borderId="11" xfId="1" applyNumberFormat="1" applyFont="1" applyFill="1" applyBorder="1" applyAlignment="1" applyProtection="1">
      <alignment horizontal="center" vertical="center"/>
      <protection hidden="1"/>
    </xf>
    <xf numFmtId="0" fontId="12" fillId="4" borderId="91" xfId="0" applyFont="1" applyFill="1" applyBorder="1" applyAlignment="1" applyProtection="1">
      <alignment vertical="center"/>
      <protection locked="0" hidden="1"/>
    </xf>
    <xf numFmtId="0" fontId="12" fillId="0" borderId="0" xfId="0" applyFont="1" applyAlignment="1">
      <alignment horizontal="left" vertical="center"/>
    </xf>
    <xf numFmtId="0" fontId="18" fillId="0" borderId="0" xfId="0" applyFont="1" applyAlignment="1" applyProtection="1">
      <alignment horizontal="left" vertical="center"/>
      <protection hidden="1"/>
    </xf>
    <xf numFmtId="0" fontId="29" fillId="10" borderId="0" xfId="0" applyFont="1" applyFill="1" applyAlignment="1" applyProtection="1">
      <alignment vertical="center"/>
      <protection hidden="1"/>
    </xf>
    <xf numFmtId="0" fontId="29" fillId="10" borderId="160" xfId="0" applyFont="1" applyFill="1" applyBorder="1" applyAlignment="1" applyProtection="1">
      <alignment vertical="center"/>
      <protection hidden="1"/>
    </xf>
    <xf numFmtId="0" fontId="29" fillId="10" borderId="142" xfId="0" applyFont="1" applyFill="1" applyBorder="1" applyAlignment="1" applyProtection="1">
      <alignment horizontal="left" vertical="center" indent="1"/>
      <protection hidden="1"/>
    </xf>
    <xf numFmtId="0" fontId="12" fillId="0" borderId="1" xfId="0" applyFont="1" applyBorder="1" applyAlignment="1">
      <alignment vertical="center"/>
    </xf>
    <xf numFmtId="0" fontId="13" fillId="0" borderId="0" xfId="0" applyFont="1" applyAlignment="1" applyProtection="1">
      <alignment vertical="center"/>
      <protection hidden="1"/>
    </xf>
    <xf numFmtId="10" fontId="12" fillId="10" borderId="100" xfId="1" applyNumberFormat="1" applyFont="1" applyFill="1" applyBorder="1" applyAlignment="1" applyProtection="1">
      <alignment vertical="center"/>
      <protection hidden="1"/>
    </xf>
    <xf numFmtId="10" fontId="13" fillId="0" borderId="101" xfId="1" applyNumberFormat="1" applyFont="1" applyFill="1" applyBorder="1" applyAlignment="1" applyProtection="1">
      <alignment vertical="center"/>
      <protection hidden="1"/>
    </xf>
    <xf numFmtId="10" fontId="12" fillId="10" borderId="125" xfId="1" applyNumberFormat="1" applyFont="1" applyFill="1" applyBorder="1" applyAlignment="1" applyProtection="1">
      <alignment vertical="center"/>
      <protection hidden="1"/>
    </xf>
    <xf numFmtId="0" fontId="12" fillId="0" borderId="11" xfId="0" applyFont="1" applyBorder="1" applyAlignment="1">
      <alignment horizontal="center" vertical="center"/>
    </xf>
    <xf numFmtId="10" fontId="12" fillId="10" borderId="45" xfId="1" applyNumberFormat="1" applyFont="1" applyFill="1" applyBorder="1" applyAlignment="1" applyProtection="1">
      <alignment vertical="center"/>
      <protection hidden="1"/>
    </xf>
    <xf numFmtId="10" fontId="13" fillId="0" borderId="1" xfId="1" applyNumberFormat="1" applyFont="1" applyFill="1" applyBorder="1" applyAlignment="1" applyProtection="1">
      <alignment vertical="center"/>
      <protection hidden="1"/>
    </xf>
    <xf numFmtId="10" fontId="12" fillId="10" borderId="15" xfId="1" applyNumberFormat="1" applyFont="1" applyFill="1" applyBorder="1" applyAlignment="1" applyProtection="1">
      <alignment vertical="center"/>
      <protection hidden="1"/>
    </xf>
    <xf numFmtId="10" fontId="12" fillId="10" borderId="44" xfId="0" applyNumberFormat="1" applyFont="1" applyFill="1" applyBorder="1" applyAlignment="1" applyProtection="1">
      <alignment vertical="center"/>
      <protection hidden="1"/>
    </xf>
    <xf numFmtId="10" fontId="13" fillId="10" borderId="18" xfId="0" applyNumberFormat="1" applyFont="1" applyFill="1" applyBorder="1" applyAlignment="1" applyProtection="1">
      <alignment vertical="center"/>
      <protection hidden="1"/>
    </xf>
    <xf numFmtId="0" fontId="23" fillId="0" borderId="104" xfId="0" applyFont="1" applyBorder="1" applyAlignment="1" applyProtection="1">
      <alignment vertical="center"/>
      <protection hidden="1"/>
    </xf>
    <xf numFmtId="0" fontId="23" fillId="0" borderId="126" xfId="0" applyFont="1" applyBorder="1" applyAlignment="1" applyProtection="1">
      <alignment vertical="center"/>
      <protection hidden="1"/>
    </xf>
    <xf numFmtId="0" fontId="14" fillId="5" borderId="56" xfId="0" applyFont="1" applyFill="1" applyBorder="1" applyAlignment="1">
      <alignment horizontal="center" vertical="center"/>
    </xf>
    <xf numFmtId="0" fontId="14" fillId="5" borderId="26" xfId="0" applyFont="1" applyFill="1" applyBorder="1" applyAlignment="1">
      <alignment horizontal="center" vertical="center" wrapText="1"/>
    </xf>
    <xf numFmtId="0" fontId="14" fillId="5" borderId="56" xfId="0" applyFont="1" applyFill="1" applyBorder="1" applyAlignment="1" applyProtection="1">
      <alignment horizontal="center" vertical="center"/>
      <protection hidden="1"/>
    </xf>
    <xf numFmtId="0" fontId="14" fillId="5" borderId="26" xfId="0" applyFont="1" applyFill="1" applyBorder="1" applyAlignment="1" applyProtection="1">
      <alignment horizontal="center" vertical="center" wrapText="1"/>
      <protection hidden="1"/>
    </xf>
    <xf numFmtId="0" fontId="14" fillId="5" borderId="56" xfId="0" applyFont="1" applyFill="1" applyBorder="1" applyAlignment="1">
      <alignment horizontal="center" vertical="center" wrapText="1"/>
    </xf>
    <xf numFmtId="0" fontId="14" fillId="5" borderId="26" xfId="0" applyFont="1" applyFill="1" applyBorder="1" applyAlignment="1">
      <alignment horizontal="center" vertical="center"/>
    </xf>
    <xf numFmtId="0" fontId="13" fillId="10" borderId="23" xfId="0" applyFont="1" applyFill="1" applyBorder="1" applyAlignment="1" applyProtection="1">
      <alignment horizontal="center" vertical="center" wrapText="1"/>
      <protection hidden="1"/>
    </xf>
    <xf numFmtId="0" fontId="13" fillId="10" borderId="18" xfId="0" applyFont="1" applyFill="1" applyBorder="1" applyAlignment="1" applyProtection="1">
      <alignment horizontal="center" vertical="center" wrapText="1"/>
      <protection hidden="1"/>
    </xf>
    <xf numFmtId="0" fontId="14" fillId="10" borderId="23" xfId="0" applyFont="1" applyFill="1" applyBorder="1" applyAlignment="1" applyProtection="1">
      <alignment horizontal="center" vertical="center" wrapText="1"/>
      <protection hidden="1"/>
    </xf>
    <xf numFmtId="0" fontId="14" fillId="10" borderId="17" xfId="0" applyFont="1" applyFill="1" applyBorder="1" applyAlignment="1" applyProtection="1">
      <alignment horizontal="center" vertical="center" wrapText="1"/>
      <protection hidden="1"/>
    </xf>
    <xf numFmtId="0" fontId="31" fillId="0" borderId="18" xfId="0" applyFont="1" applyBorder="1" applyAlignment="1" applyProtection="1">
      <alignment horizontal="center" vertical="center" wrapText="1"/>
      <protection hidden="1"/>
    </xf>
    <xf numFmtId="0" fontId="14" fillId="5" borderId="56" xfId="0" applyFont="1" applyFill="1" applyBorder="1" applyAlignment="1" applyProtection="1">
      <alignment horizontal="center" vertical="center" wrapText="1"/>
      <protection hidden="1"/>
    </xf>
    <xf numFmtId="0" fontId="13" fillId="10" borderId="23" xfId="0" applyFont="1" applyFill="1" applyBorder="1" applyAlignment="1" applyProtection="1">
      <alignment horizontal="center" vertical="center"/>
      <protection hidden="1"/>
    </xf>
    <xf numFmtId="0" fontId="13" fillId="10" borderId="18" xfId="0" applyFont="1" applyFill="1" applyBorder="1" applyAlignment="1" applyProtection="1">
      <alignment horizontal="center" vertical="center"/>
      <protection hidden="1"/>
    </xf>
    <xf numFmtId="0" fontId="14" fillId="5" borderId="26" xfId="0" applyFont="1" applyFill="1" applyBorder="1" applyAlignment="1" applyProtection="1">
      <alignment horizontal="center" vertical="center"/>
      <protection hidden="1"/>
    </xf>
    <xf numFmtId="0" fontId="12" fillId="4" borderId="29" xfId="0" applyFont="1" applyFill="1" applyBorder="1" applyAlignment="1" applyProtection="1">
      <alignment horizontal="center" vertical="center"/>
      <protection locked="0"/>
    </xf>
    <xf numFmtId="4" fontId="12" fillId="4" borderId="30" xfId="0" applyNumberFormat="1" applyFont="1" applyFill="1" applyBorder="1" applyAlignment="1" applyProtection="1">
      <alignment vertical="center"/>
      <protection locked="0"/>
    </xf>
    <xf numFmtId="4" fontId="12" fillId="4" borderId="11" xfId="0" applyNumberFormat="1" applyFont="1" applyFill="1" applyBorder="1" applyAlignment="1" applyProtection="1">
      <alignment vertical="center"/>
      <protection locked="0"/>
    </xf>
    <xf numFmtId="4" fontId="12" fillId="5" borderId="56" xfId="0" applyNumberFormat="1" applyFont="1" applyFill="1" applyBorder="1" applyAlignment="1">
      <alignment vertical="center"/>
    </xf>
    <xf numFmtId="4" fontId="12" fillId="4" borderId="29" xfId="0" applyNumberFormat="1" applyFont="1" applyFill="1" applyBorder="1" applyAlignment="1" applyProtection="1">
      <alignment vertical="center"/>
      <protection locked="0"/>
    </xf>
    <xf numFmtId="4" fontId="13" fillId="5" borderId="26" xfId="0" applyNumberFormat="1" applyFont="1" applyFill="1" applyBorder="1" applyAlignment="1">
      <alignment vertical="center"/>
    </xf>
    <xf numFmtId="166" fontId="12" fillId="4" borderId="11" xfId="0" applyNumberFormat="1" applyFont="1" applyFill="1" applyBorder="1" applyAlignment="1" applyProtection="1">
      <alignment horizontal="center" vertical="center"/>
      <protection locked="0"/>
    </xf>
    <xf numFmtId="166" fontId="12" fillId="4" borderId="29" xfId="0" applyNumberFormat="1" applyFont="1" applyFill="1" applyBorder="1" applyAlignment="1" applyProtection="1">
      <alignment horizontal="center" vertical="center"/>
      <protection locked="0"/>
    </xf>
    <xf numFmtId="0" fontId="12" fillId="4" borderId="70" xfId="0" applyFont="1" applyFill="1" applyBorder="1" applyAlignment="1" applyProtection="1">
      <alignment vertical="center"/>
      <protection locked="0"/>
    </xf>
    <xf numFmtId="0" fontId="12" fillId="10" borderId="30" xfId="0" applyFont="1" applyFill="1" applyBorder="1" applyAlignment="1" applyProtection="1">
      <alignment horizontal="center" vertical="center"/>
      <protection hidden="1"/>
    </xf>
    <xf numFmtId="0" fontId="12" fillId="0" borderId="11" xfId="0" applyFont="1" applyBorder="1" applyAlignment="1" applyProtection="1">
      <alignment horizontal="center" vertical="center"/>
      <protection hidden="1"/>
    </xf>
    <xf numFmtId="0" fontId="12" fillId="10" borderId="29" xfId="0" applyFont="1" applyFill="1" applyBorder="1" applyAlignment="1" applyProtection="1">
      <alignment horizontal="center" vertical="center"/>
      <protection hidden="1"/>
    </xf>
    <xf numFmtId="4" fontId="12" fillId="10" borderId="30" xfId="0" applyNumberFormat="1" applyFont="1" applyFill="1" applyBorder="1" applyAlignment="1" applyProtection="1">
      <alignment vertical="center"/>
      <protection hidden="1"/>
    </xf>
    <xf numFmtId="4" fontId="12" fillId="0" borderId="7" xfId="0" applyNumberFormat="1" applyFont="1" applyBorder="1" applyAlignment="1" applyProtection="1">
      <alignment vertical="center"/>
      <protection hidden="1"/>
    </xf>
    <xf numFmtId="4" fontId="12" fillId="10" borderId="117" xfId="0" applyNumberFormat="1" applyFont="1" applyFill="1" applyBorder="1" applyAlignment="1" applyProtection="1">
      <alignment vertical="center"/>
      <protection hidden="1"/>
    </xf>
    <xf numFmtId="4" fontId="12" fillId="0" borderId="11" xfId="0" applyNumberFormat="1" applyFont="1" applyBorder="1" applyAlignment="1" applyProtection="1">
      <alignment vertical="center"/>
      <protection hidden="1"/>
    </xf>
    <xf numFmtId="4" fontId="12" fillId="10" borderId="11" xfId="0" applyNumberFormat="1" applyFont="1" applyFill="1" applyBorder="1" applyAlignment="1" applyProtection="1">
      <alignment vertical="center"/>
      <protection hidden="1"/>
    </xf>
    <xf numFmtId="4" fontId="12" fillId="0" borderId="15" xfId="0" applyNumberFormat="1" applyFont="1" applyBorder="1" applyAlignment="1" applyProtection="1">
      <alignment vertical="center"/>
      <protection hidden="1"/>
    </xf>
    <xf numFmtId="4" fontId="12" fillId="0" borderId="13" xfId="0" applyNumberFormat="1" applyFont="1" applyBorder="1" applyAlignment="1" applyProtection="1">
      <alignment vertical="center"/>
      <protection hidden="1"/>
    </xf>
    <xf numFmtId="4" fontId="12" fillId="5" borderId="56" xfId="0" applyNumberFormat="1" applyFont="1" applyFill="1" applyBorder="1" applyAlignment="1" applyProtection="1">
      <alignment vertical="center"/>
      <protection hidden="1"/>
    </xf>
    <xf numFmtId="4" fontId="12" fillId="10" borderId="7" xfId="0" applyNumberFormat="1" applyFont="1" applyFill="1" applyBorder="1" applyAlignment="1" applyProtection="1">
      <alignment vertical="center"/>
      <protection hidden="1"/>
    </xf>
    <xf numFmtId="4" fontId="12" fillId="10" borderId="19" xfId="0" applyNumberFormat="1" applyFont="1" applyFill="1" applyBorder="1" applyAlignment="1" applyProtection="1">
      <alignment vertical="center"/>
      <protection hidden="1"/>
    </xf>
    <xf numFmtId="4" fontId="12" fillId="0" borderId="20" xfId="0" applyNumberFormat="1" applyFont="1" applyBorder="1" applyAlignment="1" applyProtection="1">
      <alignment vertical="center"/>
      <protection hidden="1"/>
    </xf>
    <xf numFmtId="4" fontId="12" fillId="10" borderId="21" xfId="0" applyNumberFormat="1" applyFont="1" applyFill="1" applyBorder="1" applyAlignment="1" applyProtection="1">
      <alignment vertical="center"/>
      <protection hidden="1"/>
    </xf>
    <xf numFmtId="4" fontId="13" fillId="5" borderId="26" xfId="0" applyNumberFormat="1" applyFont="1" applyFill="1" applyBorder="1" applyAlignment="1" applyProtection="1">
      <alignment vertical="center"/>
      <protection hidden="1"/>
    </xf>
    <xf numFmtId="4" fontId="12" fillId="0" borderId="85" xfId="0" applyNumberFormat="1" applyFont="1" applyBorder="1" applyAlignment="1" applyProtection="1">
      <alignment vertical="center"/>
      <protection hidden="1"/>
    </xf>
    <xf numFmtId="4" fontId="12" fillId="0" borderId="98" xfId="0" applyNumberFormat="1" applyFont="1" applyBorder="1" applyAlignment="1" applyProtection="1">
      <alignment vertical="center"/>
      <protection hidden="1"/>
    </xf>
    <xf numFmtId="166" fontId="12" fillId="10" borderId="30" xfId="0" applyNumberFormat="1" applyFont="1" applyFill="1" applyBorder="1" applyAlignment="1" applyProtection="1">
      <alignment horizontal="center" vertical="center"/>
      <protection hidden="1"/>
    </xf>
    <xf numFmtId="166" fontId="12" fillId="0" borderId="5" xfId="0" applyNumberFormat="1" applyFont="1" applyBorder="1" applyAlignment="1" applyProtection="1">
      <alignment horizontal="center" vertical="center"/>
      <protection hidden="1"/>
    </xf>
    <xf numFmtId="166" fontId="12" fillId="10" borderId="29" xfId="0" applyNumberFormat="1" applyFont="1" applyFill="1" applyBorder="1" applyAlignment="1" applyProtection="1">
      <alignment horizontal="center" vertical="center"/>
      <protection hidden="1"/>
    </xf>
    <xf numFmtId="166" fontId="12" fillId="10" borderId="22" xfId="0" applyNumberFormat="1" applyFont="1" applyFill="1" applyBorder="1" applyAlignment="1" applyProtection="1">
      <alignment horizontal="center" vertical="center"/>
      <protection hidden="1"/>
    </xf>
    <xf numFmtId="166" fontId="12" fillId="0" borderId="1" xfId="0" applyNumberFormat="1" applyFont="1" applyBorder="1" applyAlignment="1" applyProtection="1">
      <alignment horizontal="center" vertical="center"/>
      <protection hidden="1"/>
    </xf>
    <xf numFmtId="166" fontId="12" fillId="10" borderId="15" xfId="0" applyNumberFormat="1" applyFont="1" applyFill="1" applyBorder="1" applyAlignment="1" applyProtection="1">
      <alignment horizontal="center" vertical="center"/>
      <protection hidden="1"/>
    </xf>
    <xf numFmtId="1" fontId="12" fillId="0" borderId="19" xfId="0" applyNumberFormat="1" applyFont="1" applyBorder="1" applyAlignment="1" applyProtection="1">
      <alignment horizontal="center" vertical="center"/>
      <protection hidden="1"/>
    </xf>
    <xf numFmtId="0" fontId="23" fillId="0" borderId="93" xfId="0" applyFont="1" applyBorder="1" applyAlignment="1" applyProtection="1">
      <alignment horizontal="left" vertical="center" wrapText="1" indent="1"/>
      <protection hidden="1"/>
    </xf>
    <xf numFmtId="0" fontId="12" fillId="4" borderId="15" xfId="0" applyFont="1" applyFill="1" applyBorder="1" applyAlignment="1" applyProtection="1">
      <alignment horizontal="center" vertical="center"/>
      <protection locked="0"/>
    </xf>
    <xf numFmtId="4" fontId="12" fillId="4" borderId="22" xfId="0" applyNumberFormat="1" applyFont="1" applyFill="1" applyBorder="1" applyAlignment="1" applyProtection="1">
      <alignment vertical="center"/>
      <protection locked="0"/>
    </xf>
    <xf numFmtId="4" fontId="12" fillId="4" borderId="1" xfId="0" applyNumberFormat="1" applyFont="1" applyFill="1" applyBorder="1" applyAlignment="1" applyProtection="1">
      <alignment vertical="center"/>
      <protection locked="0"/>
    </xf>
    <xf numFmtId="4" fontId="12" fillId="4" borderId="15" xfId="0" applyNumberFormat="1" applyFont="1" applyFill="1" applyBorder="1" applyAlignment="1" applyProtection="1">
      <alignment vertical="center"/>
      <protection locked="0"/>
    </xf>
    <xf numFmtId="0" fontId="12" fillId="4" borderId="71" xfId="0" applyFont="1" applyFill="1" applyBorder="1" applyAlignment="1" applyProtection="1">
      <alignment vertical="center"/>
      <protection locked="0"/>
    </xf>
    <xf numFmtId="0" fontId="12" fillId="10" borderId="22" xfId="0" applyFont="1" applyFill="1" applyBorder="1" applyAlignment="1" applyProtection="1">
      <alignment horizontal="center" vertical="center"/>
      <protection hidden="1"/>
    </xf>
    <xf numFmtId="0" fontId="12" fillId="10" borderId="15" xfId="0" applyFont="1" applyFill="1" applyBorder="1" applyAlignment="1" applyProtection="1">
      <alignment horizontal="center" vertical="center"/>
      <protection hidden="1"/>
    </xf>
    <xf numFmtId="4" fontId="12" fillId="10" borderId="22" xfId="0" applyNumberFormat="1" applyFont="1" applyFill="1" applyBorder="1" applyAlignment="1" applyProtection="1">
      <alignment vertical="center"/>
      <protection hidden="1"/>
    </xf>
    <xf numFmtId="4" fontId="12" fillId="0" borderId="10" xfId="0" applyNumberFormat="1" applyFont="1" applyBorder="1" applyAlignment="1" applyProtection="1">
      <alignment vertical="center"/>
      <protection hidden="1"/>
    </xf>
    <xf numFmtId="4" fontId="12" fillId="10" borderId="80" xfId="0" applyNumberFormat="1" applyFont="1" applyFill="1" applyBorder="1" applyAlignment="1" applyProtection="1">
      <alignment vertical="center"/>
      <protection hidden="1"/>
    </xf>
    <xf numFmtId="4" fontId="12" fillId="0" borderId="1" xfId="0" applyNumberFormat="1" applyFont="1" applyBorder="1" applyAlignment="1" applyProtection="1">
      <alignment vertical="center"/>
      <protection hidden="1"/>
    </xf>
    <xf numFmtId="4" fontId="12" fillId="10" borderId="1" xfId="0" applyNumberFormat="1" applyFont="1" applyFill="1" applyBorder="1" applyAlignment="1" applyProtection="1">
      <alignment vertical="center"/>
      <protection hidden="1"/>
    </xf>
    <xf numFmtId="4" fontId="12" fillId="0" borderId="80" xfId="0" applyNumberFormat="1" applyFont="1" applyBorder="1" applyAlignment="1" applyProtection="1">
      <alignment vertical="center"/>
      <protection hidden="1"/>
    </xf>
    <xf numFmtId="4" fontId="12" fillId="10" borderId="10" xfId="0" applyNumberFormat="1" applyFont="1" applyFill="1" applyBorder="1" applyAlignment="1" applyProtection="1">
      <alignment vertical="center"/>
      <protection hidden="1"/>
    </xf>
    <xf numFmtId="4" fontId="12" fillId="10" borderId="15" xfId="0" applyNumberFormat="1" applyFont="1" applyFill="1" applyBorder="1" applyAlignment="1" applyProtection="1">
      <alignment vertical="center"/>
      <protection hidden="1"/>
    </xf>
    <xf numFmtId="4" fontId="12" fillId="0" borderId="86" xfId="0" applyNumberFormat="1" applyFont="1" applyBorder="1" applyAlignment="1" applyProtection="1">
      <alignment vertical="center"/>
      <protection hidden="1"/>
    </xf>
    <xf numFmtId="1" fontId="12" fillId="0" borderId="22" xfId="0" applyNumberFormat="1" applyFont="1" applyBorder="1" applyAlignment="1" applyProtection="1">
      <alignment horizontal="center" vertical="center"/>
      <protection hidden="1"/>
    </xf>
    <xf numFmtId="0" fontId="23" fillId="0" borderId="40" xfId="0" applyFont="1" applyBorder="1" applyAlignment="1" applyProtection="1">
      <alignment horizontal="left" vertical="center" wrapText="1" indent="1"/>
      <protection hidden="1"/>
    </xf>
    <xf numFmtId="0" fontId="12" fillId="4" borderId="63" xfId="0" applyFont="1" applyFill="1" applyBorder="1" applyAlignment="1" applyProtection="1">
      <alignment horizontal="center" vertical="center"/>
      <protection locked="0"/>
    </xf>
    <xf numFmtId="4" fontId="12" fillId="4" borderId="14" xfId="0" applyNumberFormat="1" applyFont="1" applyFill="1" applyBorder="1" applyAlignment="1" applyProtection="1">
      <alignment vertical="center"/>
      <protection locked="0"/>
    </xf>
    <xf numFmtId="4" fontId="12" fillId="4" borderId="32" xfId="0" applyNumberFormat="1" applyFont="1" applyFill="1" applyBorder="1" applyAlignment="1" applyProtection="1">
      <alignment vertical="center"/>
      <protection locked="0"/>
    </xf>
    <xf numFmtId="4" fontId="12" fillId="0" borderId="32" xfId="0" applyNumberFormat="1" applyFont="1" applyBorder="1" applyAlignment="1">
      <alignment vertical="center"/>
    </xf>
    <xf numFmtId="4" fontId="12" fillId="4" borderId="23" xfId="0" applyNumberFormat="1" applyFont="1" applyFill="1" applyBorder="1" applyAlignment="1" applyProtection="1">
      <alignment vertical="center"/>
      <protection locked="0"/>
    </xf>
    <xf numFmtId="4" fontId="12" fillId="4" borderId="17" xfId="0" applyNumberFormat="1" applyFont="1" applyFill="1" applyBorder="1" applyAlignment="1" applyProtection="1">
      <alignment vertical="center"/>
      <protection locked="0"/>
    </xf>
    <xf numFmtId="4" fontId="12" fillId="4" borderId="18" xfId="0" applyNumberFormat="1" applyFont="1" applyFill="1" applyBorder="1" applyAlignment="1" applyProtection="1">
      <alignment vertical="center"/>
      <protection locked="0"/>
    </xf>
    <xf numFmtId="166" fontId="12" fillId="4" borderId="33" xfId="0" applyNumberFormat="1" applyFont="1" applyFill="1" applyBorder="1" applyAlignment="1" applyProtection="1">
      <alignment horizontal="center" vertical="center"/>
      <protection locked="0"/>
    </xf>
    <xf numFmtId="166" fontId="12" fillId="4" borderId="60" xfId="0" applyNumberFormat="1" applyFont="1" applyFill="1" applyBorder="1" applyAlignment="1" applyProtection="1">
      <alignment horizontal="center" vertical="center"/>
      <protection locked="0"/>
    </xf>
    <xf numFmtId="0" fontId="12" fillId="4" borderId="72" xfId="0" applyFont="1" applyFill="1" applyBorder="1" applyAlignment="1" applyProtection="1">
      <alignment vertical="center"/>
      <protection locked="0"/>
    </xf>
    <xf numFmtId="0" fontId="12" fillId="10" borderId="23" xfId="0" applyFont="1" applyFill="1" applyBorder="1" applyAlignment="1" applyProtection="1">
      <alignment horizontal="center" vertical="center"/>
      <protection hidden="1"/>
    </xf>
    <xf numFmtId="0" fontId="12" fillId="0" borderId="17" xfId="0" applyFont="1" applyBorder="1" applyAlignment="1" applyProtection="1">
      <alignment horizontal="center" vertical="center"/>
      <protection hidden="1"/>
    </xf>
    <xf numFmtId="0" fontId="12" fillId="10" borderId="18" xfId="0" applyFont="1" applyFill="1" applyBorder="1" applyAlignment="1" applyProtection="1">
      <alignment horizontal="center" vertical="center"/>
      <protection hidden="1"/>
    </xf>
    <xf numFmtId="4" fontId="12" fillId="10" borderId="23" xfId="0" applyNumberFormat="1" applyFont="1" applyFill="1" applyBorder="1" applyAlignment="1" applyProtection="1">
      <alignment vertical="center"/>
      <protection hidden="1"/>
    </xf>
    <xf numFmtId="4" fontId="12" fillId="0" borderId="94" xfId="0" applyNumberFormat="1" applyFont="1" applyBorder="1" applyAlignment="1" applyProtection="1">
      <alignment vertical="center"/>
      <protection hidden="1"/>
    </xf>
    <xf numFmtId="4" fontId="12" fillId="10" borderId="78" xfId="0" applyNumberFormat="1" applyFont="1" applyFill="1" applyBorder="1" applyAlignment="1" applyProtection="1">
      <alignment vertical="center"/>
      <protection hidden="1"/>
    </xf>
    <xf numFmtId="4" fontId="12" fillId="0" borderId="17" xfId="0" applyNumberFormat="1" applyFont="1" applyBorder="1" applyAlignment="1" applyProtection="1">
      <alignment vertical="center"/>
      <protection hidden="1"/>
    </xf>
    <xf numFmtId="4" fontId="12" fillId="10" borderId="17" xfId="0" applyNumberFormat="1" applyFont="1" applyFill="1" applyBorder="1" applyAlignment="1" applyProtection="1">
      <alignment vertical="center"/>
      <protection hidden="1"/>
    </xf>
    <xf numFmtId="4" fontId="12" fillId="0" borderId="18" xfId="0" applyNumberFormat="1" applyFont="1" applyBorder="1" applyAlignment="1" applyProtection="1">
      <alignment vertical="center"/>
      <protection hidden="1"/>
    </xf>
    <xf numFmtId="4" fontId="12" fillId="0" borderId="87" xfId="0" applyNumberFormat="1" applyFont="1" applyBorder="1" applyAlignment="1" applyProtection="1">
      <alignment vertical="center"/>
      <protection hidden="1"/>
    </xf>
    <xf numFmtId="4" fontId="12" fillId="10" borderId="94" xfId="0" applyNumberFormat="1" applyFont="1" applyFill="1" applyBorder="1" applyAlignment="1" applyProtection="1">
      <alignment vertical="center"/>
      <protection hidden="1"/>
    </xf>
    <xf numFmtId="4" fontId="12" fillId="10" borderId="18" xfId="0" applyNumberFormat="1" applyFont="1" applyFill="1" applyBorder="1" applyAlignment="1" applyProtection="1">
      <alignment vertical="center"/>
      <protection hidden="1"/>
    </xf>
    <xf numFmtId="166" fontId="12" fillId="10" borderId="16" xfId="0" applyNumberFormat="1" applyFont="1" applyFill="1" applyBorder="1" applyAlignment="1" applyProtection="1">
      <alignment horizontal="center" vertical="center"/>
      <protection hidden="1"/>
    </xf>
    <xf numFmtId="166" fontId="12" fillId="0" borderId="102" xfId="0" applyNumberFormat="1" applyFont="1" applyBorder="1" applyAlignment="1" applyProtection="1">
      <alignment horizontal="center" vertical="center"/>
      <protection hidden="1"/>
    </xf>
    <xf numFmtId="166" fontId="12" fillId="10" borderId="61" xfId="0" applyNumberFormat="1" applyFont="1" applyFill="1" applyBorder="1" applyAlignment="1" applyProtection="1">
      <alignment horizontal="center" vertical="center"/>
      <protection hidden="1"/>
    </xf>
    <xf numFmtId="166" fontId="12" fillId="10" borderId="23" xfId="0" applyNumberFormat="1" applyFont="1" applyFill="1" applyBorder="1" applyAlignment="1" applyProtection="1">
      <alignment horizontal="center" vertical="center"/>
      <protection hidden="1"/>
    </xf>
    <xf numFmtId="166" fontId="12" fillId="0" borderId="17" xfId="0" applyNumberFormat="1" applyFont="1" applyBorder="1" applyAlignment="1" applyProtection="1">
      <alignment horizontal="center" vertical="center"/>
      <protection hidden="1"/>
    </xf>
    <xf numFmtId="166" fontId="12" fillId="10" borderId="18" xfId="0" applyNumberFormat="1" applyFont="1" applyFill="1" applyBorder="1" applyAlignment="1" applyProtection="1">
      <alignment horizontal="center" vertical="center"/>
      <protection hidden="1"/>
    </xf>
    <xf numFmtId="1" fontId="12" fillId="0" borderId="23" xfId="0" applyNumberFormat="1" applyFont="1" applyBorder="1" applyAlignment="1" applyProtection="1">
      <alignment horizontal="center" vertical="center"/>
      <protection hidden="1"/>
    </xf>
    <xf numFmtId="0" fontId="23" fillId="0" borderId="123" xfId="0" applyFont="1" applyBorder="1" applyAlignment="1" applyProtection="1">
      <alignment horizontal="left" vertical="center" wrapText="1" indent="1"/>
      <protection hidden="1"/>
    </xf>
    <xf numFmtId="0" fontId="12" fillId="5" borderId="74" xfId="0" applyFont="1" applyFill="1" applyBorder="1" applyAlignment="1" applyProtection="1">
      <alignment vertical="center"/>
      <protection hidden="1"/>
    </xf>
    <xf numFmtId="0" fontId="12" fillId="5" borderId="42" xfId="0" applyFont="1" applyFill="1" applyBorder="1" applyAlignment="1" applyProtection="1">
      <alignment vertical="center"/>
      <protection hidden="1"/>
    </xf>
    <xf numFmtId="0" fontId="12" fillId="5" borderId="73" xfId="0" applyFont="1" applyFill="1" applyBorder="1" applyAlignment="1" applyProtection="1">
      <alignment vertical="center"/>
      <protection hidden="1"/>
    </xf>
    <xf numFmtId="0" fontId="35" fillId="0" borderId="0" xfId="0" applyFont="1" applyAlignment="1">
      <alignment vertical="center"/>
    </xf>
    <xf numFmtId="0" fontId="35" fillId="0" borderId="0" xfId="0" applyFont="1" applyAlignment="1">
      <alignment horizontal="center" vertical="center"/>
    </xf>
    <xf numFmtId="0" fontId="35" fillId="0" borderId="0" xfId="0" applyFont="1" applyAlignment="1" applyProtection="1">
      <alignment vertical="center"/>
      <protection hidden="1"/>
    </xf>
    <xf numFmtId="4" fontId="13" fillId="5" borderId="56" xfId="0" applyNumberFormat="1" applyFont="1" applyFill="1" applyBorder="1" applyAlignment="1">
      <alignment vertical="center"/>
    </xf>
    <xf numFmtId="4" fontId="12" fillId="4" borderId="19" xfId="0" applyNumberFormat="1" applyFont="1" applyFill="1" applyBorder="1" applyAlignment="1" applyProtection="1">
      <alignment vertical="center"/>
      <protection locked="0"/>
    </xf>
    <xf numFmtId="4" fontId="12" fillId="4" borderId="20" xfId="0" applyNumberFormat="1" applyFont="1" applyFill="1" applyBorder="1" applyAlignment="1" applyProtection="1">
      <alignment vertical="center"/>
      <protection locked="0"/>
    </xf>
    <xf numFmtId="4" fontId="12" fillId="4" borderId="21" xfId="0" applyNumberFormat="1" applyFont="1" applyFill="1" applyBorder="1" applyAlignment="1" applyProtection="1">
      <alignment vertical="center"/>
      <protection locked="0"/>
    </xf>
    <xf numFmtId="0" fontId="12" fillId="4" borderId="51" xfId="0" applyFont="1" applyFill="1" applyBorder="1" applyAlignment="1" applyProtection="1">
      <alignment vertical="center" wrapText="1"/>
      <protection locked="0"/>
    </xf>
    <xf numFmtId="166" fontId="12" fillId="10" borderId="19" xfId="0" applyNumberFormat="1" applyFont="1" applyFill="1" applyBorder="1" applyAlignment="1" applyProtection="1">
      <alignment horizontal="center" vertical="center"/>
      <protection hidden="1"/>
    </xf>
    <xf numFmtId="166" fontId="12" fillId="0" borderId="11" xfId="0" applyNumberFormat="1" applyFont="1" applyBorder="1" applyAlignment="1" applyProtection="1">
      <alignment horizontal="center" vertical="center"/>
      <protection hidden="1"/>
    </xf>
    <xf numFmtId="166" fontId="12" fillId="10" borderId="21" xfId="0" applyNumberFormat="1" applyFont="1" applyFill="1" applyBorder="1" applyAlignment="1" applyProtection="1">
      <alignment horizontal="center" vertical="center"/>
      <protection hidden="1"/>
    </xf>
    <xf numFmtId="4" fontId="13" fillId="5" borderId="56" xfId="0" applyNumberFormat="1" applyFont="1" applyFill="1" applyBorder="1" applyAlignment="1" applyProtection="1">
      <alignment vertical="center"/>
      <protection hidden="1"/>
    </xf>
    <xf numFmtId="4" fontId="12" fillId="0" borderId="31" xfId="0" applyNumberFormat="1" applyFont="1" applyBorder="1" applyAlignment="1" applyProtection="1">
      <alignment vertical="center"/>
      <protection hidden="1"/>
    </xf>
    <xf numFmtId="4" fontId="12" fillId="0" borderId="21" xfId="0" applyNumberFormat="1" applyFont="1" applyBorder="1" applyAlignment="1" applyProtection="1">
      <alignment vertical="center"/>
      <protection hidden="1"/>
    </xf>
    <xf numFmtId="4" fontId="12" fillId="10" borderId="13" xfId="0" applyNumberFormat="1" applyFont="1" applyFill="1" applyBorder="1" applyAlignment="1" applyProtection="1">
      <alignment vertical="center"/>
      <protection hidden="1"/>
    </xf>
    <xf numFmtId="166" fontId="12" fillId="0" borderId="20" xfId="0" applyNumberFormat="1" applyFont="1" applyBorder="1" applyAlignment="1" applyProtection="1">
      <alignment horizontal="center" vertical="center"/>
      <protection hidden="1"/>
    </xf>
    <xf numFmtId="166" fontId="12" fillId="4" borderId="15" xfId="0" applyNumberFormat="1" applyFont="1" applyFill="1" applyBorder="1" applyAlignment="1" applyProtection="1">
      <alignment horizontal="center" vertical="center"/>
      <protection locked="0"/>
    </xf>
    <xf numFmtId="0" fontId="12" fillId="4" borderId="52" xfId="0" applyFont="1" applyFill="1" applyBorder="1" applyAlignment="1" applyProtection="1">
      <alignment vertical="center" wrapText="1"/>
      <protection locked="0"/>
    </xf>
    <xf numFmtId="4" fontId="12" fillId="10" borderId="29" xfId="0" applyNumberFormat="1" applyFont="1" applyFill="1" applyBorder="1" applyAlignment="1" applyProtection="1">
      <alignment vertical="center"/>
      <protection hidden="1"/>
    </xf>
    <xf numFmtId="4" fontId="12" fillId="4" borderId="63" xfId="0" applyNumberFormat="1" applyFont="1" applyFill="1" applyBorder="1" applyAlignment="1" applyProtection="1">
      <alignment vertical="center"/>
      <protection locked="0"/>
    </xf>
    <xf numFmtId="4" fontId="12" fillId="10" borderId="14" xfId="0" applyNumberFormat="1" applyFont="1" applyFill="1" applyBorder="1" applyAlignment="1" applyProtection="1">
      <alignment vertical="center"/>
      <protection hidden="1"/>
    </xf>
    <xf numFmtId="4" fontId="12" fillId="0" borderId="4" xfId="0" applyNumberFormat="1" applyFont="1" applyBorder="1" applyAlignment="1" applyProtection="1">
      <alignment vertical="center"/>
      <protection hidden="1"/>
    </xf>
    <xf numFmtId="4" fontId="12" fillId="10" borderId="4" xfId="0" applyNumberFormat="1" applyFont="1" applyFill="1" applyBorder="1" applyAlignment="1" applyProtection="1">
      <alignment vertical="center"/>
      <protection hidden="1"/>
    </xf>
    <xf numFmtId="4" fontId="12" fillId="10" borderId="32" xfId="0" applyNumberFormat="1" applyFont="1" applyFill="1" applyBorder="1" applyAlignment="1" applyProtection="1">
      <alignment vertical="center"/>
      <protection hidden="1"/>
    </xf>
    <xf numFmtId="4" fontId="12" fillId="0" borderId="32" xfId="0" applyNumberFormat="1" applyFont="1" applyBorder="1" applyAlignment="1" applyProtection="1">
      <alignment vertical="center"/>
      <protection hidden="1"/>
    </xf>
    <xf numFmtId="166" fontId="12" fillId="4" borderId="17" xfId="0" applyNumberFormat="1" applyFont="1" applyFill="1" applyBorder="1" applyAlignment="1" applyProtection="1">
      <alignment horizontal="center" vertical="center"/>
      <protection locked="0"/>
    </xf>
    <xf numFmtId="166" fontId="12" fillId="4" borderId="18" xfId="0" applyNumberFormat="1" applyFont="1" applyFill="1" applyBorder="1" applyAlignment="1" applyProtection="1">
      <alignment horizontal="center" vertical="center"/>
      <protection locked="0"/>
    </xf>
    <xf numFmtId="4" fontId="13" fillId="5" borderId="0" xfId="0" applyNumberFormat="1" applyFont="1" applyFill="1" applyAlignment="1">
      <alignment vertical="center"/>
    </xf>
    <xf numFmtId="4" fontId="12" fillId="10" borderId="16" xfId="0" applyNumberFormat="1" applyFont="1" applyFill="1" applyBorder="1" applyAlignment="1" applyProtection="1">
      <alignment vertical="center"/>
      <protection hidden="1"/>
    </xf>
    <xf numFmtId="4" fontId="12" fillId="0" borderId="35" xfId="0" applyNumberFormat="1" applyFont="1" applyBorder="1" applyAlignment="1" applyProtection="1">
      <alignment vertical="center"/>
      <protection hidden="1"/>
    </xf>
    <xf numFmtId="4" fontId="12" fillId="10" borderId="61" xfId="0" applyNumberFormat="1" applyFont="1" applyFill="1" applyBorder="1" applyAlignment="1" applyProtection="1">
      <alignment vertical="center"/>
      <protection hidden="1"/>
    </xf>
    <xf numFmtId="4" fontId="12" fillId="0" borderId="83" xfId="0" applyNumberFormat="1" applyFont="1" applyBorder="1" applyAlignment="1" applyProtection="1">
      <alignment vertical="center"/>
      <protection hidden="1"/>
    </xf>
    <xf numFmtId="0" fontId="13" fillId="10" borderId="16" xfId="0" applyFont="1" applyFill="1" applyBorder="1" applyAlignment="1" applyProtection="1">
      <alignment horizontal="center" vertical="center" wrapText="1"/>
      <protection hidden="1"/>
    </xf>
    <xf numFmtId="0" fontId="13" fillId="10" borderId="61" xfId="0" applyFont="1" applyFill="1" applyBorder="1" applyAlignment="1" applyProtection="1">
      <alignment horizontal="center" vertical="center" wrapText="1"/>
      <protection hidden="1"/>
    </xf>
    <xf numFmtId="4" fontId="12" fillId="0" borderId="85" xfId="0" applyNumberFormat="1" applyFont="1" applyBorder="1" applyAlignment="1" applyProtection="1">
      <alignment horizontal="center" vertical="center"/>
      <protection hidden="1"/>
    </xf>
    <xf numFmtId="4" fontId="12" fillId="0" borderId="86" xfId="0" applyNumberFormat="1" applyFont="1" applyBorder="1" applyAlignment="1" applyProtection="1">
      <alignment horizontal="center" vertical="center"/>
      <protection hidden="1"/>
    </xf>
    <xf numFmtId="1" fontId="12" fillId="0" borderId="22" xfId="0" applyNumberFormat="1" applyFont="1" applyBorder="1" applyAlignment="1" applyProtection="1">
      <alignment horizontal="center" vertical="center" wrapText="1"/>
      <protection hidden="1"/>
    </xf>
    <xf numFmtId="4" fontId="12" fillId="10" borderId="23" xfId="0" applyNumberFormat="1" applyFont="1" applyFill="1" applyBorder="1" applyAlignment="1" applyProtection="1">
      <alignment horizontal="right" vertical="center"/>
      <protection hidden="1"/>
    </xf>
    <xf numFmtId="4" fontId="12" fillId="0" borderId="17" xfId="0" applyNumberFormat="1" applyFont="1" applyBorder="1" applyAlignment="1" applyProtection="1">
      <alignment horizontal="right" vertical="center"/>
      <protection hidden="1"/>
    </xf>
    <xf numFmtId="4" fontId="12" fillId="10" borderId="18" xfId="0" applyNumberFormat="1" applyFont="1" applyFill="1" applyBorder="1" applyAlignment="1" applyProtection="1">
      <alignment horizontal="right" vertical="center"/>
      <protection hidden="1"/>
    </xf>
    <xf numFmtId="4" fontId="12" fillId="0" borderId="87" xfId="0" applyNumberFormat="1" applyFont="1" applyBorder="1" applyAlignment="1" applyProtection="1">
      <alignment horizontal="center" vertical="center"/>
      <protection hidden="1"/>
    </xf>
    <xf numFmtId="166" fontId="12" fillId="0" borderId="35" xfId="0" applyNumberFormat="1" applyFont="1" applyBorder="1" applyAlignment="1" applyProtection="1">
      <alignment horizontal="center" vertical="center"/>
      <protection hidden="1"/>
    </xf>
    <xf numFmtId="1" fontId="12" fillId="0" borderId="23" xfId="0" applyNumberFormat="1" applyFont="1" applyBorder="1" applyAlignment="1" applyProtection="1">
      <alignment horizontal="center" vertical="center" wrapText="1"/>
      <protection hidden="1"/>
    </xf>
    <xf numFmtId="0" fontId="11" fillId="0" borderId="0" xfId="0" applyFont="1" applyAlignment="1">
      <alignment horizontal="right" vertical="center"/>
    </xf>
    <xf numFmtId="0" fontId="11" fillId="0" borderId="0" xfId="0" applyFont="1" applyAlignment="1">
      <alignment horizontal="left" vertical="center"/>
    </xf>
    <xf numFmtId="0" fontId="11" fillId="0" borderId="0" xfId="0" applyFont="1" applyAlignment="1">
      <alignment vertical="center"/>
    </xf>
    <xf numFmtId="0" fontId="11" fillId="0" borderId="0" xfId="0" applyFont="1" applyAlignment="1" applyProtection="1">
      <alignment horizontal="right" vertical="center"/>
      <protection hidden="1"/>
    </xf>
    <xf numFmtId="0" fontId="11" fillId="0" borderId="0" xfId="0" applyFont="1" applyAlignment="1" applyProtection="1">
      <alignment horizontal="left" vertical="center"/>
      <protection hidden="1"/>
    </xf>
    <xf numFmtId="0" fontId="11" fillId="0" borderId="0" xfId="0" applyFont="1" applyAlignment="1" applyProtection="1">
      <alignment vertical="center"/>
      <protection hidden="1"/>
    </xf>
    <xf numFmtId="0" fontId="13" fillId="0" borderId="0" xfId="0" applyFont="1" applyAlignment="1" applyProtection="1">
      <alignment horizontal="right" vertical="center"/>
      <protection hidden="1"/>
    </xf>
    <xf numFmtId="0" fontId="13" fillId="0" borderId="0" xfId="0" applyFont="1" applyAlignment="1" applyProtection="1">
      <alignment horizontal="left" vertical="center"/>
      <protection hidden="1"/>
    </xf>
    <xf numFmtId="0" fontId="18" fillId="0" borderId="0" xfId="0" applyFont="1" applyAlignment="1">
      <alignment horizontal="left" vertical="center"/>
    </xf>
    <xf numFmtId="0" fontId="21" fillId="0" borderId="9" xfId="0" applyFont="1" applyBorder="1" applyAlignment="1">
      <alignment vertical="center"/>
    </xf>
    <xf numFmtId="0" fontId="21" fillId="0" borderId="10" xfId="0" applyFont="1" applyBorder="1" applyAlignment="1">
      <alignment vertical="center"/>
    </xf>
    <xf numFmtId="0" fontId="4" fillId="0" borderId="0" xfId="0" applyFont="1" applyAlignment="1">
      <alignment vertical="center"/>
    </xf>
    <xf numFmtId="4" fontId="13" fillId="4" borderId="21" xfId="0" applyNumberFormat="1" applyFont="1" applyFill="1" applyBorder="1" applyAlignment="1" applyProtection="1">
      <alignment vertical="center"/>
      <protection locked="0"/>
    </xf>
    <xf numFmtId="4" fontId="13" fillId="4" borderId="15" xfId="0" applyNumberFormat="1" applyFont="1" applyFill="1" applyBorder="1" applyAlignment="1" applyProtection="1">
      <alignment vertical="center"/>
      <protection locked="0"/>
    </xf>
    <xf numFmtId="4" fontId="13" fillId="4" borderId="18" xfId="0" applyNumberFormat="1" applyFont="1" applyFill="1" applyBorder="1" applyAlignment="1" applyProtection="1">
      <alignment vertical="center"/>
      <protection locked="0"/>
    </xf>
    <xf numFmtId="0" fontId="12" fillId="4" borderId="132" xfId="0" applyFont="1" applyFill="1" applyBorder="1" applyAlignment="1" applyProtection="1">
      <alignment vertical="center" wrapText="1"/>
      <protection locked="0"/>
    </xf>
    <xf numFmtId="4" fontId="12" fillId="4" borderId="32" xfId="0" applyNumberFormat="1" applyFont="1" applyFill="1" applyBorder="1" applyAlignment="1" applyProtection="1">
      <alignment horizontal="right" vertical="center"/>
      <protection locked="0"/>
    </xf>
    <xf numFmtId="4" fontId="12" fillId="0" borderId="0" xfId="0" applyNumberFormat="1" applyFont="1" applyAlignment="1" applyProtection="1">
      <alignment horizontal="right" vertical="center"/>
      <protection hidden="1"/>
    </xf>
    <xf numFmtId="4" fontId="12" fillId="0" borderId="0" xfId="0" applyNumberFormat="1" applyFont="1" applyAlignment="1" applyProtection="1">
      <alignment horizontal="center" vertical="center"/>
      <protection hidden="1"/>
    </xf>
    <xf numFmtId="0" fontId="39" fillId="10" borderId="142" xfId="0" applyFont="1" applyFill="1" applyBorder="1" applyAlignment="1">
      <alignment vertical="top"/>
    </xf>
    <xf numFmtId="0" fontId="39" fillId="10" borderId="156" xfId="0" applyFont="1" applyFill="1" applyBorder="1" applyAlignment="1">
      <alignment vertical="top"/>
    </xf>
    <xf numFmtId="0" fontId="39" fillId="10" borderId="159" xfId="0" applyFont="1" applyFill="1" applyBorder="1" applyAlignment="1">
      <alignment vertical="top"/>
    </xf>
    <xf numFmtId="0" fontId="39" fillId="10" borderId="161" xfId="0" applyFont="1" applyFill="1" applyBorder="1" applyAlignment="1">
      <alignment vertical="top"/>
    </xf>
    <xf numFmtId="0" fontId="33" fillId="11" borderId="17" xfId="0" applyFont="1" applyFill="1" applyBorder="1" applyAlignment="1">
      <alignment horizontal="center" vertical="center" wrapText="1"/>
    </xf>
    <xf numFmtId="0" fontId="34" fillId="11" borderId="17" xfId="0" applyFont="1" applyFill="1" applyBorder="1" applyAlignment="1">
      <alignment horizontal="center" vertical="center" wrapText="1"/>
    </xf>
    <xf numFmtId="0" fontId="21" fillId="0" borderId="0" xfId="0" applyFont="1" applyAlignment="1">
      <alignment vertical="center"/>
    </xf>
    <xf numFmtId="0" fontId="37" fillId="0" borderId="166" xfId="0" applyFont="1" applyBorder="1" applyAlignment="1">
      <alignment horizontal="left" vertical="center"/>
    </xf>
    <xf numFmtId="0" fontId="37" fillId="0" borderId="167" xfId="0" applyFont="1" applyBorder="1" applyAlignment="1">
      <alignment horizontal="left" vertical="center"/>
    </xf>
    <xf numFmtId="10" fontId="12" fillId="4" borderId="170" xfId="1" applyNumberFormat="1" applyFont="1" applyFill="1" applyBorder="1" applyAlignment="1" applyProtection="1">
      <alignment vertical="center"/>
      <protection locked="0"/>
    </xf>
    <xf numFmtId="10" fontId="12" fillId="4" borderId="171" xfId="1" applyNumberFormat="1" applyFont="1" applyFill="1" applyBorder="1" applyAlignment="1" applyProtection="1">
      <alignment vertical="center"/>
      <protection locked="0"/>
    </xf>
    <xf numFmtId="0" fontId="37" fillId="0" borderId="169" xfId="0" applyFont="1" applyBorder="1" applyAlignment="1">
      <alignment vertical="center"/>
    </xf>
    <xf numFmtId="0" fontId="37" fillId="0" borderId="3" xfId="0" applyFont="1" applyBorder="1" applyAlignment="1">
      <alignment vertical="center"/>
    </xf>
    <xf numFmtId="0" fontId="33" fillId="11" borderId="23" xfId="0" applyFont="1" applyFill="1" applyBorder="1" applyAlignment="1">
      <alignment horizontal="center" vertical="center" wrapText="1"/>
    </xf>
    <xf numFmtId="0" fontId="12" fillId="14" borderId="30" xfId="0" applyFont="1" applyFill="1" applyBorder="1" applyAlignment="1" applyProtection="1">
      <alignment vertical="center"/>
      <protection locked="0"/>
    </xf>
    <xf numFmtId="0" fontId="12" fillId="14" borderId="29" xfId="0" applyFont="1" applyFill="1" applyBorder="1" applyAlignment="1" applyProtection="1">
      <alignment vertical="center"/>
      <protection locked="0"/>
    </xf>
    <xf numFmtId="0" fontId="12" fillId="14" borderId="22" xfId="0" applyFont="1" applyFill="1" applyBorder="1" applyAlignment="1" applyProtection="1">
      <alignment vertical="center"/>
      <protection locked="0"/>
    </xf>
    <xf numFmtId="0" fontId="12" fillId="14" borderId="15" xfId="0" applyFont="1" applyFill="1" applyBorder="1" applyAlignment="1" applyProtection="1">
      <alignment vertical="center"/>
      <protection locked="0"/>
    </xf>
    <xf numFmtId="0" fontId="12" fillId="14" borderId="14" xfId="0" applyFont="1" applyFill="1" applyBorder="1" applyAlignment="1" applyProtection="1">
      <alignment vertical="center"/>
      <protection locked="0"/>
    </xf>
    <xf numFmtId="0" fontId="12" fillId="14" borderId="63" xfId="0" applyFont="1" applyFill="1" applyBorder="1" applyAlignment="1" applyProtection="1">
      <alignment vertical="center"/>
      <protection locked="0"/>
    </xf>
    <xf numFmtId="0" fontId="12" fillId="4" borderId="184" xfId="0" applyFont="1" applyFill="1" applyBorder="1" applyAlignment="1" applyProtection="1">
      <alignment vertical="center"/>
      <protection locked="0"/>
    </xf>
    <xf numFmtId="0" fontId="12" fillId="4" borderId="185" xfId="0" applyFont="1" applyFill="1" applyBorder="1" applyAlignment="1" applyProtection="1">
      <alignment vertical="center"/>
      <protection locked="0"/>
    </xf>
    <xf numFmtId="0" fontId="12" fillId="4" borderId="186" xfId="0" applyFont="1" applyFill="1" applyBorder="1" applyAlignment="1" applyProtection="1">
      <alignment vertical="center"/>
      <protection locked="0"/>
    </xf>
    <xf numFmtId="0" fontId="14" fillId="11" borderId="17" xfId="0" applyFont="1" applyFill="1" applyBorder="1" applyAlignment="1">
      <alignment horizontal="center" vertical="center" wrapText="1"/>
    </xf>
    <xf numFmtId="0" fontId="14" fillId="11" borderId="18" xfId="0" applyFont="1" applyFill="1" applyBorder="1" applyAlignment="1">
      <alignment horizontal="center" vertical="center" wrapText="1"/>
    </xf>
    <xf numFmtId="0" fontId="12" fillId="4" borderId="190" xfId="0" applyFont="1" applyFill="1" applyBorder="1" applyAlignment="1" applyProtection="1">
      <alignment vertical="center"/>
      <protection locked="0"/>
    </xf>
    <xf numFmtId="0" fontId="12" fillId="4" borderId="191" xfId="0" applyFont="1" applyFill="1" applyBorder="1" applyAlignment="1" applyProtection="1">
      <alignment vertical="center"/>
      <protection locked="0"/>
    </xf>
    <xf numFmtId="0" fontId="12" fillId="4" borderId="189" xfId="0" applyFont="1" applyFill="1" applyBorder="1" applyAlignment="1" applyProtection="1">
      <alignment vertical="center"/>
      <protection locked="0"/>
    </xf>
    <xf numFmtId="0" fontId="12" fillId="14" borderId="23" xfId="0" applyFont="1" applyFill="1" applyBorder="1" applyAlignment="1" applyProtection="1">
      <alignment vertical="center"/>
      <protection locked="0"/>
    </xf>
    <xf numFmtId="0" fontId="12" fillId="14" borderId="18" xfId="0" applyFont="1" applyFill="1" applyBorder="1" applyAlignment="1" applyProtection="1">
      <alignment vertical="center"/>
      <protection locked="0"/>
    </xf>
    <xf numFmtId="0" fontId="12" fillId="10" borderId="194" xfId="0" applyFont="1" applyFill="1" applyBorder="1" applyAlignment="1">
      <alignment vertical="center"/>
    </xf>
    <xf numFmtId="0" fontId="12" fillId="10" borderId="24" xfId="0" applyFont="1" applyFill="1" applyBorder="1" applyAlignment="1">
      <alignment vertical="center"/>
    </xf>
    <xf numFmtId="0" fontId="12" fillId="10" borderId="25" xfId="0" applyFont="1" applyFill="1" applyBorder="1" applyAlignment="1">
      <alignment vertical="center"/>
    </xf>
    <xf numFmtId="0" fontId="12" fillId="10" borderId="55" xfId="0" applyFont="1" applyFill="1" applyBorder="1" applyAlignment="1">
      <alignment vertical="center"/>
    </xf>
    <xf numFmtId="0" fontId="12" fillId="10" borderId="195" xfId="0" applyFont="1" applyFill="1" applyBorder="1" applyAlignment="1">
      <alignment vertical="center"/>
    </xf>
    <xf numFmtId="0" fontId="12" fillId="10" borderId="172" xfId="0" applyFont="1" applyFill="1" applyBorder="1" applyAlignment="1">
      <alignment vertical="center"/>
    </xf>
    <xf numFmtId="166" fontId="12" fillId="4" borderId="84" xfId="0" applyNumberFormat="1" applyFont="1" applyFill="1" applyBorder="1" applyAlignment="1" applyProtection="1">
      <alignment horizontal="center" vertical="center"/>
      <protection locked="0"/>
    </xf>
    <xf numFmtId="166" fontId="12" fillId="4" borderId="5" xfId="0" applyNumberFormat="1" applyFont="1" applyFill="1" applyBorder="1" applyAlignment="1" applyProtection="1">
      <alignment horizontal="center" vertical="center"/>
      <protection locked="0"/>
    </xf>
    <xf numFmtId="166" fontId="12" fillId="4" borderId="2" xfId="0" applyNumberFormat="1" applyFont="1" applyFill="1" applyBorder="1" applyAlignment="1" applyProtection="1">
      <alignment horizontal="center" vertical="center"/>
      <protection locked="0"/>
    </xf>
    <xf numFmtId="0" fontId="12" fillId="2" borderId="206" xfId="0" applyFont="1" applyFill="1" applyBorder="1" applyAlignment="1">
      <alignment vertical="center"/>
    </xf>
    <xf numFmtId="0" fontId="12" fillId="10" borderId="0" xfId="0" applyFont="1" applyFill="1" applyAlignment="1">
      <alignment vertical="center"/>
    </xf>
    <xf numFmtId="0" fontId="12" fillId="10" borderId="201" xfId="0" applyFont="1" applyFill="1" applyBorder="1" applyAlignment="1">
      <alignment vertical="center"/>
    </xf>
    <xf numFmtId="0" fontId="12" fillId="10" borderId="168" xfId="0" applyFont="1" applyFill="1" applyBorder="1" applyAlignment="1">
      <alignment vertical="center"/>
    </xf>
    <xf numFmtId="0" fontId="12" fillId="5" borderId="57" xfId="0" applyFont="1" applyFill="1" applyBorder="1" applyAlignment="1">
      <alignment vertical="center"/>
    </xf>
    <xf numFmtId="0" fontId="12" fillId="5" borderId="27" xfId="0" applyFont="1" applyFill="1" applyBorder="1" applyAlignment="1">
      <alignment vertical="center"/>
    </xf>
    <xf numFmtId="0" fontId="12" fillId="5" borderId="28" xfId="0" applyFont="1" applyFill="1" applyBorder="1" applyAlignment="1">
      <alignment vertical="center"/>
    </xf>
    <xf numFmtId="0" fontId="12" fillId="5" borderId="0" xfId="0" applyFont="1" applyFill="1" applyAlignment="1" applyProtection="1">
      <alignment vertical="center"/>
      <protection hidden="1"/>
    </xf>
    <xf numFmtId="0" fontId="12" fillId="2" borderId="0" xfId="0" applyFont="1" applyFill="1" applyAlignment="1">
      <alignment vertical="center"/>
    </xf>
    <xf numFmtId="0" fontId="12" fillId="5" borderId="76" xfId="0" applyFont="1" applyFill="1" applyBorder="1" applyAlignment="1">
      <alignment vertical="center"/>
    </xf>
    <xf numFmtId="0" fontId="12" fillId="2" borderId="199" xfId="0" applyFont="1" applyFill="1" applyBorder="1" applyAlignment="1">
      <alignment vertical="center"/>
    </xf>
    <xf numFmtId="0" fontId="12" fillId="0" borderId="10" xfId="0" applyFont="1" applyBorder="1" applyAlignment="1">
      <alignment horizontal="center" vertical="center"/>
    </xf>
    <xf numFmtId="0" fontId="12" fillId="2" borderId="207" xfId="0" applyFont="1" applyFill="1" applyBorder="1" applyAlignment="1">
      <alignment vertical="center"/>
    </xf>
    <xf numFmtId="0" fontId="35" fillId="2" borderId="201" xfId="0" applyFont="1" applyFill="1" applyBorder="1" applyAlignment="1">
      <alignment vertical="center"/>
    </xf>
    <xf numFmtId="0" fontId="12" fillId="4" borderId="6" xfId="0" applyFont="1" applyFill="1" applyBorder="1" applyAlignment="1" applyProtection="1">
      <alignment vertical="center" wrapText="1"/>
      <protection locked="0"/>
    </xf>
    <xf numFmtId="0" fontId="12" fillId="4" borderId="9" xfId="0" applyFont="1" applyFill="1" applyBorder="1" applyAlignment="1" applyProtection="1">
      <alignment vertical="center" wrapText="1"/>
      <protection locked="0"/>
    </xf>
    <xf numFmtId="0" fontId="12" fillId="4" borderId="104" xfId="0" applyFont="1" applyFill="1" applyBorder="1" applyAlignment="1" applyProtection="1">
      <alignment vertical="center" wrapText="1"/>
      <protection locked="0"/>
    </xf>
    <xf numFmtId="0" fontId="12" fillId="2" borderId="201" xfId="0" applyFont="1" applyFill="1" applyBorder="1" applyAlignment="1">
      <alignment vertical="center"/>
    </xf>
    <xf numFmtId="0" fontId="12" fillId="2" borderId="187" xfId="0" applyFont="1" applyFill="1" applyBorder="1" applyAlignment="1">
      <alignment vertical="center"/>
    </xf>
    <xf numFmtId="0" fontId="13" fillId="2" borderId="207" xfId="0" applyFont="1" applyFill="1" applyBorder="1" applyAlignment="1">
      <alignment vertical="center" wrapText="1"/>
    </xf>
    <xf numFmtId="0" fontId="12" fillId="2" borderId="165" xfId="0" applyFont="1" applyFill="1" applyBorder="1" applyAlignment="1">
      <alignment vertical="center"/>
    </xf>
    <xf numFmtId="0" fontId="17" fillId="0" borderId="0" xfId="0" applyFont="1" applyAlignment="1" applyProtection="1">
      <alignment horizontal="left" vertical="center"/>
      <protection hidden="1"/>
    </xf>
    <xf numFmtId="0" fontId="11" fillId="2" borderId="54" xfId="0" applyFont="1" applyFill="1" applyBorder="1" applyAlignment="1" applyProtection="1">
      <alignment vertical="center"/>
      <protection hidden="1"/>
    </xf>
    <xf numFmtId="0" fontId="12" fillId="0" borderId="49" xfId="0" applyFont="1" applyBorder="1" applyAlignment="1" applyProtection="1">
      <alignment vertical="center"/>
      <protection hidden="1"/>
    </xf>
    <xf numFmtId="0" fontId="12" fillId="15" borderId="49" xfId="0" applyFont="1" applyFill="1" applyBorder="1" applyAlignment="1" applyProtection="1">
      <alignment vertical="center"/>
      <protection hidden="1"/>
    </xf>
    <xf numFmtId="0" fontId="12" fillId="15" borderId="0" xfId="0" applyFont="1" applyFill="1" applyAlignment="1" applyProtection="1">
      <alignment vertical="center"/>
      <protection hidden="1"/>
    </xf>
    <xf numFmtId="0" fontId="12" fillId="15" borderId="27" xfId="0" applyFont="1" applyFill="1" applyBorder="1" applyAlignment="1" applyProtection="1">
      <alignment vertical="center"/>
      <protection hidden="1"/>
    </xf>
    <xf numFmtId="10" fontId="12" fillId="16" borderId="17" xfId="0" applyNumberFormat="1" applyFont="1" applyFill="1" applyBorder="1" applyAlignment="1" applyProtection="1">
      <alignment vertical="center"/>
      <protection hidden="1"/>
    </xf>
    <xf numFmtId="0" fontId="31" fillId="10" borderId="18" xfId="0" applyFont="1" applyFill="1" applyBorder="1" applyAlignment="1" applyProtection="1">
      <alignment horizontal="center" vertical="center" wrapText="1"/>
      <protection hidden="1"/>
    </xf>
    <xf numFmtId="0" fontId="14" fillId="11" borderId="17" xfId="0" applyFont="1" applyFill="1" applyBorder="1" applyAlignment="1" applyProtection="1">
      <alignment horizontal="center" vertical="center" wrapText="1"/>
      <protection hidden="1"/>
    </xf>
    <xf numFmtId="0" fontId="5" fillId="10" borderId="107" xfId="0" applyFont="1" applyFill="1" applyBorder="1" applyAlignment="1" applyProtection="1">
      <alignment horizontal="center" vertical="center"/>
      <protection hidden="1"/>
    </xf>
    <xf numFmtId="0" fontId="5" fillId="10" borderId="124" xfId="0" applyFont="1" applyFill="1" applyBorder="1" applyAlignment="1" applyProtection="1">
      <alignment horizontal="center" vertical="center"/>
      <protection hidden="1"/>
    </xf>
    <xf numFmtId="0" fontId="12" fillId="10" borderId="41" xfId="0" applyFont="1" applyFill="1" applyBorder="1" applyAlignment="1" applyProtection="1">
      <alignment vertical="center"/>
      <protection hidden="1"/>
    </xf>
    <xf numFmtId="0" fontId="12" fillId="10" borderId="42" xfId="0" applyFont="1" applyFill="1" applyBorder="1" applyAlignment="1" applyProtection="1">
      <alignment vertical="center"/>
      <protection hidden="1"/>
    </xf>
    <xf numFmtId="0" fontId="12" fillId="10" borderId="208" xfId="0" applyFont="1" applyFill="1" applyBorder="1" applyAlignment="1" applyProtection="1">
      <alignment vertical="center"/>
      <protection hidden="1"/>
    </xf>
    <xf numFmtId="0" fontId="12" fillId="10" borderId="24" xfId="0" applyFont="1" applyFill="1" applyBorder="1" applyAlignment="1" applyProtection="1">
      <alignment vertical="center"/>
      <protection hidden="1"/>
    </xf>
    <xf numFmtId="0" fontId="12" fillId="10" borderId="25" xfId="0" applyFont="1" applyFill="1" applyBorder="1" applyAlignment="1" applyProtection="1">
      <alignment vertical="center"/>
      <protection hidden="1"/>
    </xf>
    <xf numFmtId="0" fontId="12" fillId="10" borderId="50" xfId="0" applyFont="1" applyFill="1" applyBorder="1" applyAlignment="1" applyProtection="1">
      <alignment vertical="center"/>
      <protection hidden="1"/>
    </xf>
    <xf numFmtId="0" fontId="12" fillId="10" borderId="43" xfId="0" applyFont="1" applyFill="1" applyBorder="1" applyAlignment="1" applyProtection="1">
      <alignment vertical="center"/>
      <protection hidden="1"/>
    </xf>
    <xf numFmtId="0" fontId="12" fillId="10" borderId="55" xfId="0" applyFont="1" applyFill="1" applyBorder="1" applyAlignment="1" applyProtection="1">
      <alignment vertical="center"/>
      <protection hidden="1"/>
    </xf>
    <xf numFmtId="0" fontId="12" fillId="10" borderId="209" xfId="0" applyFont="1" applyFill="1" applyBorder="1" applyAlignment="1" applyProtection="1">
      <alignment vertical="center"/>
      <protection hidden="1"/>
    </xf>
    <xf numFmtId="4" fontId="12" fillId="10" borderId="87" xfId="0" applyNumberFormat="1" applyFont="1" applyFill="1" applyBorder="1" applyAlignment="1" applyProtection="1">
      <alignment vertical="center"/>
      <protection hidden="1"/>
    </xf>
    <xf numFmtId="0" fontId="13" fillId="11" borderId="69" xfId="0" applyFont="1" applyFill="1" applyBorder="1" applyAlignment="1" applyProtection="1">
      <alignment horizontal="center" vertical="center"/>
      <protection hidden="1"/>
    </xf>
    <xf numFmtId="0" fontId="13" fillId="11" borderId="39" xfId="0" applyFont="1" applyFill="1" applyBorder="1" applyAlignment="1" applyProtection="1">
      <alignment horizontal="center" vertical="center"/>
      <protection hidden="1"/>
    </xf>
    <xf numFmtId="0" fontId="13" fillId="11" borderId="188" xfId="0" applyFont="1" applyFill="1" applyBorder="1" applyAlignment="1">
      <alignment horizontal="center" vertical="center"/>
    </xf>
    <xf numFmtId="0" fontId="13" fillId="11" borderId="191" xfId="0" applyFont="1" applyFill="1" applyBorder="1" applyAlignment="1">
      <alignment horizontal="center" vertical="center"/>
    </xf>
    <xf numFmtId="0" fontId="13" fillId="11" borderId="204" xfId="0" applyFont="1" applyFill="1" applyBorder="1" applyAlignment="1">
      <alignment horizontal="center" vertical="center"/>
    </xf>
    <xf numFmtId="0" fontId="13" fillId="11" borderId="114" xfId="0" applyFont="1" applyFill="1" applyBorder="1" applyAlignment="1" applyProtection="1">
      <alignment horizontal="center" vertical="center"/>
      <protection hidden="1"/>
    </xf>
    <xf numFmtId="0" fontId="12" fillId="10" borderId="0" xfId="0" applyFont="1" applyFill="1" applyAlignment="1" applyProtection="1">
      <alignment vertical="center"/>
      <protection hidden="1"/>
    </xf>
    <xf numFmtId="0" fontId="12" fillId="10" borderId="128" xfId="0" applyFont="1" applyFill="1" applyBorder="1" applyAlignment="1" applyProtection="1">
      <alignment vertical="center"/>
      <protection hidden="1"/>
    </xf>
    <xf numFmtId="0" fontId="12" fillId="2" borderId="50" xfId="0" applyFont="1" applyFill="1" applyBorder="1" applyAlignment="1" applyProtection="1">
      <alignment vertical="center"/>
      <protection hidden="1"/>
    </xf>
    <xf numFmtId="0" fontId="12" fillId="2" borderId="42" xfId="0" applyFont="1" applyFill="1" applyBorder="1" applyAlignment="1" applyProtection="1">
      <alignment vertical="center"/>
      <protection hidden="1"/>
    </xf>
    <xf numFmtId="0" fontId="12" fillId="2" borderId="43" xfId="0" applyFont="1" applyFill="1" applyBorder="1" applyAlignment="1" applyProtection="1">
      <alignment vertical="center"/>
      <protection hidden="1"/>
    </xf>
    <xf numFmtId="4" fontId="12" fillId="10" borderId="130" xfId="0" applyNumberFormat="1" applyFont="1" applyFill="1" applyBorder="1" applyAlignment="1" applyProtection="1">
      <alignment vertical="center"/>
      <protection hidden="1"/>
    </xf>
    <xf numFmtId="4" fontId="12" fillId="10" borderId="85" xfId="0" applyNumberFormat="1" applyFont="1" applyFill="1" applyBorder="1" applyAlignment="1" applyProtection="1">
      <alignment vertical="center"/>
      <protection hidden="1"/>
    </xf>
    <xf numFmtId="0" fontId="12" fillId="10" borderId="26" xfId="0" applyFont="1" applyFill="1" applyBorder="1" applyAlignment="1" applyProtection="1">
      <alignment vertical="center"/>
      <protection hidden="1"/>
    </xf>
    <xf numFmtId="4" fontId="12" fillId="10" borderId="86" xfId="0" applyNumberFormat="1" applyFont="1" applyFill="1" applyBorder="1" applyAlignment="1" applyProtection="1">
      <alignment vertical="center"/>
      <protection hidden="1"/>
    </xf>
    <xf numFmtId="4" fontId="12" fillId="10" borderId="98" xfId="0" applyNumberFormat="1" applyFont="1" applyFill="1" applyBorder="1" applyAlignment="1" applyProtection="1">
      <alignment vertical="center"/>
      <protection hidden="1"/>
    </xf>
    <xf numFmtId="4" fontId="12" fillId="10" borderId="83" xfId="0" applyNumberFormat="1" applyFont="1" applyFill="1" applyBorder="1" applyAlignment="1" applyProtection="1">
      <alignment vertical="center"/>
      <protection hidden="1"/>
    </xf>
    <xf numFmtId="0" fontId="12" fillId="5" borderId="56" xfId="0" applyFont="1" applyFill="1" applyBorder="1" applyAlignment="1" applyProtection="1">
      <alignment vertical="center"/>
      <protection hidden="1"/>
    </xf>
    <xf numFmtId="0" fontId="12" fillId="5" borderId="24" xfId="0" applyFont="1" applyFill="1" applyBorder="1" applyAlignment="1" applyProtection="1">
      <alignment vertical="center"/>
      <protection hidden="1"/>
    </xf>
    <xf numFmtId="0" fontId="12" fillId="5" borderId="26" xfId="0" applyFont="1" applyFill="1" applyBorder="1" applyAlignment="1" applyProtection="1">
      <alignment vertical="center"/>
      <protection hidden="1"/>
    </xf>
    <xf numFmtId="1" fontId="12" fillId="10" borderId="19" xfId="0" applyNumberFormat="1" applyFont="1" applyFill="1" applyBorder="1" applyAlignment="1" applyProtection="1">
      <alignment horizontal="center" vertical="center"/>
      <protection hidden="1"/>
    </xf>
    <xf numFmtId="1" fontId="12" fillId="10" borderId="22" xfId="0" applyNumberFormat="1" applyFont="1" applyFill="1" applyBorder="1" applyAlignment="1" applyProtection="1">
      <alignment horizontal="center" vertical="center"/>
      <protection hidden="1"/>
    </xf>
    <xf numFmtId="1" fontId="12" fillId="10" borderId="23" xfId="0" applyNumberFormat="1" applyFont="1" applyFill="1" applyBorder="1" applyAlignment="1" applyProtection="1">
      <alignment horizontal="center" vertical="center"/>
      <protection hidden="1"/>
    </xf>
    <xf numFmtId="1" fontId="12" fillId="10" borderId="22" xfId="0" applyNumberFormat="1" applyFont="1" applyFill="1" applyBorder="1" applyAlignment="1" applyProtection="1">
      <alignment horizontal="center" vertical="center" wrapText="1"/>
      <protection hidden="1"/>
    </xf>
    <xf numFmtId="1" fontId="12" fillId="10" borderId="23" xfId="0" applyNumberFormat="1"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0" fontId="12" fillId="0" borderId="0" xfId="0" applyFont="1" applyAlignment="1" applyProtection="1">
      <alignment horizontal="right" vertical="center"/>
      <protection hidden="1"/>
    </xf>
    <xf numFmtId="0" fontId="13" fillId="11" borderId="85" xfId="0" applyFont="1" applyFill="1" applyBorder="1" applyAlignment="1" applyProtection="1">
      <alignment horizontal="center" vertical="center" wrapText="1"/>
      <protection hidden="1"/>
    </xf>
    <xf numFmtId="0" fontId="31" fillId="11" borderId="23" xfId="0" applyFont="1" applyFill="1" applyBorder="1" applyAlignment="1" applyProtection="1">
      <alignment horizontal="center" vertical="center" wrapText="1"/>
      <protection hidden="1"/>
    </xf>
    <xf numFmtId="0" fontId="31" fillId="11" borderId="18" xfId="0" applyFont="1" applyFill="1" applyBorder="1" applyAlignment="1" applyProtection="1">
      <alignment horizontal="center" vertical="center" wrapText="1"/>
      <protection hidden="1"/>
    </xf>
    <xf numFmtId="0" fontId="14" fillId="11" borderId="23" xfId="0" applyFont="1" applyFill="1" applyBorder="1" applyAlignment="1" applyProtection="1">
      <alignment horizontal="center" vertical="center" wrapText="1"/>
      <protection hidden="1"/>
    </xf>
    <xf numFmtId="0" fontId="14" fillId="11" borderId="18" xfId="0" applyFont="1" applyFill="1" applyBorder="1" applyAlignment="1" applyProtection="1">
      <alignment horizontal="center" vertical="center" wrapText="1"/>
      <protection hidden="1"/>
    </xf>
    <xf numFmtId="0" fontId="14" fillId="11" borderId="87" xfId="0" applyFont="1" applyFill="1" applyBorder="1" applyAlignment="1" applyProtection="1">
      <alignment horizontal="center" vertical="center" wrapText="1"/>
      <protection hidden="1"/>
    </xf>
    <xf numFmtId="0" fontId="13" fillId="11" borderId="12" xfId="0" applyFont="1" applyFill="1" applyBorder="1" applyAlignment="1" applyProtection="1">
      <alignment vertical="center"/>
      <protection hidden="1"/>
    </xf>
    <xf numFmtId="10" fontId="12" fillId="0" borderId="85" xfId="1" applyNumberFormat="1" applyFont="1" applyFill="1" applyBorder="1" applyAlignment="1" applyProtection="1">
      <alignment horizontal="right" vertical="center" indent="1"/>
      <protection hidden="1"/>
    </xf>
    <xf numFmtId="4" fontId="12" fillId="0" borderId="31" xfId="0" applyNumberFormat="1" applyFont="1" applyBorder="1" applyAlignment="1" applyProtection="1">
      <alignment horizontal="right" vertical="center" indent="1"/>
      <protection hidden="1"/>
    </xf>
    <xf numFmtId="4" fontId="13" fillId="0" borderId="21" xfId="0" applyNumberFormat="1" applyFont="1" applyBorder="1" applyAlignment="1" applyProtection="1">
      <alignment horizontal="right" vertical="center" indent="1"/>
      <protection hidden="1"/>
    </xf>
    <xf numFmtId="4" fontId="12" fillId="0" borderId="19" xfId="0" applyNumberFormat="1" applyFont="1" applyBorder="1" applyAlignment="1" applyProtection="1">
      <alignment horizontal="right" vertical="center" indent="1"/>
      <protection hidden="1"/>
    </xf>
    <xf numFmtId="4" fontId="13" fillId="0" borderId="85" xfId="0" applyNumberFormat="1" applyFont="1" applyBorder="1" applyAlignment="1" applyProtection="1">
      <alignment horizontal="right" vertical="center" indent="1"/>
      <protection hidden="1"/>
    </xf>
    <xf numFmtId="4" fontId="13" fillId="0" borderId="13" xfId="0" applyNumberFormat="1" applyFont="1" applyBorder="1" applyAlignment="1" applyProtection="1">
      <alignment horizontal="right" vertical="center" indent="1"/>
      <protection hidden="1"/>
    </xf>
    <xf numFmtId="4" fontId="12" fillId="0" borderId="1" xfId="0" applyNumberFormat="1" applyFont="1" applyBorder="1" applyAlignment="1" applyProtection="1">
      <alignment horizontal="center" vertical="center"/>
      <protection hidden="1"/>
    </xf>
    <xf numFmtId="0" fontId="13" fillId="11" borderId="62" xfId="0" applyFont="1" applyFill="1" applyBorder="1" applyAlignment="1" applyProtection="1">
      <alignment vertical="center"/>
      <protection hidden="1"/>
    </xf>
    <xf numFmtId="10" fontId="12" fillId="0" borderId="86" xfId="1" applyNumberFormat="1" applyFont="1" applyFill="1" applyBorder="1" applyAlignment="1" applyProtection="1">
      <alignment horizontal="right" vertical="center" indent="1"/>
      <protection hidden="1"/>
    </xf>
    <xf numFmtId="4" fontId="12" fillId="0" borderId="10" xfId="0" applyNumberFormat="1" applyFont="1" applyBorder="1" applyAlignment="1" applyProtection="1">
      <alignment horizontal="right" vertical="center" indent="1"/>
      <protection hidden="1"/>
    </xf>
    <xf numFmtId="4" fontId="13" fillId="0" borderId="15" xfId="0" applyNumberFormat="1" applyFont="1" applyBorder="1" applyAlignment="1" applyProtection="1">
      <alignment horizontal="right" vertical="center" indent="1"/>
      <protection hidden="1"/>
    </xf>
    <xf numFmtId="4" fontId="12" fillId="0" borderId="22" xfId="0" applyNumberFormat="1" applyFont="1" applyBorder="1" applyAlignment="1" applyProtection="1">
      <alignment horizontal="right" vertical="center" indent="1"/>
      <protection hidden="1"/>
    </xf>
    <xf numFmtId="4" fontId="13" fillId="0" borderId="86" xfId="0" applyNumberFormat="1" applyFont="1" applyBorder="1" applyAlignment="1" applyProtection="1">
      <alignment horizontal="right" vertical="center" indent="1"/>
      <protection hidden="1"/>
    </xf>
    <xf numFmtId="4" fontId="13" fillId="0" borderId="80" xfId="0" applyNumberFormat="1" applyFont="1" applyBorder="1" applyAlignment="1" applyProtection="1">
      <alignment horizontal="right" vertical="center" indent="1"/>
      <protection hidden="1"/>
    </xf>
    <xf numFmtId="10" fontId="12" fillId="0" borderId="0" xfId="0" applyNumberFormat="1" applyFont="1" applyAlignment="1" applyProtection="1">
      <alignment horizontal="left" vertical="center"/>
      <protection hidden="1"/>
    </xf>
    <xf numFmtId="4" fontId="12" fillId="0" borderId="0" xfId="0" applyNumberFormat="1" applyFont="1" applyAlignment="1" applyProtection="1">
      <alignment horizontal="left" vertical="center"/>
      <protection hidden="1"/>
    </xf>
    <xf numFmtId="0" fontId="13" fillId="11" borderId="81" xfId="0" applyFont="1" applyFill="1" applyBorder="1" applyAlignment="1" applyProtection="1">
      <alignment vertical="center"/>
      <protection hidden="1"/>
    </xf>
    <xf numFmtId="10" fontId="12" fillId="0" borderId="87" xfId="1" applyNumberFormat="1" applyFont="1" applyFill="1" applyBorder="1" applyAlignment="1" applyProtection="1">
      <alignment horizontal="right" vertical="center" indent="1"/>
      <protection hidden="1"/>
    </xf>
    <xf numFmtId="4" fontId="12" fillId="0" borderId="94" xfId="0" applyNumberFormat="1" applyFont="1" applyBorder="1" applyAlignment="1" applyProtection="1">
      <alignment horizontal="right" vertical="center" indent="1"/>
      <protection hidden="1"/>
    </xf>
    <xf numFmtId="4" fontId="13" fillId="0" borderId="18" xfId="0" applyNumberFormat="1" applyFont="1" applyBorder="1" applyAlignment="1" applyProtection="1">
      <alignment horizontal="right" vertical="center" indent="1"/>
      <protection hidden="1"/>
    </xf>
    <xf numFmtId="4" fontId="12" fillId="0" borderId="23" xfId="0" applyNumberFormat="1" applyFont="1" applyBorder="1" applyAlignment="1" applyProtection="1">
      <alignment horizontal="right" vertical="center" indent="1"/>
      <protection hidden="1"/>
    </xf>
    <xf numFmtId="4" fontId="13" fillId="0" borderId="87" xfId="0" applyNumberFormat="1" applyFont="1" applyBorder="1" applyAlignment="1" applyProtection="1">
      <alignment horizontal="right" vertical="center" indent="1"/>
      <protection hidden="1"/>
    </xf>
    <xf numFmtId="4" fontId="13" fillId="0" borderId="78" xfId="0" applyNumberFormat="1" applyFont="1" applyBorder="1" applyAlignment="1" applyProtection="1">
      <alignment horizontal="right" vertical="center" indent="1"/>
      <protection hidden="1"/>
    </xf>
    <xf numFmtId="0" fontId="12" fillId="0" borderId="0" xfId="0" applyFont="1" applyAlignment="1" applyProtection="1">
      <alignment horizontal="right" vertical="center" indent="1"/>
      <protection hidden="1"/>
    </xf>
    <xf numFmtId="0" fontId="25" fillId="0" borderId="0" xfId="0" applyFont="1" applyAlignment="1" applyProtection="1">
      <alignment vertical="center"/>
      <protection hidden="1"/>
    </xf>
    <xf numFmtId="0" fontId="12" fillId="0" borderId="75" xfId="0" applyFont="1" applyBorder="1" applyAlignment="1" applyProtection="1">
      <alignment vertical="center"/>
      <protection hidden="1"/>
    </xf>
    <xf numFmtId="0" fontId="12" fillId="0" borderId="76" xfId="0" applyFont="1" applyBorder="1" applyAlignment="1" applyProtection="1">
      <alignment vertical="center"/>
      <protection hidden="1"/>
    </xf>
    <xf numFmtId="0" fontId="37" fillId="0" borderId="76" xfId="0" applyFont="1" applyBorder="1" applyAlignment="1" applyProtection="1">
      <alignment horizontal="right" vertical="center" indent="1"/>
      <protection hidden="1"/>
    </xf>
    <xf numFmtId="4" fontId="37" fillId="0" borderId="77" xfId="0" applyNumberFormat="1" applyFont="1" applyBorder="1" applyAlignment="1" applyProtection="1">
      <alignment horizontal="right" vertical="center" indent="1"/>
      <protection hidden="1"/>
    </xf>
    <xf numFmtId="0" fontId="37" fillId="0" borderId="77" xfId="0" applyFont="1" applyBorder="1" applyAlignment="1" applyProtection="1">
      <alignment horizontal="right" vertical="center" indent="1"/>
      <protection hidden="1"/>
    </xf>
    <xf numFmtId="4" fontId="11" fillId="0" borderId="0" xfId="0" applyNumberFormat="1" applyFont="1" applyAlignment="1" applyProtection="1">
      <alignment horizontal="right" vertical="center"/>
      <protection hidden="1"/>
    </xf>
    <xf numFmtId="0" fontId="37" fillId="0" borderId="75" xfId="0" applyFont="1" applyBorder="1" applyAlignment="1" applyProtection="1">
      <alignment horizontal="right" vertical="center"/>
      <protection hidden="1"/>
    </xf>
    <xf numFmtId="0" fontId="12" fillId="0" borderId="1" xfId="0" applyFont="1" applyBorder="1" applyAlignment="1" applyProtection="1">
      <alignment horizontal="left" vertical="center" indent="1"/>
      <protection hidden="1"/>
    </xf>
    <xf numFmtId="4" fontId="12" fillId="0" borderId="1" xfId="0" applyNumberFormat="1" applyFont="1" applyBorder="1" applyAlignment="1" applyProtection="1">
      <alignment horizontal="right" vertical="center" indent="1"/>
      <protection hidden="1"/>
    </xf>
    <xf numFmtId="0" fontId="12" fillId="0" borderId="0" xfId="0" applyFont="1" applyAlignment="1" applyProtection="1">
      <alignment horizontal="left" vertical="center" indent="1"/>
      <protection hidden="1"/>
    </xf>
    <xf numFmtId="4" fontId="12" fillId="0" borderId="0" xfId="0" applyNumberFormat="1" applyFont="1" applyAlignment="1" applyProtection="1">
      <alignment horizontal="right" vertical="center" indent="1"/>
      <protection hidden="1"/>
    </xf>
    <xf numFmtId="0" fontId="18" fillId="0" borderId="0" xfId="0" applyFont="1" applyAlignment="1" applyProtection="1">
      <alignment horizontal="right" vertical="center"/>
      <protection hidden="1"/>
    </xf>
    <xf numFmtId="4" fontId="17" fillId="0" borderId="0" xfId="0" applyNumberFormat="1" applyFont="1" applyAlignment="1" applyProtection="1">
      <alignment horizontal="right" vertical="center"/>
      <protection hidden="1"/>
    </xf>
    <xf numFmtId="0" fontId="13" fillId="11" borderId="1" xfId="0" applyFont="1" applyFill="1" applyBorder="1" applyAlignment="1" applyProtection="1">
      <alignment horizontal="center" vertical="center"/>
      <protection hidden="1"/>
    </xf>
    <xf numFmtId="4" fontId="13" fillId="11" borderId="1" xfId="0" applyNumberFormat="1" applyFont="1" applyFill="1" applyBorder="1" applyAlignment="1" applyProtection="1">
      <alignment horizontal="center" vertical="center"/>
      <protection hidden="1"/>
    </xf>
    <xf numFmtId="0" fontId="37" fillId="0" borderId="0" xfId="0" applyFont="1" applyAlignment="1" applyProtection="1">
      <alignment horizontal="right" vertical="center"/>
      <protection hidden="1"/>
    </xf>
    <xf numFmtId="4" fontId="37" fillId="0" borderId="0" xfId="0" applyNumberFormat="1" applyFont="1" applyAlignment="1" applyProtection="1">
      <alignment horizontal="right" vertical="center" indent="1"/>
      <protection hidden="1"/>
    </xf>
    <xf numFmtId="0" fontId="41" fillId="0" borderId="0" xfId="0" applyFont="1" applyAlignment="1" applyProtection="1">
      <alignment horizontal="left" vertical="center"/>
      <protection hidden="1"/>
    </xf>
    <xf numFmtId="4" fontId="17" fillId="0" borderId="0" xfId="0" applyNumberFormat="1" applyFont="1" applyAlignment="1" applyProtection="1">
      <alignment horizontal="left" vertical="center"/>
      <protection hidden="1"/>
    </xf>
    <xf numFmtId="0" fontId="9" fillId="0" borderId="0" xfId="0" applyFont="1" applyAlignment="1">
      <alignment horizontal="center"/>
    </xf>
    <xf numFmtId="0" fontId="9" fillId="0" borderId="0" xfId="0" applyFont="1" applyAlignment="1" applyProtection="1">
      <alignment horizontal="center" vertical="center"/>
      <protection hidden="1"/>
    </xf>
    <xf numFmtId="0" fontId="13" fillId="11" borderId="83" xfId="0" applyFont="1" applyFill="1" applyBorder="1" applyAlignment="1" applyProtection="1">
      <alignment horizontal="center" vertical="center"/>
      <protection hidden="1"/>
    </xf>
    <xf numFmtId="0" fontId="7" fillId="11" borderId="1" xfId="2" applyFont="1" applyFill="1" applyBorder="1" applyAlignment="1" applyProtection="1">
      <alignment horizontal="center" vertical="center"/>
      <protection hidden="1"/>
    </xf>
    <xf numFmtId="0" fontId="44" fillId="4" borderId="1" xfId="0" applyFont="1" applyFill="1" applyBorder="1" applyAlignment="1" applyProtection="1">
      <alignment horizontal="left" vertical="center"/>
      <protection hidden="1"/>
    </xf>
    <xf numFmtId="0" fontId="4" fillId="0" borderId="0" xfId="0" applyFont="1" applyProtection="1">
      <protection hidden="1"/>
    </xf>
    <xf numFmtId="0" fontId="4" fillId="0" borderId="0" xfId="0" applyFont="1" applyAlignment="1" applyProtection="1">
      <alignment horizontal="center"/>
      <protection hidden="1"/>
    </xf>
    <xf numFmtId="0" fontId="4" fillId="0" borderId="0" xfId="0" applyFont="1" applyProtection="1">
      <protection locked="0" hidden="1"/>
    </xf>
    <xf numFmtId="0" fontId="6" fillId="0" borderId="0" xfId="0" applyFont="1" applyAlignment="1" applyProtection="1">
      <alignment horizontal="left" vertical="center"/>
      <protection hidden="1"/>
    </xf>
    <xf numFmtId="0" fontId="4" fillId="0" borderId="1" xfId="0" applyFont="1" applyBorder="1" applyAlignment="1" applyProtection="1">
      <alignment horizontal="center"/>
      <protection hidden="1"/>
    </xf>
    <xf numFmtId="17" fontId="4" fillId="8" borderId="32" xfId="0" applyNumberFormat="1" applyFont="1" applyFill="1" applyBorder="1" applyAlignment="1" applyProtection="1">
      <alignment horizontal="center"/>
      <protection hidden="1"/>
    </xf>
    <xf numFmtId="17" fontId="4" fillId="0" borderId="32" xfId="0" applyNumberFormat="1" applyFont="1" applyBorder="1" applyAlignment="1" applyProtection="1">
      <alignment horizontal="center"/>
      <protection hidden="1"/>
    </xf>
    <xf numFmtId="0" fontId="4" fillId="0" borderId="32" xfId="0" applyFont="1" applyBorder="1" applyAlignment="1" applyProtection="1">
      <alignment horizontal="center"/>
      <protection hidden="1"/>
    </xf>
    <xf numFmtId="17" fontId="4" fillId="0" borderId="33" xfId="0" applyNumberFormat="1" applyFont="1" applyBorder="1" applyAlignment="1" applyProtection="1">
      <alignment horizontal="center"/>
      <protection hidden="1"/>
    </xf>
    <xf numFmtId="0" fontId="4" fillId="0" borderId="1" xfId="0" applyFont="1" applyBorder="1" applyProtection="1">
      <protection hidden="1"/>
    </xf>
    <xf numFmtId="0" fontId="4" fillId="0" borderId="33" xfId="0" applyFont="1" applyBorder="1" applyAlignment="1" applyProtection="1">
      <alignment horizontal="center"/>
      <protection hidden="1"/>
    </xf>
    <xf numFmtId="0" fontId="4" fillId="0" borderId="20" xfId="0" applyFont="1" applyBorder="1" applyAlignment="1" applyProtection="1">
      <alignment vertical="center"/>
      <protection hidden="1"/>
    </xf>
    <xf numFmtId="166" fontId="4" fillId="0" borderId="1" xfId="0" quotePrefix="1" applyNumberFormat="1" applyFont="1" applyBorder="1" applyAlignment="1" applyProtection="1">
      <alignment horizontal="center" vertical="center"/>
      <protection hidden="1"/>
    </xf>
    <xf numFmtId="0" fontId="4" fillId="0" borderId="11" xfId="0" applyFont="1" applyBorder="1" applyAlignment="1" applyProtection="1">
      <alignment vertical="center"/>
      <protection hidden="1"/>
    </xf>
    <xf numFmtId="0" fontId="4" fillId="0" borderId="80" xfId="0" applyFont="1" applyBorder="1" applyAlignment="1" applyProtection="1">
      <alignment vertical="center"/>
      <protection hidden="1"/>
    </xf>
    <xf numFmtId="0" fontId="4" fillId="0" borderId="11" xfId="0" applyFont="1" applyBorder="1" applyAlignment="1" applyProtection="1">
      <alignment horizontal="center"/>
      <protection hidden="1"/>
    </xf>
    <xf numFmtId="0" fontId="4" fillId="0" borderId="87" xfId="0" applyFont="1" applyBorder="1" applyAlignment="1" applyProtection="1">
      <alignment vertical="center"/>
      <protection hidden="1"/>
    </xf>
    <xf numFmtId="0" fontId="4" fillId="0" borderId="17" xfId="0" applyFont="1" applyBorder="1" applyAlignment="1" applyProtection="1">
      <alignment vertical="center"/>
      <protection hidden="1"/>
    </xf>
    <xf numFmtId="0" fontId="4" fillId="0" borderId="78" xfId="0" applyFont="1" applyBorder="1" applyAlignment="1" applyProtection="1">
      <alignment vertical="center"/>
      <protection hidden="1"/>
    </xf>
    <xf numFmtId="14" fontId="4" fillId="0" borderId="0" xfId="0" applyNumberFormat="1" applyFont="1" applyAlignment="1" applyProtection="1">
      <alignment vertical="center"/>
      <protection hidden="1"/>
    </xf>
    <xf numFmtId="0" fontId="5" fillId="9" borderId="97" xfId="0" applyFont="1" applyFill="1" applyBorder="1" applyAlignment="1" applyProtection="1">
      <alignment horizontal="center" vertical="center"/>
      <protection hidden="1"/>
    </xf>
    <xf numFmtId="0" fontId="5" fillId="6" borderId="97" xfId="0" applyFont="1" applyFill="1" applyBorder="1" applyAlignment="1" applyProtection="1">
      <alignment horizontal="center" vertical="center"/>
      <protection hidden="1"/>
    </xf>
    <xf numFmtId="166" fontId="4" fillId="8" borderId="1" xfId="0" quotePrefix="1" applyNumberFormat="1" applyFont="1" applyFill="1" applyBorder="1" applyAlignment="1" applyProtection="1">
      <alignment horizontal="center" vertical="center"/>
      <protection hidden="1"/>
    </xf>
    <xf numFmtId="0" fontId="5" fillId="9" borderId="75" xfId="0" applyFont="1" applyFill="1" applyBorder="1" applyAlignment="1" applyProtection="1">
      <alignment horizontal="center" vertical="center"/>
      <protection hidden="1"/>
    </xf>
    <xf numFmtId="0" fontId="5" fillId="2" borderId="88" xfId="0" applyFont="1" applyFill="1" applyBorder="1" applyAlignment="1" applyProtection="1">
      <alignment horizontal="center" vertical="center"/>
      <protection hidden="1"/>
    </xf>
    <xf numFmtId="0" fontId="5" fillId="2" borderId="89" xfId="0" applyFont="1" applyFill="1" applyBorder="1" applyAlignment="1" applyProtection="1">
      <alignment horizontal="center" vertical="center"/>
      <protection hidden="1"/>
    </xf>
    <xf numFmtId="0" fontId="5" fillId="2" borderId="90" xfId="0" applyFont="1" applyFill="1" applyBorder="1" applyAlignment="1" applyProtection="1">
      <alignment horizontal="center" vertical="center"/>
      <protection hidden="1"/>
    </xf>
    <xf numFmtId="0" fontId="5" fillId="6" borderId="75" xfId="0" applyFont="1" applyFill="1" applyBorder="1" applyAlignment="1" applyProtection="1">
      <alignment horizontal="center" vertical="center"/>
      <protection hidden="1"/>
    </xf>
    <xf numFmtId="0" fontId="4" fillId="2" borderId="85" xfId="0" applyFont="1" applyFill="1" applyBorder="1" applyAlignment="1" applyProtection="1">
      <alignment vertical="center"/>
      <protection hidden="1"/>
    </xf>
    <xf numFmtId="4" fontId="4" fillId="0" borderId="31" xfId="0" applyNumberFormat="1" applyFont="1" applyBorder="1" applyAlignment="1" applyProtection="1">
      <alignment vertical="center"/>
      <protection hidden="1"/>
    </xf>
    <xf numFmtId="4" fontId="4" fillId="0" borderId="20" xfId="0" quotePrefix="1" applyNumberFormat="1" applyFont="1" applyBorder="1" applyAlignment="1" applyProtection="1">
      <alignment vertical="center"/>
      <protection hidden="1"/>
    </xf>
    <xf numFmtId="4" fontId="4" fillId="0" borderId="21" xfId="0" applyNumberFormat="1" applyFont="1" applyBorder="1" applyAlignment="1" applyProtection="1">
      <alignment vertical="center"/>
      <protection hidden="1"/>
    </xf>
    <xf numFmtId="4" fontId="4" fillId="0" borderId="19" xfId="0" quotePrefix="1" applyNumberFormat="1" applyFont="1" applyBorder="1" applyAlignment="1" applyProtection="1">
      <alignment vertical="center"/>
      <protection hidden="1"/>
    </xf>
    <xf numFmtId="166" fontId="4" fillId="0" borderId="20" xfId="0" quotePrefix="1" applyNumberFormat="1" applyFont="1" applyBorder="1" applyAlignment="1" applyProtection="1">
      <alignment vertical="center"/>
      <protection hidden="1"/>
    </xf>
    <xf numFmtId="166" fontId="4" fillId="0" borderId="21" xfId="0" quotePrefix="1" applyNumberFormat="1" applyFont="1" applyBorder="1" applyAlignment="1" applyProtection="1">
      <alignment vertical="center"/>
      <protection hidden="1"/>
    </xf>
    <xf numFmtId="4" fontId="4" fillId="0" borderId="19" xfId="0" applyNumberFormat="1" applyFont="1" applyBorder="1" applyAlignment="1" applyProtection="1">
      <alignment vertical="center"/>
      <protection hidden="1"/>
    </xf>
    <xf numFmtId="166" fontId="4" fillId="0" borderId="19" xfId="0" applyNumberFormat="1" applyFont="1" applyBorder="1" applyAlignment="1" applyProtection="1">
      <alignment horizontal="center" vertical="center"/>
      <protection hidden="1"/>
    </xf>
    <xf numFmtId="166" fontId="4" fillId="0" borderId="20" xfId="0" applyNumberFormat="1" applyFont="1" applyBorder="1" applyAlignment="1" applyProtection="1">
      <alignment horizontal="center" vertical="center"/>
      <protection hidden="1"/>
    </xf>
    <xf numFmtId="0" fontId="4" fillId="0" borderId="21" xfId="0" applyFont="1" applyBorder="1" applyAlignment="1" applyProtection="1">
      <alignment horizontal="center" vertical="center"/>
      <protection hidden="1"/>
    </xf>
    <xf numFmtId="0" fontId="4" fillId="0" borderId="13" xfId="0" applyFont="1" applyBorder="1" applyAlignment="1" applyProtection="1">
      <alignment vertical="center"/>
      <protection hidden="1"/>
    </xf>
    <xf numFmtId="0" fontId="4" fillId="0" borderId="19" xfId="0" applyFont="1" applyBorder="1" applyAlignment="1" applyProtection="1">
      <alignment horizontal="left" vertical="center"/>
      <protection hidden="1"/>
    </xf>
    <xf numFmtId="0" fontId="4" fillId="0" borderId="20" xfId="0" applyFont="1" applyBorder="1" applyAlignment="1" applyProtection="1">
      <alignment horizontal="center" vertical="center"/>
      <protection hidden="1"/>
    </xf>
    <xf numFmtId="4" fontId="4" fillId="0" borderId="20" xfId="0" applyNumberFormat="1" applyFont="1" applyBorder="1" applyAlignment="1" applyProtection="1">
      <alignment vertical="center"/>
      <protection hidden="1"/>
    </xf>
    <xf numFmtId="166" fontId="4" fillId="0" borderId="11" xfId="0" quotePrefix="1" applyNumberFormat="1" applyFont="1" applyBorder="1" applyAlignment="1" applyProtection="1">
      <alignment vertical="center"/>
      <protection hidden="1"/>
    </xf>
    <xf numFmtId="4" fontId="4" fillId="0" borderId="11" xfId="0" applyNumberFormat="1" applyFont="1" applyBorder="1" applyAlignment="1" applyProtection="1">
      <alignment vertical="center"/>
      <protection hidden="1"/>
    </xf>
    <xf numFmtId="0" fontId="4" fillId="2" borderId="86" xfId="0" applyFont="1" applyFill="1" applyBorder="1" applyAlignment="1" applyProtection="1">
      <alignment vertical="center"/>
      <protection hidden="1"/>
    </xf>
    <xf numFmtId="4" fontId="4" fillId="0" borderId="10" xfId="0" applyNumberFormat="1" applyFont="1" applyBorder="1" applyAlignment="1" applyProtection="1">
      <alignment vertical="center"/>
      <protection hidden="1"/>
    </xf>
    <xf numFmtId="4" fontId="4" fillId="0" borderId="1" xfId="0" quotePrefix="1" applyNumberFormat="1" applyFont="1" applyBorder="1" applyAlignment="1" applyProtection="1">
      <alignment vertical="center"/>
      <protection hidden="1"/>
    </xf>
    <xf numFmtId="4" fontId="4" fillId="0" borderId="15" xfId="0" applyNumberFormat="1" applyFont="1" applyBorder="1" applyAlignment="1" applyProtection="1">
      <alignment vertical="center"/>
      <protection hidden="1"/>
    </xf>
    <xf numFmtId="4" fontId="4" fillId="0" borderId="22" xfId="0" quotePrefix="1" applyNumberFormat="1" applyFont="1" applyBorder="1" applyAlignment="1" applyProtection="1">
      <alignment vertical="center"/>
      <protection hidden="1"/>
    </xf>
    <xf numFmtId="166" fontId="4" fillId="0" borderId="1" xfId="0" quotePrefix="1" applyNumberFormat="1" applyFont="1" applyBorder="1" applyAlignment="1" applyProtection="1">
      <alignment vertical="center"/>
      <protection hidden="1"/>
    </xf>
    <xf numFmtId="166" fontId="4" fillId="0" borderId="15" xfId="0" quotePrefix="1" applyNumberFormat="1" applyFont="1" applyBorder="1" applyAlignment="1" applyProtection="1">
      <alignment vertical="center"/>
      <protection hidden="1"/>
    </xf>
    <xf numFmtId="4" fontId="4" fillId="0" borderId="22" xfId="0" applyNumberFormat="1" applyFont="1" applyBorder="1" applyAlignment="1" applyProtection="1">
      <alignment vertical="center"/>
      <protection hidden="1"/>
    </xf>
    <xf numFmtId="166" fontId="4" fillId="0" borderId="22" xfId="0" applyNumberFormat="1" applyFont="1" applyBorder="1" applyAlignment="1" applyProtection="1">
      <alignment horizontal="center" vertical="center"/>
      <protection hidden="1"/>
    </xf>
    <xf numFmtId="166" fontId="4" fillId="0" borderId="1" xfId="0" applyNumberFormat="1"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4" fillId="0" borderId="22" xfId="0" applyFont="1" applyBorder="1" applyAlignment="1" applyProtection="1">
      <alignment horizontal="left" vertical="center"/>
      <protection hidden="1"/>
    </xf>
    <xf numFmtId="4" fontId="4" fillId="0" borderId="1" xfId="0" applyNumberFormat="1" applyFont="1" applyBorder="1" applyAlignment="1" applyProtection="1">
      <alignment vertical="center"/>
      <protection hidden="1"/>
    </xf>
    <xf numFmtId="0" fontId="4" fillId="2" borderId="87" xfId="0" applyFont="1" applyFill="1" applyBorder="1" applyAlignment="1" applyProtection="1">
      <alignment vertical="center"/>
      <protection hidden="1"/>
    </xf>
    <xf numFmtId="4" fontId="4" fillId="0" borderId="94" xfId="0" applyNumberFormat="1" applyFont="1" applyBorder="1" applyAlignment="1" applyProtection="1">
      <alignment vertical="center"/>
      <protection hidden="1"/>
    </xf>
    <xf numFmtId="4" fontId="4" fillId="0" borderId="17" xfId="0" quotePrefix="1" applyNumberFormat="1" applyFont="1" applyBorder="1" applyAlignment="1" applyProtection="1">
      <alignment vertical="center"/>
      <protection hidden="1"/>
    </xf>
    <xf numFmtId="4" fontId="4" fillId="0" borderId="18" xfId="0" applyNumberFormat="1" applyFont="1" applyBorder="1" applyAlignment="1" applyProtection="1">
      <alignment vertical="center"/>
      <protection hidden="1"/>
    </xf>
    <xf numFmtId="4" fontId="4" fillId="0" borderId="23" xfId="0" quotePrefix="1" applyNumberFormat="1" applyFont="1" applyBorder="1" applyAlignment="1" applyProtection="1">
      <alignment vertical="center"/>
      <protection hidden="1"/>
    </xf>
    <xf numFmtId="166" fontId="4" fillId="0" borderId="17" xfId="0" quotePrefix="1" applyNumberFormat="1" applyFont="1" applyBorder="1" applyAlignment="1" applyProtection="1">
      <alignment vertical="center"/>
      <protection hidden="1"/>
    </xf>
    <xf numFmtId="166" fontId="4" fillId="0" borderId="18" xfId="0" quotePrefix="1" applyNumberFormat="1" applyFont="1" applyBorder="1" applyAlignment="1" applyProtection="1">
      <alignment vertical="center"/>
      <protection hidden="1"/>
    </xf>
    <xf numFmtId="4" fontId="4" fillId="0" borderId="23" xfId="0" applyNumberFormat="1" applyFont="1" applyBorder="1" applyAlignment="1" applyProtection="1">
      <alignment vertical="center"/>
      <protection hidden="1"/>
    </xf>
    <xf numFmtId="166" fontId="4" fillId="0" borderId="23" xfId="0" applyNumberFormat="1" applyFont="1" applyBorder="1" applyAlignment="1" applyProtection="1">
      <alignment horizontal="center" vertical="center"/>
      <protection hidden="1"/>
    </xf>
    <xf numFmtId="166" fontId="4" fillId="0" borderId="17" xfId="0" applyNumberFormat="1" applyFont="1" applyBorder="1" applyAlignment="1" applyProtection="1">
      <alignment horizontal="center" vertical="center"/>
      <protection hidden="1"/>
    </xf>
    <xf numFmtId="0" fontId="4" fillId="0" borderId="18" xfId="0" applyFont="1" applyBorder="1" applyAlignment="1" applyProtection="1">
      <alignment horizontal="center" vertical="center"/>
      <protection hidden="1"/>
    </xf>
    <xf numFmtId="0" fontId="4" fillId="0" borderId="23" xfId="0" applyFont="1" applyBorder="1" applyAlignment="1" applyProtection="1">
      <alignment horizontal="left" vertical="center"/>
      <protection hidden="1"/>
    </xf>
    <xf numFmtId="0" fontId="4" fillId="0" borderId="17" xfId="0" applyFont="1" applyBorder="1" applyAlignment="1" applyProtection="1">
      <alignment horizontal="center" vertical="center"/>
      <protection hidden="1"/>
    </xf>
    <xf numFmtId="4" fontId="4" fillId="0" borderId="17" xfId="0" applyNumberFormat="1" applyFont="1" applyBorder="1" applyAlignment="1" applyProtection="1">
      <alignment vertical="center"/>
      <protection hidden="1"/>
    </xf>
    <xf numFmtId="0" fontId="5" fillId="9" borderId="91" xfId="0" applyFont="1" applyFill="1" applyBorder="1" applyAlignment="1" applyProtection="1">
      <alignment horizontal="center" vertical="center"/>
      <protection hidden="1"/>
    </xf>
    <xf numFmtId="166" fontId="4" fillId="0" borderId="0" xfId="0" quotePrefix="1" applyNumberFormat="1" applyFont="1" applyAlignment="1" applyProtection="1">
      <alignment vertical="center"/>
      <protection hidden="1"/>
    </xf>
    <xf numFmtId="4" fontId="4" fillId="0" borderId="0" xfId="0" applyNumberFormat="1" applyFont="1" applyAlignment="1" applyProtection="1">
      <alignment vertical="center"/>
      <protection hidden="1"/>
    </xf>
    <xf numFmtId="17" fontId="4" fillId="0" borderId="11" xfId="0" applyNumberFormat="1" applyFont="1" applyBorder="1" applyAlignment="1" applyProtection="1">
      <alignment horizontal="center"/>
      <protection hidden="1"/>
    </xf>
    <xf numFmtId="0" fontId="4" fillId="8" borderId="92" xfId="0" applyFont="1" applyFill="1" applyBorder="1" applyAlignment="1" applyProtection="1">
      <alignment horizontal="center"/>
      <protection hidden="1"/>
    </xf>
    <xf numFmtId="0" fontId="4" fillId="0" borderId="92" xfId="0" applyFont="1" applyBorder="1" applyAlignment="1" applyProtection="1">
      <alignment horizontal="center"/>
      <protection hidden="1"/>
    </xf>
    <xf numFmtId="49" fontId="6" fillId="10" borderId="215" xfId="0" applyNumberFormat="1" applyFont="1" applyFill="1" applyBorder="1" applyAlignment="1" applyProtection="1">
      <alignment horizontal="center" vertical="center"/>
      <protection hidden="1"/>
    </xf>
    <xf numFmtId="0" fontId="12" fillId="8" borderId="0" xfId="0" applyFont="1" applyFill="1" applyAlignment="1" applyProtection="1">
      <alignment vertical="center"/>
      <protection hidden="1"/>
    </xf>
    <xf numFmtId="0" fontId="23" fillId="8" borderId="0" xfId="0" applyFont="1" applyFill="1" applyAlignment="1" applyProtection="1">
      <alignment vertical="center"/>
      <protection hidden="1"/>
    </xf>
    <xf numFmtId="0" fontId="14" fillId="8" borderId="0" xfId="0" applyFont="1" applyFill="1" applyAlignment="1" applyProtection="1">
      <alignment horizontal="center" vertical="center"/>
      <protection hidden="1"/>
    </xf>
    <xf numFmtId="0" fontId="26" fillId="0" borderId="0" xfId="0" applyFont="1" applyAlignment="1" applyProtection="1">
      <alignment horizontal="left" vertical="center"/>
      <protection hidden="1"/>
    </xf>
    <xf numFmtId="0" fontId="5" fillId="13" borderId="108" xfId="0" applyFont="1" applyFill="1" applyBorder="1" applyAlignment="1" applyProtection="1">
      <alignment horizontal="center" vertical="center"/>
      <protection hidden="1"/>
    </xf>
    <xf numFmtId="0" fontId="13" fillId="13" borderId="17" xfId="0" applyFont="1" applyFill="1" applyBorder="1" applyAlignment="1" applyProtection="1">
      <alignment horizontal="center" vertical="center" wrapText="1"/>
      <protection hidden="1"/>
    </xf>
    <xf numFmtId="0" fontId="14" fillId="13" borderId="17" xfId="0" applyFont="1" applyFill="1" applyBorder="1" applyAlignment="1" applyProtection="1">
      <alignment horizontal="center" vertical="center" wrapText="1"/>
      <protection hidden="1"/>
    </xf>
    <xf numFmtId="0" fontId="13" fillId="13" borderId="17" xfId="0" applyFont="1" applyFill="1" applyBorder="1" applyAlignment="1" applyProtection="1">
      <alignment horizontal="center" vertical="center"/>
      <protection hidden="1"/>
    </xf>
    <xf numFmtId="0" fontId="13" fillId="13" borderId="103" xfId="0" applyFont="1" applyFill="1" applyBorder="1" applyAlignment="1" applyProtection="1">
      <alignment horizontal="center" vertical="center" wrapText="1"/>
      <protection hidden="1"/>
    </xf>
    <xf numFmtId="0" fontId="12" fillId="11" borderId="115" xfId="0" applyFont="1" applyFill="1" applyBorder="1" applyAlignment="1" applyProtection="1">
      <alignment vertical="center"/>
      <protection hidden="1"/>
    </xf>
    <xf numFmtId="0" fontId="12" fillId="11" borderId="116" xfId="0" applyFont="1" applyFill="1" applyBorder="1" applyAlignment="1" applyProtection="1">
      <alignment vertical="center"/>
      <protection hidden="1"/>
    </xf>
    <xf numFmtId="0" fontId="12" fillId="11" borderId="114" xfId="0" applyFont="1" applyFill="1" applyBorder="1" applyAlignment="1" applyProtection="1">
      <alignment vertical="center"/>
      <protection hidden="1"/>
    </xf>
    <xf numFmtId="0" fontId="13" fillId="13" borderId="102" xfId="0" applyFont="1" applyFill="1" applyBorder="1" applyAlignment="1" applyProtection="1">
      <alignment horizontal="center" vertical="center" wrapText="1"/>
      <protection hidden="1"/>
    </xf>
    <xf numFmtId="0" fontId="13" fillId="13" borderId="35" xfId="0" applyFont="1" applyFill="1" applyBorder="1" applyAlignment="1" applyProtection="1">
      <alignment horizontal="center" vertical="center" wrapText="1"/>
      <protection hidden="1"/>
    </xf>
    <xf numFmtId="0" fontId="13" fillId="13" borderId="85" xfId="0" applyFont="1" applyFill="1" applyBorder="1" applyAlignment="1" applyProtection="1">
      <alignment horizontal="center" vertical="center" wrapText="1"/>
      <protection hidden="1"/>
    </xf>
    <xf numFmtId="0" fontId="31" fillId="13" borderId="23" xfId="0" applyFont="1" applyFill="1" applyBorder="1" applyAlignment="1" applyProtection="1">
      <alignment horizontal="center" vertical="center" wrapText="1"/>
      <protection hidden="1"/>
    </xf>
    <xf numFmtId="0" fontId="31" fillId="13" borderId="18" xfId="0" applyFont="1" applyFill="1" applyBorder="1" applyAlignment="1" applyProtection="1">
      <alignment horizontal="center" vertical="center" wrapText="1"/>
      <protection hidden="1"/>
    </xf>
    <xf numFmtId="0" fontId="14" fillId="13" borderId="23" xfId="0" applyFont="1" applyFill="1" applyBorder="1" applyAlignment="1" applyProtection="1">
      <alignment horizontal="center" vertical="center" wrapText="1"/>
      <protection hidden="1"/>
    </xf>
    <xf numFmtId="0" fontId="14" fillId="13" borderId="18" xfId="0" applyFont="1" applyFill="1" applyBorder="1" applyAlignment="1" applyProtection="1">
      <alignment horizontal="center" vertical="center" wrapText="1"/>
      <protection hidden="1"/>
    </xf>
    <xf numFmtId="0" fontId="14" fillId="13" borderId="87" xfId="0" applyFont="1" applyFill="1" applyBorder="1" applyAlignment="1" applyProtection="1">
      <alignment horizontal="center" vertical="center" wrapText="1"/>
      <protection hidden="1"/>
    </xf>
    <xf numFmtId="4" fontId="13" fillId="13" borderId="13" xfId="0" applyNumberFormat="1" applyFont="1" applyFill="1" applyBorder="1" applyAlignment="1" applyProtection="1">
      <alignment horizontal="right" vertical="center" indent="1"/>
      <protection hidden="1"/>
    </xf>
    <xf numFmtId="4" fontId="13" fillId="13" borderId="80" xfId="0" applyNumberFormat="1" applyFont="1" applyFill="1" applyBorder="1" applyAlignment="1" applyProtection="1">
      <alignment horizontal="right" vertical="center" indent="1"/>
      <protection hidden="1"/>
    </xf>
    <xf numFmtId="4" fontId="13" fillId="13" borderId="78" xfId="0" applyNumberFormat="1" applyFont="1" applyFill="1" applyBorder="1" applyAlignment="1" applyProtection="1">
      <alignment horizontal="right" vertical="center" indent="1"/>
      <protection hidden="1"/>
    </xf>
    <xf numFmtId="4" fontId="13" fillId="11" borderId="13" xfId="0" applyNumberFormat="1" applyFont="1" applyFill="1" applyBorder="1" applyAlignment="1" applyProtection="1">
      <alignment horizontal="right" vertical="center" indent="1"/>
      <protection hidden="1"/>
    </xf>
    <xf numFmtId="4" fontId="13" fillId="11" borderId="80" xfId="0" applyNumberFormat="1" applyFont="1" applyFill="1" applyBorder="1" applyAlignment="1" applyProtection="1">
      <alignment horizontal="right" vertical="center" indent="1"/>
      <protection hidden="1"/>
    </xf>
    <xf numFmtId="4" fontId="13" fillId="11" borderId="78" xfId="0" applyNumberFormat="1" applyFont="1" applyFill="1" applyBorder="1" applyAlignment="1" applyProtection="1">
      <alignment horizontal="right" vertical="center" indent="1"/>
      <protection hidden="1"/>
    </xf>
    <xf numFmtId="0" fontId="13" fillId="13" borderId="83" xfId="0" applyFont="1" applyFill="1" applyBorder="1" applyAlignment="1" applyProtection="1">
      <alignment horizontal="center" vertical="center"/>
      <protection hidden="1"/>
    </xf>
    <xf numFmtId="4" fontId="37" fillId="13" borderId="77" xfId="0" applyNumberFormat="1" applyFont="1" applyFill="1" applyBorder="1" applyAlignment="1" applyProtection="1">
      <alignment horizontal="right" vertical="center" indent="1"/>
      <protection hidden="1"/>
    </xf>
    <xf numFmtId="4" fontId="37" fillId="11" borderId="77" xfId="0" applyNumberFormat="1" applyFont="1" applyFill="1" applyBorder="1" applyAlignment="1" applyProtection="1">
      <alignment horizontal="right" vertical="center" indent="1"/>
      <protection hidden="1"/>
    </xf>
    <xf numFmtId="0" fontId="13" fillId="13" borderId="1" xfId="0" applyFont="1" applyFill="1" applyBorder="1" applyAlignment="1" applyProtection="1">
      <alignment horizontal="center" vertical="center"/>
      <protection hidden="1"/>
    </xf>
    <xf numFmtId="4" fontId="13" fillId="13" borderId="1" xfId="0" applyNumberFormat="1" applyFont="1" applyFill="1" applyBorder="1" applyAlignment="1" applyProtection="1">
      <alignment horizontal="center" vertical="center"/>
      <protection hidden="1"/>
    </xf>
    <xf numFmtId="0" fontId="13" fillId="13" borderId="12" xfId="0" applyFont="1" applyFill="1" applyBorder="1" applyAlignment="1" applyProtection="1">
      <alignment vertical="center"/>
      <protection hidden="1"/>
    </xf>
    <xf numFmtId="0" fontId="13" fillId="13" borderId="62" xfId="0" applyFont="1" applyFill="1" applyBorder="1" applyAlignment="1" applyProtection="1">
      <alignment vertical="center"/>
      <protection hidden="1"/>
    </xf>
    <xf numFmtId="0" fontId="13" fillId="13" borderId="81" xfId="0" applyFont="1" applyFill="1" applyBorder="1" applyAlignment="1" applyProtection="1">
      <alignment vertical="center"/>
      <protection hidden="1"/>
    </xf>
    <xf numFmtId="0" fontId="4" fillId="11" borderId="85" xfId="0" applyFont="1" applyFill="1" applyBorder="1" applyAlignment="1" applyProtection="1">
      <alignment horizontal="center" vertical="center"/>
      <protection hidden="1"/>
    </xf>
    <xf numFmtId="0" fontId="4" fillId="11" borderId="86" xfId="0" applyFont="1" applyFill="1" applyBorder="1" applyAlignment="1" applyProtection="1">
      <alignment horizontal="center" vertical="center"/>
      <protection hidden="1"/>
    </xf>
    <xf numFmtId="0" fontId="4" fillId="11" borderId="87" xfId="0" applyFont="1" applyFill="1" applyBorder="1" applyAlignment="1" applyProtection="1">
      <alignment horizontal="center" vertical="center"/>
      <protection hidden="1"/>
    </xf>
    <xf numFmtId="4" fontId="4" fillId="0" borderId="84" xfId="0" quotePrefix="1" applyNumberFormat="1" applyFont="1" applyBorder="1" applyAlignment="1" applyProtection="1">
      <alignment vertical="center"/>
      <protection hidden="1"/>
    </xf>
    <xf numFmtId="4" fontId="4" fillId="0" borderId="92" xfId="0" quotePrefix="1" applyNumberFormat="1" applyFont="1" applyBorder="1" applyAlignment="1" applyProtection="1">
      <alignment vertical="center"/>
      <protection hidden="1"/>
    </xf>
    <xf numFmtId="4" fontId="4" fillId="0" borderId="103" xfId="0" quotePrefix="1" applyNumberFormat="1" applyFont="1" applyBorder="1" applyAlignment="1" applyProtection="1">
      <alignment vertical="center"/>
      <protection hidden="1"/>
    </xf>
    <xf numFmtId="4" fontId="4" fillId="0" borderId="84" xfId="0" applyNumberFormat="1" applyFont="1" applyBorder="1" applyAlignment="1" applyProtection="1">
      <alignment vertical="center"/>
      <protection hidden="1"/>
    </xf>
    <xf numFmtId="4" fontId="4" fillId="0" borderId="92" xfId="0" applyNumberFormat="1" applyFont="1" applyBorder="1" applyAlignment="1" applyProtection="1">
      <alignment vertical="center"/>
      <protection hidden="1"/>
    </xf>
    <xf numFmtId="4" fontId="4" fillId="0" borderId="103" xfId="0" applyNumberFormat="1" applyFont="1" applyBorder="1" applyAlignment="1" applyProtection="1">
      <alignment vertical="center"/>
      <protection hidden="1"/>
    </xf>
    <xf numFmtId="0" fontId="5" fillId="11" borderId="83" xfId="0" applyFont="1" applyFill="1" applyBorder="1" applyAlignment="1" applyProtection="1">
      <alignment horizontal="center" vertical="center"/>
      <protection hidden="1"/>
    </xf>
    <xf numFmtId="1" fontId="4" fillId="0" borderId="84" xfId="0" applyNumberFormat="1" applyFont="1" applyBorder="1" applyAlignment="1" applyProtection="1">
      <alignment horizontal="center" vertical="center"/>
      <protection hidden="1"/>
    </xf>
    <xf numFmtId="1" fontId="4" fillId="0" borderId="92" xfId="0" applyNumberFormat="1" applyFont="1" applyBorder="1" applyAlignment="1" applyProtection="1">
      <alignment horizontal="center" vertical="center"/>
      <protection hidden="1"/>
    </xf>
    <xf numFmtId="1" fontId="4" fillId="0" borderId="103" xfId="0" applyNumberFormat="1" applyFont="1" applyBorder="1" applyAlignment="1" applyProtection="1">
      <alignment horizontal="center" vertical="center"/>
      <protection hidden="1"/>
    </xf>
    <xf numFmtId="0" fontId="4" fillId="11" borderId="92" xfId="0" applyFont="1" applyFill="1" applyBorder="1" applyAlignment="1" applyProtection="1">
      <alignment horizontal="center" vertical="center"/>
      <protection hidden="1"/>
    </xf>
    <xf numFmtId="14" fontId="4" fillId="0" borderId="85" xfId="0" applyNumberFormat="1" applyFont="1" applyBorder="1" applyAlignment="1" applyProtection="1">
      <alignment vertical="center"/>
      <protection hidden="1"/>
    </xf>
    <xf numFmtId="14" fontId="4" fillId="0" borderId="86" xfId="0" applyNumberFormat="1" applyFont="1" applyBorder="1" applyAlignment="1" applyProtection="1">
      <alignment vertical="center"/>
      <protection hidden="1"/>
    </xf>
    <xf numFmtId="14" fontId="4" fillId="0" borderId="87" xfId="0" applyNumberFormat="1" applyFont="1" applyBorder="1" applyAlignment="1" applyProtection="1">
      <alignment vertical="center"/>
      <protection hidden="1"/>
    </xf>
    <xf numFmtId="2" fontId="4" fillId="0" borderId="19" xfId="0" applyNumberFormat="1" applyFont="1" applyBorder="1" applyAlignment="1" applyProtection="1">
      <alignment vertical="center"/>
      <protection hidden="1"/>
    </xf>
    <xf numFmtId="2" fontId="4" fillId="0" borderId="30" xfId="0" applyNumberFormat="1" applyFont="1" applyBorder="1" applyAlignment="1" applyProtection="1">
      <alignment vertical="center"/>
      <protection hidden="1"/>
    </xf>
    <xf numFmtId="2" fontId="4" fillId="0" borderId="16" xfId="0" applyNumberFormat="1" applyFont="1" applyBorder="1" applyAlignment="1" applyProtection="1">
      <alignment vertical="center"/>
      <protection hidden="1"/>
    </xf>
    <xf numFmtId="2" fontId="4" fillId="0" borderId="13" xfId="0" applyNumberFormat="1" applyFont="1" applyBorder="1" applyAlignment="1" applyProtection="1">
      <alignment horizontal="center" vertical="center"/>
      <protection hidden="1"/>
    </xf>
    <xf numFmtId="2" fontId="4" fillId="0" borderId="80" xfId="0" applyNumberFormat="1" applyFont="1" applyBorder="1" applyAlignment="1" applyProtection="1">
      <alignment horizontal="center" vertical="center"/>
      <protection hidden="1"/>
    </xf>
    <xf numFmtId="2" fontId="4" fillId="0" borderId="78" xfId="0" applyNumberFormat="1" applyFont="1" applyBorder="1" applyAlignment="1" applyProtection="1">
      <alignment horizontal="center" vertical="center"/>
      <protection hidden="1"/>
    </xf>
    <xf numFmtId="2" fontId="4" fillId="0" borderId="13" xfId="0" applyNumberFormat="1" applyFont="1" applyBorder="1" applyAlignment="1" applyProtection="1">
      <alignment vertical="center"/>
      <protection hidden="1"/>
    </xf>
    <xf numFmtId="2" fontId="4" fillId="0" borderId="80" xfId="0" applyNumberFormat="1" applyFont="1" applyBorder="1" applyAlignment="1" applyProtection="1">
      <alignment vertical="center"/>
      <protection hidden="1"/>
    </xf>
    <xf numFmtId="2" fontId="4" fillId="0" borderId="78" xfId="0" applyNumberFormat="1" applyFont="1" applyBorder="1" applyAlignment="1" applyProtection="1">
      <alignment vertical="center"/>
      <protection hidden="1"/>
    </xf>
    <xf numFmtId="0" fontId="5" fillId="13" borderId="1" xfId="0" applyFont="1" applyFill="1" applyBorder="1" applyAlignment="1" applyProtection="1">
      <alignment horizontal="center" vertical="center"/>
      <protection hidden="1"/>
    </xf>
    <xf numFmtId="0" fontId="7" fillId="13" borderId="91" xfId="0" applyFont="1" applyFill="1" applyBorder="1" applyAlignment="1" applyProtection="1">
      <alignment horizontal="center" vertical="center"/>
      <protection hidden="1"/>
    </xf>
    <xf numFmtId="0" fontId="7" fillId="13" borderId="85" xfId="0" applyFont="1" applyFill="1" applyBorder="1" applyAlignment="1" applyProtection="1">
      <alignment horizontal="center" vertical="center"/>
      <protection hidden="1"/>
    </xf>
    <xf numFmtId="0" fontId="7" fillId="13" borderId="87" xfId="0" applyFont="1" applyFill="1" applyBorder="1" applyAlignment="1" applyProtection="1">
      <alignment horizontal="center" vertical="center"/>
      <protection hidden="1"/>
    </xf>
    <xf numFmtId="0" fontId="4" fillId="13" borderId="1" xfId="0" applyFont="1" applyFill="1" applyBorder="1" applyAlignment="1" applyProtection="1">
      <alignment horizontal="center"/>
      <protection hidden="1"/>
    </xf>
    <xf numFmtId="0" fontId="5" fillId="13" borderId="83" xfId="0" applyFont="1" applyFill="1" applyBorder="1" applyAlignment="1" applyProtection="1">
      <alignment horizontal="center" vertical="center"/>
      <protection hidden="1"/>
    </xf>
    <xf numFmtId="0" fontId="4" fillId="13" borderId="85" xfId="0" applyFont="1" applyFill="1" applyBorder="1" applyAlignment="1" applyProtection="1">
      <alignment horizontal="center" vertical="center"/>
      <protection hidden="1"/>
    </xf>
    <xf numFmtId="0" fontId="4" fillId="13" borderId="86" xfId="0" applyFont="1" applyFill="1" applyBorder="1" applyAlignment="1" applyProtection="1">
      <alignment horizontal="center" vertical="center"/>
      <protection hidden="1"/>
    </xf>
    <xf numFmtId="0" fontId="4" fillId="13" borderId="87" xfId="0" applyFont="1" applyFill="1" applyBorder="1" applyAlignment="1" applyProtection="1">
      <alignment horizontal="center" vertical="center"/>
      <protection hidden="1"/>
    </xf>
    <xf numFmtId="0" fontId="5" fillId="11" borderId="32" xfId="0" applyFont="1" applyFill="1" applyBorder="1" applyAlignment="1" applyProtection="1">
      <alignment horizontal="center" vertical="center"/>
      <protection hidden="1"/>
    </xf>
    <xf numFmtId="0" fontId="5" fillId="13" borderId="32" xfId="0" applyFont="1" applyFill="1" applyBorder="1" applyAlignment="1" applyProtection="1">
      <alignment horizontal="center" vertical="center"/>
      <protection hidden="1"/>
    </xf>
    <xf numFmtId="0" fontId="4" fillId="13" borderId="92" xfId="0" applyFont="1" applyFill="1" applyBorder="1" applyAlignment="1" applyProtection="1">
      <alignment horizontal="center" vertical="center"/>
      <protection hidden="1"/>
    </xf>
    <xf numFmtId="2" fontId="4" fillId="0" borderId="22" xfId="0" applyNumberFormat="1" applyFont="1" applyBorder="1" applyAlignment="1" applyProtection="1">
      <alignment vertical="center"/>
      <protection hidden="1"/>
    </xf>
    <xf numFmtId="2" fontId="4" fillId="0" borderId="23" xfId="0" applyNumberFormat="1" applyFont="1" applyBorder="1" applyAlignment="1" applyProtection="1">
      <alignment vertical="center"/>
      <protection hidden="1"/>
    </xf>
    <xf numFmtId="0" fontId="4" fillId="7" borderId="0" xfId="0" applyFont="1" applyFill="1" applyAlignment="1" applyProtection="1">
      <alignment horizontal="center" vertical="center"/>
      <protection hidden="1"/>
    </xf>
    <xf numFmtId="0" fontId="4" fillId="7" borderId="0" xfId="0" applyFont="1" applyFill="1" applyAlignment="1" applyProtection="1">
      <alignment horizontal="center"/>
      <protection hidden="1"/>
    </xf>
    <xf numFmtId="14" fontId="12" fillId="0" borderId="0" xfId="0" applyNumberFormat="1" applyFont="1" applyAlignment="1" applyProtection="1">
      <alignment vertical="center"/>
      <protection hidden="1"/>
    </xf>
    <xf numFmtId="0" fontId="9" fillId="0" borderId="0" xfId="0" applyFont="1" applyAlignment="1" applyProtection="1">
      <alignment horizontal="center"/>
      <protection locked="0" hidden="1"/>
    </xf>
    <xf numFmtId="0" fontId="17" fillId="17" borderId="137" xfId="0" applyFont="1" applyFill="1" applyBorder="1" applyAlignment="1" applyProtection="1">
      <alignment horizontal="center" vertical="center" wrapText="1"/>
      <protection hidden="1"/>
    </xf>
    <xf numFmtId="0" fontId="42" fillId="10" borderId="217" xfId="0" quotePrefix="1" applyFont="1" applyFill="1" applyBorder="1" applyAlignment="1" applyProtection="1">
      <alignment horizontal="justify" vertical="center" wrapText="1"/>
      <protection hidden="1"/>
    </xf>
    <xf numFmtId="49" fontId="42" fillId="10" borderId="218" xfId="0" applyNumberFormat="1" applyFont="1" applyFill="1" applyBorder="1" applyAlignment="1" applyProtection="1">
      <alignment horizontal="left" vertical="center" wrapText="1" indent="1"/>
      <protection hidden="1"/>
    </xf>
    <xf numFmtId="49" fontId="42" fillId="10" borderId="219" xfId="0" applyNumberFormat="1" applyFont="1" applyFill="1" applyBorder="1" applyAlignment="1" applyProtection="1">
      <alignment horizontal="left" vertical="center" wrapText="1" indent="1"/>
      <protection hidden="1"/>
    </xf>
    <xf numFmtId="0" fontId="4" fillId="0" borderId="0" xfId="0" applyFont="1" applyAlignment="1" applyProtection="1">
      <alignment horizontal="left" vertical="center" indent="1"/>
      <protection hidden="1"/>
    </xf>
    <xf numFmtId="10" fontId="12" fillId="0" borderId="220" xfId="0" applyNumberFormat="1" applyFont="1" applyBorder="1" applyAlignment="1">
      <alignment vertical="center"/>
    </xf>
    <xf numFmtId="0" fontId="13" fillId="0" borderId="0" xfId="0" applyFont="1" applyAlignment="1">
      <alignment vertical="center" wrapText="1"/>
    </xf>
    <xf numFmtId="0" fontId="12" fillId="8" borderId="0" xfId="0" applyFont="1" applyFill="1" applyAlignment="1" applyProtection="1">
      <alignment horizontal="center" vertical="center"/>
      <protection hidden="1"/>
    </xf>
    <xf numFmtId="0" fontId="4" fillId="8" borderId="0" xfId="0" applyFont="1" applyFill="1" applyAlignment="1" applyProtection="1">
      <alignment vertical="center"/>
      <protection hidden="1"/>
    </xf>
    <xf numFmtId="0" fontId="12" fillId="8" borderId="0" xfId="0" applyFont="1" applyFill="1"/>
    <xf numFmtId="0" fontId="4" fillId="0" borderId="1" xfId="2" applyFont="1" applyBorder="1" applyAlignment="1" applyProtection="1">
      <alignment horizontal="center"/>
      <protection locked="0" hidden="1"/>
    </xf>
    <xf numFmtId="0" fontId="12" fillId="8" borderId="0" xfId="0" applyFont="1" applyFill="1" applyAlignment="1">
      <alignment horizontal="center" vertical="center"/>
    </xf>
    <xf numFmtId="14" fontId="4" fillId="0" borderId="0" xfId="0" applyNumberFormat="1" applyFont="1" applyProtection="1">
      <protection hidden="1"/>
    </xf>
    <xf numFmtId="2" fontId="4" fillId="0" borderId="20" xfId="0" applyNumberFormat="1" applyFont="1" applyBorder="1" applyAlignment="1" applyProtection="1">
      <alignment vertical="center"/>
      <protection hidden="1"/>
    </xf>
    <xf numFmtId="2" fontId="4" fillId="0" borderId="21" xfId="0" applyNumberFormat="1" applyFont="1" applyBorder="1" applyAlignment="1" applyProtection="1">
      <alignment vertical="center"/>
      <protection hidden="1"/>
    </xf>
    <xf numFmtId="2" fontId="4" fillId="0" borderId="98" xfId="0" applyNumberFormat="1" applyFont="1" applyBorder="1" applyAlignment="1" applyProtection="1">
      <alignment vertical="center"/>
      <protection hidden="1"/>
    </xf>
    <xf numFmtId="2" fontId="4" fillId="0" borderId="11" xfId="0" applyNumberFormat="1" applyFont="1" applyBorder="1" applyAlignment="1" applyProtection="1">
      <alignment vertical="center"/>
      <protection hidden="1"/>
    </xf>
    <xf numFmtId="2" fontId="4" fillId="0" borderId="29" xfId="0" applyNumberFormat="1" applyFont="1" applyBorder="1" applyAlignment="1" applyProtection="1">
      <alignment vertical="center"/>
      <protection hidden="1"/>
    </xf>
    <xf numFmtId="2" fontId="4" fillId="0" borderId="86" xfId="0" applyNumberFormat="1" applyFont="1" applyBorder="1" applyAlignment="1" applyProtection="1">
      <alignment vertical="center"/>
      <protection hidden="1"/>
    </xf>
    <xf numFmtId="2" fontId="4" fillId="0" borderId="35" xfId="0" applyNumberFormat="1" applyFont="1" applyBorder="1" applyAlignment="1" applyProtection="1">
      <alignment vertical="center"/>
      <protection hidden="1"/>
    </xf>
    <xf numFmtId="2" fontId="4" fillId="0" borderId="61" xfId="0" applyNumberFormat="1" applyFont="1" applyBorder="1" applyAlignment="1" applyProtection="1">
      <alignment vertical="center"/>
      <protection hidden="1"/>
    </xf>
    <xf numFmtId="2" fontId="4" fillId="0" borderId="87" xfId="0" applyNumberFormat="1" applyFont="1" applyBorder="1" applyAlignment="1" applyProtection="1">
      <alignment vertical="center"/>
      <protection hidden="1"/>
    </xf>
    <xf numFmtId="2" fontId="4" fillId="0" borderId="1" xfId="0" applyNumberFormat="1" applyFont="1" applyBorder="1" applyAlignment="1" applyProtection="1">
      <alignment vertical="center"/>
      <protection hidden="1"/>
    </xf>
    <xf numFmtId="2" fontId="4" fillId="0" borderId="15" xfId="0" applyNumberFormat="1" applyFont="1" applyBorder="1" applyAlignment="1" applyProtection="1">
      <alignment vertical="center"/>
      <protection hidden="1"/>
    </xf>
    <xf numFmtId="2" fontId="4" fillId="0" borderId="17" xfId="0" applyNumberFormat="1" applyFont="1" applyBorder="1" applyAlignment="1" applyProtection="1">
      <alignment vertical="center"/>
      <protection hidden="1"/>
    </xf>
    <xf numFmtId="2" fontId="4" fillId="0" borderId="18" xfId="0" applyNumberFormat="1" applyFont="1" applyBorder="1" applyAlignment="1" applyProtection="1">
      <alignment vertical="center"/>
      <protection hidden="1"/>
    </xf>
    <xf numFmtId="2" fontId="4" fillId="0" borderId="85" xfId="0" applyNumberFormat="1" applyFont="1" applyBorder="1" applyAlignment="1" applyProtection="1">
      <alignment vertical="center"/>
      <protection hidden="1"/>
    </xf>
    <xf numFmtId="167" fontId="4" fillId="0" borderId="98" xfId="0" applyNumberFormat="1" applyFont="1" applyBorder="1" applyAlignment="1" applyProtection="1">
      <alignment vertical="center"/>
      <protection hidden="1"/>
    </xf>
    <xf numFmtId="167" fontId="4" fillId="0" borderId="86" xfId="0" applyNumberFormat="1" applyFont="1" applyBorder="1" applyAlignment="1" applyProtection="1">
      <alignment vertical="center"/>
      <protection hidden="1"/>
    </xf>
    <xf numFmtId="167" fontId="4" fillId="0" borderId="87" xfId="0" applyNumberFormat="1" applyFont="1" applyBorder="1" applyAlignment="1" applyProtection="1">
      <alignment vertical="center"/>
      <protection hidden="1"/>
    </xf>
    <xf numFmtId="167" fontId="4" fillId="0" borderId="85" xfId="0" applyNumberFormat="1" applyFont="1" applyBorder="1" applyAlignment="1" applyProtection="1">
      <alignment vertical="center"/>
      <protection hidden="1"/>
    </xf>
    <xf numFmtId="2" fontId="4" fillId="0" borderId="117" xfId="0" applyNumberFormat="1" applyFont="1" applyBorder="1" applyAlignment="1" applyProtection="1">
      <alignment vertical="center"/>
      <protection hidden="1"/>
    </xf>
    <xf numFmtId="0" fontId="4" fillId="0" borderId="11" xfId="0" applyFont="1" applyBorder="1" applyAlignment="1" applyProtection="1">
      <alignment horizontal="center" vertical="center"/>
      <protection hidden="1"/>
    </xf>
    <xf numFmtId="0" fontId="12" fillId="0" borderId="32" xfId="0" applyFont="1" applyBorder="1" applyAlignment="1" applyProtection="1">
      <alignment horizontal="center" vertical="center" wrapText="1"/>
      <protection hidden="1"/>
    </xf>
    <xf numFmtId="0" fontId="12" fillId="0" borderId="33" xfId="0" applyFont="1" applyBorder="1" applyAlignment="1" applyProtection="1">
      <alignment horizontal="center" vertical="center" wrapText="1"/>
      <protection hidden="1"/>
    </xf>
    <xf numFmtId="0" fontId="12" fillId="0" borderId="11" xfId="0" applyFont="1" applyBorder="1" applyAlignment="1" applyProtection="1">
      <alignment horizontal="center" vertical="center" wrapText="1"/>
      <protection hidden="1"/>
    </xf>
    <xf numFmtId="166" fontId="18" fillId="10" borderId="138" xfId="0" applyNumberFormat="1" applyFont="1" applyFill="1" applyBorder="1" applyAlignment="1" applyProtection="1">
      <alignment horizontal="center" vertical="center"/>
      <protection hidden="1"/>
    </xf>
    <xf numFmtId="0" fontId="9" fillId="0" borderId="0" xfId="2" applyFont="1" applyAlignment="1" applyProtection="1">
      <alignment vertical="center"/>
      <protection hidden="1"/>
    </xf>
    <xf numFmtId="0" fontId="9" fillId="0" borderId="0" xfId="2" applyFont="1" applyAlignment="1" applyProtection="1">
      <alignment horizontal="center" vertical="center"/>
      <protection hidden="1"/>
    </xf>
    <xf numFmtId="0" fontId="15" fillId="0" borderId="0" xfId="0" applyFont="1" applyAlignment="1" applyProtection="1">
      <alignment horizontal="left" vertical="center" wrapText="1"/>
      <protection hidden="1"/>
    </xf>
    <xf numFmtId="0" fontId="16" fillId="0" borderId="0" xfId="0" applyFont="1" applyAlignment="1" applyProtection="1">
      <alignment horizontal="left" vertical="center" wrapText="1"/>
      <protection hidden="1"/>
    </xf>
    <xf numFmtId="0" fontId="5" fillId="0" borderId="0" xfId="2" applyFont="1" applyAlignment="1" applyProtection="1">
      <alignment vertical="center"/>
      <protection hidden="1"/>
    </xf>
    <xf numFmtId="0" fontId="0" fillId="0" borderId="0" xfId="0" applyProtection="1">
      <protection hidden="1"/>
    </xf>
    <xf numFmtId="0" fontId="8" fillId="0" borderId="0" xfId="3" applyProtection="1">
      <protection hidden="1"/>
    </xf>
    <xf numFmtId="0" fontId="18" fillId="10" borderId="138" xfId="2" applyFont="1" applyFill="1" applyBorder="1" applyAlignment="1" applyProtection="1">
      <alignment horizontal="left" vertical="center" indent="1"/>
      <protection hidden="1"/>
    </xf>
    <xf numFmtId="0" fontId="4" fillId="0" borderId="0" xfId="2" applyFont="1" applyAlignment="1" applyProtection="1">
      <alignment horizontal="left" vertical="center" indent="1"/>
      <protection hidden="1"/>
    </xf>
    <xf numFmtId="164" fontId="18" fillId="10" borderId="138" xfId="2" applyNumberFormat="1" applyFont="1" applyFill="1" applyBorder="1" applyAlignment="1" applyProtection="1">
      <alignment horizontal="left" vertical="center" indent="1"/>
      <protection hidden="1"/>
    </xf>
    <xf numFmtId="164" fontId="4" fillId="0" borderId="0" xfId="2" applyNumberFormat="1" applyFont="1" applyAlignment="1" applyProtection="1">
      <alignment horizontal="left" vertical="center" indent="1"/>
      <protection hidden="1"/>
    </xf>
    <xf numFmtId="0" fontId="18" fillId="10" borderId="142" xfId="0" applyFont="1" applyFill="1" applyBorder="1" applyAlignment="1" applyProtection="1">
      <alignment horizontal="left" vertical="center" indent="1"/>
      <protection hidden="1"/>
    </xf>
    <xf numFmtId="0" fontId="9" fillId="0" borderId="0" xfId="2" applyFont="1" applyAlignment="1" applyProtection="1">
      <alignment horizontal="right" vertical="center"/>
      <protection hidden="1"/>
    </xf>
    <xf numFmtId="0" fontId="10" fillId="0" borderId="0" xfId="2" applyFont="1" applyAlignment="1" applyProtection="1">
      <alignment horizontal="center" vertical="center"/>
      <protection hidden="1"/>
    </xf>
    <xf numFmtId="0" fontId="5" fillId="0" borderId="0" xfId="0" applyFont="1" applyProtection="1">
      <protection hidden="1"/>
    </xf>
    <xf numFmtId="166" fontId="4" fillId="13" borderId="1" xfId="0" applyNumberFormat="1" applyFont="1" applyFill="1" applyBorder="1" applyAlignment="1" applyProtection="1">
      <alignment horizontal="center" vertical="center"/>
      <protection hidden="1"/>
    </xf>
    <xf numFmtId="14" fontId="4" fillId="0" borderId="0" xfId="2" applyNumberFormat="1" applyFont="1" applyAlignment="1" applyProtection="1">
      <alignment horizontal="center" vertical="center"/>
      <protection hidden="1"/>
    </xf>
    <xf numFmtId="0" fontId="4" fillId="0" borderId="0" xfId="2" applyFont="1" applyAlignment="1" applyProtection="1">
      <alignment vertical="center" wrapText="1"/>
      <protection hidden="1"/>
    </xf>
    <xf numFmtId="166" fontId="4" fillId="4" borderId="1" xfId="0" applyNumberFormat="1" applyFont="1" applyFill="1" applyBorder="1" applyAlignment="1" applyProtection="1">
      <alignment horizontal="left" vertical="center" indent="1"/>
      <protection locked="0" hidden="1"/>
    </xf>
    <xf numFmtId="0" fontId="39" fillId="10" borderId="0" xfId="0" applyFont="1" applyFill="1" applyAlignment="1">
      <alignment horizontal="left" vertical="center" indent="1"/>
    </xf>
    <xf numFmtId="0" fontId="39" fillId="10" borderId="160" xfId="0" applyFont="1" applyFill="1" applyBorder="1" applyAlignment="1">
      <alignment horizontal="left" vertical="center" indent="1"/>
    </xf>
    <xf numFmtId="14" fontId="4" fillId="4" borderId="1" xfId="0" applyNumberFormat="1" applyFont="1" applyFill="1" applyBorder="1" applyAlignment="1" applyProtection="1">
      <alignment horizontal="center" vertical="center"/>
      <protection locked="0"/>
    </xf>
    <xf numFmtId="10" fontId="25" fillId="4" borderId="11" xfId="0" applyNumberFormat="1" applyFont="1" applyFill="1" applyBorder="1" applyAlignment="1" applyProtection="1">
      <alignment horizontal="center" vertical="center"/>
      <protection locked="0"/>
    </xf>
    <xf numFmtId="10" fontId="25" fillId="0" borderId="1" xfId="1" applyNumberFormat="1" applyFont="1" applyFill="1" applyBorder="1" applyAlignment="1" applyProtection="1">
      <alignment vertical="center"/>
    </xf>
    <xf numFmtId="10" fontId="25" fillId="0" borderId="0" xfId="0" applyNumberFormat="1" applyFont="1" applyAlignment="1" applyProtection="1">
      <alignment horizontal="center" vertical="center"/>
      <protection locked="0"/>
    </xf>
    <xf numFmtId="10" fontId="12" fillId="0" borderId="174" xfId="0" applyNumberFormat="1" applyFont="1" applyBorder="1" applyAlignment="1" applyProtection="1">
      <alignment vertical="center"/>
      <protection hidden="1"/>
    </xf>
    <xf numFmtId="4" fontId="12" fillId="0" borderId="130" xfId="0" applyNumberFormat="1" applyFont="1" applyBorder="1" applyAlignment="1" applyProtection="1">
      <alignment vertical="center"/>
      <protection hidden="1"/>
    </xf>
    <xf numFmtId="4" fontId="12" fillId="0" borderId="84" xfId="0" applyNumberFormat="1" applyFont="1" applyBorder="1" applyAlignment="1" applyProtection="1">
      <alignment horizontal="right" vertical="center"/>
      <protection hidden="1"/>
    </xf>
    <xf numFmtId="4" fontId="12" fillId="0" borderId="92" xfId="0" applyNumberFormat="1" applyFont="1" applyBorder="1" applyAlignment="1" applyProtection="1">
      <alignment horizontal="right" vertical="center"/>
      <protection hidden="1"/>
    </xf>
    <xf numFmtId="4" fontId="12" fillId="0" borderId="2" xfId="0" applyNumberFormat="1" applyFont="1" applyBorder="1" applyAlignment="1" applyProtection="1">
      <alignment horizontal="right" vertical="center"/>
      <protection hidden="1"/>
    </xf>
    <xf numFmtId="10" fontId="12" fillId="4" borderId="222" xfId="1" applyNumberFormat="1" applyFont="1" applyFill="1" applyBorder="1" applyAlignment="1" applyProtection="1">
      <alignment vertical="center"/>
      <protection locked="0"/>
    </xf>
    <xf numFmtId="10" fontId="12" fillId="0" borderId="220" xfId="0" applyNumberFormat="1" applyFont="1" applyBorder="1" applyAlignment="1" applyProtection="1">
      <alignment vertical="center"/>
      <protection hidden="1"/>
    </xf>
    <xf numFmtId="4" fontId="12" fillId="0" borderId="63" xfId="0" applyNumberFormat="1" applyFont="1" applyBorder="1" applyAlignment="1" applyProtection="1">
      <alignment vertical="center"/>
      <protection hidden="1"/>
    </xf>
    <xf numFmtId="4" fontId="12" fillId="0" borderId="135" xfId="0" applyNumberFormat="1" applyFont="1" applyBorder="1" applyAlignment="1" applyProtection="1">
      <alignment vertical="center"/>
      <protection hidden="1"/>
    </xf>
    <xf numFmtId="4" fontId="12" fillId="0" borderId="33" xfId="0" applyNumberFormat="1" applyFont="1" applyBorder="1" applyAlignment="1" applyProtection="1">
      <alignment vertical="center"/>
      <protection hidden="1"/>
    </xf>
    <xf numFmtId="4" fontId="12" fillId="0" borderId="5" xfId="0" applyNumberFormat="1" applyFont="1" applyBorder="1" applyAlignment="1" applyProtection="1">
      <alignment horizontal="right" vertical="center"/>
      <protection hidden="1"/>
    </xf>
    <xf numFmtId="0" fontId="39" fillId="10" borderId="231" xfId="0" applyFont="1" applyFill="1" applyBorder="1" applyAlignment="1">
      <alignment vertical="top"/>
    </xf>
    <xf numFmtId="0" fontId="39" fillId="10" borderId="225" xfId="0" applyFont="1" applyFill="1" applyBorder="1" applyAlignment="1">
      <alignment vertical="top"/>
    </xf>
    <xf numFmtId="0" fontId="39" fillId="10" borderId="232" xfId="0" applyFont="1" applyFill="1" applyBorder="1" applyAlignment="1">
      <alignment vertical="top"/>
    </xf>
    <xf numFmtId="166" fontId="4" fillId="4" borderId="1" xfId="0" applyNumberFormat="1" applyFont="1" applyFill="1" applyBorder="1" applyAlignment="1">
      <alignment horizontal="center" vertical="center"/>
    </xf>
    <xf numFmtId="0" fontId="20" fillId="0" borderId="19" xfId="0" applyFont="1" applyBorder="1" applyAlignment="1" applyProtection="1">
      <alignment horizontal="center" vertical="center"/>
      <protection hidden="1"/>
    </xf>
    <xf numFmtId="0" fontId="20" fillId="0" borderId="20" xfId="0" applyFont="1" applyBorder="1" applyAlignment="1" applyProtection="1">
      <alignment horizontal="center" vertical="center"/>
      <protection hidden="1"/>
    </xf>
    <xf numFmtId="0" fontId="20" fillId="0" borderId="21" xfId="0" applyFont="1" applyBorder="1" applyAlignment="1" applyProtection="1">
      <alignment horizontal="center" vertical="center"/>
      <protection hidden="1"/>
    </xf>
    <xf numFmtId="0" fontId="20" fillId="0" borderId="23" xfId="0" applyFont="1" applyBorder="1" applyAlignment="1" applyProtection="1">
      <alignment horizontal="center" vertical="center"/>
      <protection hidden="1"/>
    </xf>
    <xf numFmtId="0" fontId="20" fillId="0" borderId="17" xfId="0" applyFont="1" applyBorder="1" applyAlignment="1" applyProtection="1">
      <alignment horizontal="center" vertical="center"/>
      <protection hidden="1"/>
    </xf>
    <xf numFmtId="0" fontId="20" fillId="0" borderId="18" xfId="0" applyFont="1" applyBorder="1" applyAlignment="1" applyProtection="1">
      <alignment horizontal="center" vertical="center"/>
      <protection hidden="1"/>
    </xf>
    <xf numFmtId="0" fontId="23" fillId="0" borderId="23" xfId="0" applyFont="1" applyBorder="1" applyAlignment="1" applyProtection="1">
      <alignment vertical="center"/>
      <protection hidden="1"/>
    </xf>
    <xf numFmtId="0" fontId="23" fillId="0" borderId="17" xfId="0" applyFont="1" applyBorder="1" applyAlignment="1" applyProtection="1">
      <alignment vertical="center"/>
      <protection hidden="1"/>
    </xf>
    <xf numFmtId="0" fontId="23" fillId="0" borderId="18" xfId="0" applyFont="1" applyBorder="1" applyAlignment="1" applyProtection="1">
      <alignment vertical="center"/>
      <protection hidden="1"/>
    </xf>
    <xf numFmtId="0" fontId="20" fillId="0" borderId="85" xfId="0" applyFont="1" applyBorder="1" applyAlignment="1" applyProtection="1">
      <alignment horizontal="center" vertical="center"/>
      <protection hidden="1"/>
    </xf>
    <xf numFmtId="0" fontId="20" fillId="0" borderId="86" xfId="0" applyFont="1" applyBorder="1" applyAlignment="1" applyProtection="1">
      <alignment horizontal="center" vertical="center"/>
      <protection hidden="1"/>
    </xf>
    <xf numFmtId="0" fontId="20" fillId="0" borderId="87" xfId="0" applyFont="1" applyBorder="1" applyAlignment="1" applyProtection="1">
      <alignment horizontal="center" vertical="center"/>
      <protection hidden="1"/>
    </xf>
    <xf numFmtId="0" fontId="23" fillId="0" borderId="19" xfId="0" applyFont="1" applyBorder="1" applyAlignment="1" applyProtection="1">
      <alignment horizontal="center" vertical="center"/>
      <protection hidden="1"/>
    </xf>
    <xf numFmtId="0" fontId="23" fillId="0" borderId="20" xfId="0" applyFont="1" applyBorder="1" applyAlignment="1" applyProtection="1">
      <alignment horizontal="center" vertical="center"/>
      <protection hidden="1"/>
    </xf>
    <xf numFmtId="0" fontId="23" fillId="0" borderId="21" xfId="0" applyFont="1" applyBorder="1" applyAlignment="1" applyProtection="1">
      <alignment horizontal="center" vertical="center"/>
      <protection hidden="1"/>
    </xf>
    <xf numFmtId="0" fontId="23" fillId="0" borderId="22" xfId="0" applyFont="1" applyBorder="1" applyAlignment="1" applyProtection="1">
      <alignment horizontal="center" vertical="center"/>
      <protection hidden="1"/>
    </xf>
    <xf numFmtId="0" fontId="23" fillId="0" borderId="15" xfId="0" applyFont="1" applyBorder="1" applyAlignment="1" applyProtection="1">
      <alignment horizontal="center" vertical="center"/>
      <protection hidden="1"/>
    </xf>
    <xf numFmtId="0" fontId="23" fillId="0" borderId="23" xfId="0" applyFont="1" applyBorder="1" applyAlignment="1" applyProtection="1">
      <alignment horizontal="center" vertical="center"/>
      <protection hidden="1"/>
    </xf>
    <xf numFmtId="0" fontId="23" fillId="0" borderId="17" xfId="0" applyFont="1" applyBorder="1" applyAlignment="1" applyProtection="1">
      <alignment horizontal="center" vertical="center"/>
      <protection hidden="1"/>
    </xf>
    <xf numFmtId="0" fontId="23" fillId="0" borderId="18" xfId="0" applyFont="1" applyBorder="1" applyAlignment="1" applyProtection="1">
      <alignment horizontal="center" vertical="center"/>
      <protection hidden="1"/>
    </xf>
    <xf numFmtId="10" fontId="23" fillId="0" borderId="19" xfId="1" applyNumberFormat="1" applyFont="1" applyFill="1" applyBorder="1" applyAlignment="1" applyProtection="1">
      <alignment vertical="center"/>
      <protection hidden="1"/>
    </xf>
    <xf numFmtId="10" fontId="23" fillId="0" borderId="20" xfId="1" applyNumberFormat="1" applyFont="1" applyFill="1" applyBorder="1" applyAlignment="1" applyProtection="1">
      <alignment vertical="center"/>
      <protection hidden="1"/>
    </xf>
    <xf numFmtId="10" fontId="23" fillId="0" borderId="21" xfId="1" applyNumberFormat="1" applyFont="1" applyFill="1" applyBorder="1" applyAlignment="1" applyProtection="1">
      <alignment vertical="center"/>
      <protection hidden="1"/>
    </xf>
    <xf numFmtId="10" fontId="23" fillId="0" borderId="22" xfId="1" applyNumberFormat="1" applyFont="1" applyFill="1" applyBorder="1" applyAlignment="1" applyProtection="1">
      <alignment vertical="center"/>
      <protection hidden="1"/>
    </xf>
    <xf numFmtId="10" fontId="23" fillId="0" borderId="15" xfId="1" applyNumberFormat="1" applyFont="1" applyFill="1" applyBorder="1" applyAlignment="1" applyProtection="1">
      <alignment vertical="center"/>
      <protection hidden="1"/>
    </xf>
    <xf numFmtId="10" fontId="23" fillId="0" borderId="23" xfId="1" applyNumberFormat="1" applyFont="1" applyFill="1" applyBorder="1" applyAlignment="1" applyProtection="1">
      <alignment vertical="center"/>
      <protection hidden="1"/>
    </xf>
    <xf numFmtId="10" fontId="23" fillId="0" borderId="17" xfId="1" applyNumberFormat="1" applyFont="1" applyFill="1" applyBorder="1" applyAlignment="1" applyProtection="1">
      <alignment vertical="center"/>
      <protection hidden="1"/>
    </xf>
    <xf numFmtId="10" fontId="23" fillId="0" borderId="18" xfId="1" applyNumberFormat="1" applyFont="1" applyFill="1" applyBorder="1" applyAlignment="1" applyProtection="1">
      <alignment vertical="center"/>
      <protection hidden="1"/>
    </xf>
    <xf numFmtId="0" fontId="12" fillId="8" borderId="0" xfId="0" applyFont="1" applyFill="1" applyProtection="1">
      <protection hidden="1"/>
    </xf>
    <xf numFmtId="0" fontId="27" fillId="2" borderId="145" xfId="2" applyFont="1" applyFill="1" applyBorder="1" applyAlignment="1" applyProtection="1">
      <alignment horizontal="center" vertical="center" wrapText="1"/>
      <protection hidden="1"/>
    </xf>
    <xf numFmtId="0" fontId="27" fillId="2" borderId="146" xfId="2" applyFont="1" applyFill="1" applyBorder="1" applyAlignment="1" applyProtection="1">
      <alignment horizontal="center" vertical="center" wrapText="1"/>
      <protection hidden="1"/>
    </xf>
    <xf numFmtId="0" fontId="27" fillId="2" borderId="147" xfId="2" applyFont="1" applyFill="1" applyBorder="1" applyAlignment="1" applyProtection="1">
      <alignment horizontal="center" vertical="center" wrapText="1"/>
      <protection hidden="1"/>
    </xf>
    <xf numFmtId="0" fontId="27" fillId="2" borderId="148" xfId="2" applyFont="1" applyFill="1" applyBorder="1" applyAlignment="1" applyProtection="1">
      <alignment horizontal="center" vertical="center" wrapText="1"/>
      <protection hidden="1"/>
    </xf>
    <xf numFmtId="0" fontId="27" fillId="2" borderId="0" xfId="2" applyFont="1" applyFill="1" applyAlignment="1" applyProtection="1">
      <alignment horizontal="center" vertical="center" wrapText="1"/>
      <protection hidden="1"/>
    </xf>
    <xf numFmtId="0" fontId="27" fillId="2" borderId="149" xfId="2" applyFont="1" applyFill="1" applyBorder="1" applyAlignment="1" applyProtection="1">
      <alignment horizontal="center" vertical="center" wrapText="1"/>
      <protection hidden="1"/>
    </xf>
    <xf numFmtId="0" fontId="27" fillId="2" borderId="150" xfId="2" applyFont="1" applyFill="1" applyBorder="1" applyAlignment="1" applyProtection="1">
      <alignment horizontal="center" vertical="center" wrapText="1"/>
      <protection hidden="1"/>
    </xf>
    <xf numFmtId="0" fontId="27" fillId="2" borderId="151" xfId="2" applyFont="1" applyFill="1" applyBorder="1" applyAlignment="1" applyProtection="1">
      <alignment horizontal="center" vertical="center" wrapText="1"/>
      <protection hidden="1"/>
    </xf>
    <xf numFmtId="0" fontId="27" fillId="2" borderId="152" xfId="2" applyFont="1" applyFill="1" applyBorder="1" applyAlignment="1" applyProtection="1">
      <alignment horizontal="center" vertical="center" wrapText="1"/>
      <protection hidden="1"/>
    </xf>
    <xf numFmtId="0" fontId="4" fillId="0" borderId="0" xfId="2" applyFont="1" applyAlignment="1" applyProtection="1">
      <alignment horizontal="left" vertical="top" wrapText="1"/>
      <protection hidden="1"/>
    </xf>
    <xf numFmtId="0" fontId="5" fillId="0" borderId="0" xfId="2" applyFont="1" applyAlignment="1" applyProtection="1">
      <alignment horizontal="left" vertical="center"/>
      <protection hidden="1"/>
    </xf>
    <xf numFmtId="14" fontId="4" fillId="12" borderId="2" xfId="2" applyNumberFormat="1" applyFont="1" applyFill="1" applyBorder="1" applyAlignment="1" applyProtection="1">
      <alignment horizontal="left" vertical="center" wrapText="1" indent="1"/>
      <protection locked="0"/>
    </xf>
    <xf numFmtId="0" fontId="4" fillId="12" borderId="3" xfId="2" applyFont="1" applyFill="1" applyBorder="1" applyAlignment="1" applyProtection="1">
      <alignment horizontal="left" vertical="center" wrapText="1" indent="1"/>
      <protection locked="0"/>
    </xf>
    <xf numFmtId="0" fontId="4" fillId="12" borderId="4" xfId="2" applyFont="1" applyFill="1" applyBorder="1" applyAlignment="1" applyProtection="1">
      <alignment horizontal="left" vertical="center" wrapText="1" indent="1"/>
      <protection locked="0"/>
    </xf>
    <xf numFmtId="0" fontId="4" fillId="12" borderId="5" xfId="2" applyFont="1" applyFill="1" applyBorder="1" applyAlignment="1" applyProtection="1">
      <alignment horizontal="left" vertical="center" wrapText="1" indent="1"/>
      <protection locked="0"/>
    </xf>
    <xf numFmtId="0" fontId="4" fillId="12" borderId="6" xfId="2" applyFont="1" applyFill="1" applyBorder="1" applyAlignment="1" applyProtection="1">
      <alignment horizontal="left" vertical="center" wrapText="1" indent="1"/>
      <protection locked="0"/>
    </xf>
    <xf numFmtId="0" fontId="4" fillId="12" borderId="7" xfId="2" applyFont="1" applyFill="1" applyBorder="1" applyAlignment="1" applyProtection="1">
      <alignment horizontal="left" vertical="center" wrapText="1" indent="1"/>
      <protection locked="0"/>
    </xf>
    <xf numFmtId="0" fontId="5" fillId="0" borderId="0" xfId="2" applyFont="1" applyAlignment="1" applyProtection="1">
      <alignment horizontal="center" vertical="center" wrapText="1"/>
      <protection hidden="1"/>
    </xf>
    <xf numFmtId="0" fontId="18" fillId="10" borderId="139" xfId="2" applyFont="1" applyFill="1" applyBorder="1" applyAlignment="1" applyProtection="1">
      <alignment horizontal="center" vertical="center" wrapText="1"/>
      <protection hidden="1"/>
    </xf>
    <xf numFmtId="0" fontId="18" fillId="10" borderId="140" xfId="2" applyFont="1" applyFill="1" applyBorder="1" applyAlignment="1" applyProtection="1">
      <alignment horizontal="center" vertical="center" wrapText="1"/>
      <protection hidden="1"/>
    </xf>
    <xf numFmtId="0" fontId="18" fillId="10" borderId="141" xfId="2" applyFont="1" applyFill="1" applyBorder="1" applyAlignment="1" applyProtection="1">
      <alignment horizontal="center" vertical="center" wrapText="1"/>
      <protection hidden="1"/>
    </xf>
    <xf numFmtId="164" fontId="18" fillId="10" borderId="139" xfId="2" applyNumberFormat="1" applyFont="1" applyFill="1" applyBorder="1" applyAlignment="1" applyProtection="1">
      <alignment horizontal="center" vertical="center" wrapText="1"/>
      <protection hidden="1"/>
    </xf>
    <xf numFmtId="164" fontId="18" fillId="10" borderId="140" xfId="2" applyNumberFormat="1" applyFont="1" applyFill="1" applyBorder="1" applyAlignment="1" applyProtection="1">
      <alignment horizontal="center" vertical="center" wrapText="1"/>
      <protection hidden="1"/>
    </xf>
    <xf numFmtId="164" fontId="18" fillId="10" borderId="141" xfId="2" applyNumberFormat="1" applyFont="1" applyFill="1" applyBorder="1" applyAlignment="1" applyProtection="1">
      <alignment horizontal="center" vertical="center" wrapText="1"/>
      <protection hidden="1"/>
    </xf>
    <xf numFmtId="0" fontId="12" fillId="13" borderId="0" xfId="0" applyFont="1" applyFill="1" applyAlignment="1">
      <alignment horizontal="center" vertical="center"/>
    </xf>
    <xf numFmtId="0" fontId="12" fillId="4" borderId="1" xfId="0" applyFont="1" applyFill="1" applyBorder="1" applyAlignment="1" applyProtection="1">
      <alignment horizontal="left" vertical="center" indent="1"/>
      <protection locked="0"/>
    </xf>
    <xf numFmtId="0" fontId="12" fillId="0" borderId="0" xfId="0" applyFont="1" applyAlignment="1">
      <alignment horizontal="left" vertical="center"/>
    </xf>
    <xf numFmtId="0" fontId="12" fillId="0" borderId="0" xfId="0" applyFont="1" applyAlignment="1">
      <alignment horizontal="left" vertical="center" wrapText="1"/>
    </xf>
    <xf numFmtId="0" fontId="18" fillId="2" borderId="153" xfId="0" applyFont="1" applyFill="1" applyBorder="1" applyAlignment="1">
      <alignment horizontal="center" vertical="center"/>
    </xf>
    <xf numFmtId="0" fontId="18" fillId="2" borderId="154" xfId="0" applyFont="1" applyFill="1" applyBorder="1" applyAlignment="1">
      <alignment horizontal="center" vertical="center"/>
    </xf>
    <xf numFmtId="0" fontId="18" fillId="2" borderId="155" xfId="0" applyFont="1" applyFill="1" applyBorder="1" applyAlignment="1">
      <alignment horizontal="center" vertical="center"/>
    </xf>
    <xf numFmtId="0" fontId="13" fillId="0" borderId="1" xfId="0" applyFont="1" applyBorder="1" applyAlignment="1">
      <alignment horizontal="center" vertical="center" wrapText="1"/>
    </xf>
    <xf numFmtId="0" fontId="13" fillId="0" borderId="92" xfId="0" applyFont="1" applyBorder="1" applyAlignment="1">
      <alignment horizontal="left" vertical="center" wrapText="1" indent="1"/>
    </xf>
    <xf numFmtId="0" fontId="13" fillId="0" borderId="9" xfId="0" applyFont="1" applyBorder="1" applyAlignment="1">
      <alignment horizontal="left" vertical="center" wrapText="1" indent="1"/>
    </xf>
    <xf numFmtId="0" fontId="13" fillId="0" borderId="10" xfId="0" applyFont="1" applyBorder="1" applyAlignment="1">
      <alignment horizontal="left" vertical="center" wrapText="1" indent="1"/>
    </xf>
    <xf numFmtId="0" fontId="13" fillId="0" borderId="1" xfId="0" applyFont="1" applyBorder="1" applyAlignment="1">
      <alignment horizontal="left" vertical="center" indent="1"/>
    </xf>
    <xf numFmtId="0" fontId="19" fillId="0" borderId="0" xfId="0" applyFont="1" applyAlignment="1">
      <alignment horizontal="center" vertical="center" wrapText="1"/>
    </xf>
    <xf numFmtId="0" fontId="18" fillId="10" borderId="142" xfId="0" applyFont="1" applyFill="1" applyBorder="1" applyAlignment="1">
      <alignment horizontal="center" vertical="center" wrapText="1"/>
    </xf>
    <xf numFmtId="0" fontId="18" fillId="10" borderId="143" xfId="0" applyFont="1" applyFill="1" applyBorder="1" applyAlignment="1">
      <alignment horizontal="center" vertical="center"/>
    </xf>
    <xf numFmtId="0" fontId="18" fillId="10" borderId="144" xfId="0" applyFont="1" applyFill="1" applyBorder="1" applyAlignment="1">
      <alignment horizontal="center" vertical="center"/>
    </xf>
    <xf numFmtId="0" fontId="6" fillId="0" borderId="0" xfId="0" applyFont="1" applyAlignment="1">
      <alignment horizontal="left" wrapText="1"/>
    </xf>
    <xf numFmtId="0" fontId="13" fillId="0" borderId="92" xfId="0" applyFont="1" applyBorder="1" applyAlignment="1">
      <alignment horizontal="left" vertical="center" indent="1"/>
    </xf>
    <xf numFmtId="0" fontId="13" fillId="0" borderId="10" xfId="0" applyFont="1" applyBorder="1" applyAlignment="1">
      <alignment horizontal="left" vertical="center" indent="1"/>
    </xf>
    <xf numFmtId="0" fontId="18" fillId="0" borderId="0" xfId="0" applyFont="1" applyAlignment="1" applyProtection="1">
      <alignment horizontal="left" vertical="center"/>
      <protection hidden="1"/>
    </xf>
    <xf numFmtId="0" fontId="13" fillId="11" borderId="1" xfId="0" applyFont="1" applyFill="1" applyBorder="1" applyAlignment="1" applyProtection="1">
      <alignment horizontal="center" vertical="center" wrapText="1"/>
      <protection hidden="1"/>
    </xf>
    <xf numFmtId="0" fontId="24" fillId="0" borderId="0" xfId="0" applyFont="1" applyAlignment="1" applyProtection="1">
      <alignment horizontal="center" vertical="center" wrapText="1"/>
      <protection hidden="1"/>
    </xf>
    <xf numFmtId="0" fontId="24" fillId="0" borderId="0" xfId="0" applyFont="1" applyAlignment="1" applyProtection="1">
      <alignment horizontal="center" vertical="center"/>
      <protection hidden="1"/>
    </xf>
    <xf numFmtId="0" fontId="20" fillId="0" borderId="0" xfId="0" applyFont="1" applyAlignment="1" applyProtection="1">
      <alignment horizontal="left" vertical="center" indent="1"/>
      <protection hidden="1"/>
    </xf>
    <xf numFmtId="0" fontId="30" fillId="10" borderId="143" xfId="0" applyFont="1" applyFill="1" applyBorder="1" applyAlignment="1" applyProtection="1">
      <alignment horizontal="left" vertical="center" wrapText="1"/>
      <protection hidden="1"/>
    </xf>
    <xf numFmtId="0" fontId="30" fillId="10" borderId="144" xfId="0" applyFont="1" applyFill="1" applyBorder="1" applyAlignment="1" applyProtection="1">
      <alignment horizontal="left" vertical="center" wrapText="1"/>
      <protection hidden="1"/>
    </xf>
    <xf numFmtId="0" fontId="26" fillId="2" borderId="153" xfId="2" applyFont="1" applyFill="1" applyBorder="1" applyAlignment="1" applyProtection="1">
      <alignment horizontal="center" vertical="center"/>
      <protection hidden="1"/>
    </xf>
    <xf numFmtId="0" fontId="26" fillId="2" borderId="154" xfId="2" applyFont="1" applyFill="1" applyBorder="1" applyAlignment="1" applyProtection="1">
      <alignment horizontal="center" vertical="center"/>
      <protection hidden="1"/>
    </xf>
    <xf numFmtId="0" fontId="26" fillId="2" borderId="155" xfId="2" applyFont="1" applyFill="1" applyBorder="1" applyAlignment="1" applyProtection="1">
      <alignment horizontal="center" vertical="center"/>
      <protection hidden="1"/>
    </xf>
    <xf numFmtId="10" fontId="5" fillId="11" borderId="1" xfId="2" applyNumberFormat="1" applyFont="1" applyFill="1" applyBorder="1" applyAlignment="1" applyProtection="1">
      <alignment horizontal="center" vertical="center"/>
      <protection hidden="1"/>
    </xf>
    <xf numFmtId="0" fontId="20" fillId="0" borderId="26" xfId="0" applyFont="1" applyBorder="1" applyAlignment="1" applyProtection="1">
      <alignment horizontal="center" vertical="center"/>
      <protection hidden="1"/>
    </xf>
    <xf numFmtId="0" fontId="20" fillId="0" borderId="28" xfId="0" applyFont="1" applyBorder="1" applyAlignment="1" applyProtection="1">
      <alignment horizontal="center" vertical="center"/>
      <protection hidden="1"/>
    </xf>
    <xf numFmtId="0" fontId="13" fillId="11" borderId="75" xfId="0" applyFont="1" applyFill="1" applyBorder="1" applyAlignment="1" applyProtection="1">
      <alignment horizontal="center" vertical="center" wrapText="1"/>
      <protection hidden="1"/>
    </xf>
    <xf numFmtId="0" fontId="13" fillId="11" borderId="76" xfId="0" applyFont="1" applyFill="1" applyBorder="1" applyAlignment="1" applyProtection="1">
      <alignment horizontal="center" vertical="center" wrapText="1"/>
      <protection hidden="1"/>
    </xf>
    <xf numFmtId="0" fontId="13" fillId="11" borderId="77" xfId="0" applyFont="1" applyFill="1" applyBorder="1" applyAlignment="1" applyProtection="1">
      <alignment horizontal="center" vertical="center" wrapText="1"/>
      <protection hidden="1"/>
    </xf>
    <xf numFmtId="0" fontId="30" fillId="10" borderId="143" xfId="0" applyFont="1" applyFill="1" applyBorder="1" applyAlignment="1" applyProtection="1">
      <alignment horizontal="justify" vertical="center" wrapText="1"/>
      <protection hidden="1"/>
    </xf>
    <xf numFmtId="0" fontId="30" fillId="10" borderId="144" xfId="0" applyFont="1" applyFill="1" applyBorder="1" applyAlignment="1" applyProtection="1">
      <alignment horizontal="justify" vertical="center" wrapText="1"/>
      <protection hidden="1"/>
    </xf>
    <xf numFmtId="0" fontId="30" fillId="10" borderId="143" xfId="0" applyFont="1" applyFill="1" applyBorder="1" applyAlignment="1" applyProtection="1">
      <alignment horizontal="left" vertical="center"/>
      <protection hidden="1"/>
    </xf>
    <xf numFmtId="0" fontId="30" fillId="10" borderId="144" xfId="0" applyFont="1" applyFill="1" applyBorder="1" applyAlignment="1" applyProtection="1">
      <alignment horizontal="left" vertical="center"/>
      <protection hidden="1"/>
    </xf>
    <xf numFmtId="0" fontId="12" fillId="14" borderId="75" xfId="0" applyFont="1" applyFill="1" applyBorder="1" applyAlignment="1" applyProtection="1">
      <alignment horizontal="center" vertical="center"/>
      <protection locked="0" hidden="1"/>
    </xf>
    <xf numFmtId="0" fontId="12" fillId="14" borderId="76" xfId="0" applyFont="1" applyFill="1" applyBorder="1" applyAlignment="1" applyProtection="1">
      <alignment horizontal="center" vertical="center"/>
      <protection locked="0" hidden="1"/>
    </xf>
    <xf numFmtId="0" fontId="12" fillId="14" borderId="77" xfId="0" applyFont="1" applyFill="1" applyBorder="1" applyAlignment="1" applyProtection="1">
      <alignment horizontal="center" vertical="center"/>
      <protection locked="0" hidden="1"/>
    </xf>
    <xf numFmtId="0" fontId="13" fillId="11" borderId="0" xfId="0" applyFont="1" applyFill="1" applyAlignment="1" applyProtection="1">
      <alignment horizontal="left" vertical="center" wrapText="1" indent="1"/>
      <protection hidden="1"/>
    </xf>
    <xf numFmtId="0" fontId="13" fillId="11" borderId="11" xfId="0" applyFont="1" applyFill="1" applyBorder="1" applyAlignment="1" applyProtection="1">
      <alignment horizontal="left" vertical="center" wrapText="1" indent="1"/>
      <protection hidden="1"/>
    </xf>
    <xf numFmtId="0" fontId="29" fillId="10" borderId="156" xfId="0" applyFont="1" applyFill="1" applyBorder="1" applyAlignment="1" applyProtection="1">
      <alignment horizontal="center" vertical="center"/>
      <protection hidden="1"/>
    </xf>
    <xf numFmtId="0" fontId="29" fillId="10" borderId="157" xfId="0" applyFont="1" applyFill="1" applyBorder="1" applyAlignment="1" applyProtection="1">
      <alignment horizontal="center" vertical="center"/>
      <protection hidden="1"/>
    </xf>
    <xf numFmtId="0" fontId="29" fillId="10" borderId="158" xfId="0" applyFont="1" applyFill="1" applyBorder="1" applyAlignment="1" applyProtection="1">
      <alignment horizontal="center" vertical="center"/>
      <protection hidden="1"/>
    </xf>
    <xf numFmtId="0" fontId="30" fillId="10" borderId="161" xfId="0" applyFont="1" applyFill="1" applyBorder="1" applyAlignment="1" applyProtection="1">
      <alignment horizontal="left" vertical="center" wrapText="1" indent="1"/>
      <protection hidden="1"/>
    </xf>
    <xf numFmtId="0" fontId="30" fillId="10" borderId="162" xfId="0" applyFont="1" applyFill="1" applyBorder="1" applyAlignment="1" applyProtection="1">
      <alignment horizontal="left" vertical="center" wrapText="1" indent="1"/>
      <protection hidden="1"/>
    </xf>
    <xf numFmtId="0" fontId="29" fillId="10" borderId="159" xfId="0" applyFont="1" applyFill="1" applyBorder="1" applyAlignment="1" applyProtection="1">
      <alignment horizontal="left" vertical="center"/>
      <protection hidden="1"/>
    </xf>
    <xf numFmtId="0" fontId="29" fillId="10" borderId="0" xfId="0" applyFont="1" applyFill="1" applyAlignment="1" applyProtection="1">
      <alignment horizontal="left" vertical="center"/>
      <protection hidden="1"/>
    </xf>
    <xf numFmtId="0" fontId="30" fillId="10" borderId="163" xfId="0" applyFont="1" applyFill="1" applyBorder="1" applyAlignment="1" applyProtection="1">
      <alignment horizontal="left" vertical="center" wrapText="1" indent="1"/>
      <protection hidden="1"/>
    </xf>
    <xf numFmtId="0" fontId="29" fillId="10" borderId="0" xfId="0" applyFont="1" applyFill="1" applyAlignment="1" applyProtection="1">
      <alignment horizontal="center" vertical="center"/>
      <protection hidden="1"/>
    </xf>
    <xf numFmtId="0" fontId="29" fillId="10" borderId="162" xfId="0" applyFont="1" applyFill="1" applyBorder="1" applyAlignment="1" applyProtection="1">
      <alignment horizontal="center" vertical="center"/>
      <protection hidden="1"/>
    </xf>
    <xf numFmtId="0" fontId="12" fillId="0" borderId="0" xfId="0" applyFont="1" applyAlignment="1">
      <alignment horizontal="center" vertical="center"/>
    </xf>
    <xf numFmtId="0" fontId="12" fillId="0" borderId="6" xfId="0" applyFont="1" applyBorder="1" applyAlignment="1">
      <alignment horizontal="center" vertical="center"/>
    </xf>
    <xf numFmtId="0" fontId="32" fillId="10" borderId="12" xfId="0" applyFont="1" applyFill="1" applyBorder="1" applyAlignment="1" applyProtection="1">
      <alignment horizontal="center" vertical="center" wrapText="1"/>
      <protection hidden="1"/>
    </xf>
    <xf numFmtId="0" fontId="32" fillId="10" borderId="99" xfId="0" applyFont="1" applyFill="1" applyBorder="1" applyAlignment="1" applyProtection="1">
      <alignment horizontal="center" vertical="center" wrapText="1"/>
      <protection hidden="1"/>
    </xf>
    <xf numFmtId="0" fontId="32" fillId="10" borderId="13" xfId="0" applyFont="1" applyFill="1" applyBorder="1" applyAlignment="1" applyProtection="1">
      <alignment horizontal="center" vertical="center" wrapText="1"/>
      <protection hidden="1"/>
    </xf>
    <xf numFmtId="0" fontId="18" fillId="10" borderId="121" xfId="0" applyFont="1" applyFill="1" applyBorder="1" applyAlignment="1" applyProtection="1">
      <alignment horizontal="center" vertical="center" wrapText="1"/>
      <protection hidden="1"/>
    </xf>
    <xf numFmtId="0" fontId="18" fillId="10" borderId="105" xfId="0" applyFont="1" applyFill="1" applyBorder="1" applyAlignment="1" applyProtection="1">
      <alignment horizontal="center" vertical="center" wrapText="1"/>
      <protection hidden="1"/>
    </xf>
    <xf numFmtId="0" fontId="18" fillId="10" borderId="122" xfId="0" applyFont="1" applyFill="1" applyBorder="1" applyAlignment="1" applyProtection="1">
      <alignment horizontal="center" vertical="center" wrapText="1"/>
      <protection hidden="1"/>
    </xf>
    <xf numFmtId="0" fontId="13" fillId="10" borderId="22" xfId="0" applyFont="1" applyFill="1" applyBorder="1" applyAlignment="1" applyProtection="1">
      <alignment horizontal="center" vertical="center" wrapText="1"/>
      <protection hidden="1"/>
    </xf>
    <xf numFmtId="0" fontId="13" fillId="10" borderId="23" xfId="0" applyFont="1" applyFill="1" applyBorder="1" applyAlignment="1" applyProtection="1">
      <alignment horizontal="center" vertical="center" wrapText="1"/>
      <protection hidden="1"/>
    </xf>
    <xf numFmtId="0" fontId="13" fillId="13" borderId="1" xfId="0" applyFont="1" applyFill="1" applyBorder="1" applyAlignment="1" applyProtection="1">
      <alignment horizontal="center" vertical="center" wrapText="1"/>
      <protection hidden="1"/>
    </xf>
    <xf numFmtId="0" fontId="13" fillId="13" borderId="17" xfId="0" applyFont="1" applyFill="1" applyBorder="1" applyAlignment="1" applyProtection="1">
      <alignment horizontal="center" vertical="center" wrapText="1"/>
      <protection hidden="1"/>
    </xf>
    <xf numFmtId="0" fontId="13" fillId="10" borderId="15" xfId="0" applyFont="1" applyFill="1" applyBorder="1" applyAlignment="1" applyProtection="1">
      <alignment horizontal="center" vertical="center" wrapText="1"/>
      <protection hidden="1"/>
    </xf>
    <xf numFmtId="0" fontId="13" fillId="10" borderId="18" xfId="0" applyFont="1" applyFill="1" applyBorder="1" applyAlignment="1" applyProtection="1">
      <alignment horizontal="center" vertical="center" wrapText="1"/>
      <protection hidden="1"/>
    </xf>
    <xf numFmtId="0" fontId="12" fillId="0" borderId="32" xfId="0" applyFont="1" applyBorder="1" applyAlignment="1">
      <alignment horizontal="center" vertical="center"/>
    </xf>
    <xf numFmtId="0" fontId="12" fillId="0" borderId="11" xfId="0" applyFont="1" applyBorder="1" applyAlignment="1">
      <alignment horizontal="center" vertical="center"/>
    </xf>
    <xf numFmtId="0" fontId="18" fillId="10" borderId="65" xfId="0" applyFont="1" applyFill="1" applyBorder="1" applyAlignment="1" applyProtection="1">
      <alignment horizontal="center" vertical="center" wrapText="1"/>
      <protection hidden="1"/>
    </xf>
    <xf numFmtId="0" fontId="18" fillId="10" borderId="49" xfId="0" applyFont="1" applyFill="1" applyBorder="1" applyAlignment="1" applyProtection="1">
      <alignment horizontal="center" vertical="center" wrapText="1"/>
      <protection hidden="1"/>
    </xf>
    <xf numFmtId="0" fontId="18" fillId="10" borderId="66" xfId="0" applyFont="1" applyFill="1" applyBorder="1" applyAlignment="1" applyProtection="1">
      <alignment horizontal="center" vertical="center" wrapText="1"/>
      <protection hidden="1"/>
    </xf>
    <xf numFmtId="0" fontId="18" fillId="10" borderId="127" xfId="0" applyFont="1" applyFill="1" applyBorder="1" applyAlignment="1" applyProtection="1">
      <alignment horizontal="center" vertical="center" wrapText="1"/>
      <protection hidden="1"/>
    </xf>
    <xf numFmtId="0" fontId="18" fillId="10" borderId="101" xfId="0" applyFont="1" applyFill="1" applyBorder="1" applyAlignment="1" applyProtection="1">
      <alignment horizontal="center" vertical="center" wrapText="1"/>
      <protection hidden="1"/>
    </xf>
    <xf numFmtId="0" fontId="18" fillId="10" borderId="125" xfId="0" applyFont="1" applyFill="1" applyBorder="1" applyAlignment="1" applyProtection="1">
      <alignment horizontal="center" vertical="center" wrapText="1"/>
      <protection hidden="1"/>
    </xf>
    <xf numFmtId="0" fontId="12" fillId="0" borderId="32" xfId="0" applyFont="1" applyBorder="1" applyAlignment="1">
      <alignment horizontal="center" vertical="center" wrapText="1"/>
    </xf>
    <xf numFmtId="0" fontId="18" fillId="10" borderId="57" xfId="0" applyFont="1" applyFill="1" applyBorder="1" applyAlignment="1" applyProtection="1">
      <alignment horizontal="center" vertical="center"/>
      <protection hidden="1"/>
    </xf>
    <xf numFmtId="0" fontId="18" fillId="10" borderId="27" xfId="0" applyFont="1" applyFill="1" applyBorder="1" applyAlignment="1" applyProtection="1">
      <alignment horizontal="center" vertical="center"/>
      <protection hidden="1"/>
    </xf>
    <xf numFmtId="0" fontId="18" fillId="10" borderId="28" xfId="0" applyFont="1" applyFill="1" applyBorder="1" applyAlignment="1" applyProtection="1">
      <alignment horizontal="center" vertical="center"/>
      <protection hidden="1"/>
    </xf>
    <xf numFmtId="0" fontId="13" fillId="0" borderId="0" xfId="0" applyFont="1" applyAlignment="1">
      <alignment horizontal="center" vertical="center" wrapText="1"/>
    </xf>
    <xf numFmtId="0" fontId="13" fillId="13" borderId="119" xfId="0" applyFont="1" applyFill="1" applyBorder="1" applyAlignment="1" applyProtection="1">
      <alignment horizontal="center" vertical="center" wrapText="1"/>
      <protection hidden="1"/>
    </xf>
    <xf numFmtId="0" fontId="13" fillId="13" borderId="134" xfId="0" applyFont="1" applyFill="1" applyBorder="1" applyAlignment="1" applyProtection="1">
      <alignment horizontal="center" vertical="center" wrapText="1"/>
      <protection hidden="1"/>
    </xf>
    <xf numFmtId="0" fontId="13" fillId="13" borderId="120" xfId="0" applyFont="1" applyFill="1" applyBorder="1" applyAlignment="1" applyProtection="1">
      <alignment horizontal="center" vertical="center" wrapText="1"/>
      <protection hidden="1"/>
    </xf>
    <xf numFmtId="0" fontId="38" fillId="2" borderId="198" xfId="0" applyFont="1" applyFill="1" applyBorder="1" applyAlignment="1">
      <alignment horizontal="center" vertical="center"/>
    </xf>
    <xf numFmtId="0" fontId="38" fillId="2" borderId="172" xfId="0" applyFont="1" applyFill="1" applyBorder="1" applyAlignment="1">
      <alignment horizontal="center" vertical="center"/>
    </xf>
    <xf numFmtId="0" fontId="38" fillId="2" borderId="49" xfId="0" applyFont="1" applyFill="1" applyBorder="1" applyAlignment="1" applyProtection="1">
      <alignment horizontal="center" vertical="center"/>
      <protection hidden="1"/>
    </xf>
    <xf numFmtId="0" fontId="38" fillId="2" borderId="47" xfId="0" applyFont="1" applyFill="1" applyBorder="1" applyAlignment="1" applyProtection="1">
      <alignment horizontal="center" vertical="center"/>
      <protection hidden="1"/>
    </xf>
    <xf numFmtId="0" fontId="38" fillId="2" borderId="42" xfId="0" applyFont="1" applyFill="1" applyBorder="1" applyAlignment="1" applyProtection="1">
      <alignment horizontal="center" vertical="center"/>
      <protection hidden="1"/>
    </xf>
    <xf numFmtId="0" fontId="38" fillId="2" borderId="43" xfId="0" applyFont="1" applyFill="1" applyBorder="1" applyAlignment="1" applyProtection="1">
      <alignment horizontal="center" vertical="center"/>
      <protection hidden="1"/>
    </xf>
    <xf numFmtId="0" fontId="13" fillId="10" borderId="67" xfId="0" applyFont="1" applyFill="1" applyBorder="1" applyAlignment="1" applyProtection="1">
      <alignment horizontal="center" vertical="center" wrapText="1"/>
      <protection hidden="1"/>
    </xf>
    <xf numFmtId="0" fontId="13" fillId="10" borderId="16" xfId="0" applyFont="1" applyFill="1" applyBorder="1" applyAlignment="1" applyProtection="1">
      <alignment horizontal="center" vertical="center" wrapText="1"/>
      <protection hidden="1"/>
    </xf>
    <xf numFmtId="0" fontId="13" fillId="10" borderId="59" xfId="0" applyFont="1" applyFill="1" applyBorder="1" applyAlignment="1" applyProtection="1">
      <alignment horizontal="center" vertical="center" wrapText="1"/>
      <protection hidden="1"/>
    </xf>
    <xf numFmtId="0" fontId="12" fillId="0" borderId="92" xfId="0" applyFont="1" applyBorder="1" applyAlignment="1">
      <alignment horizontal="center" vertical="center" wrapText="1"/>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3" fillId="11" borderId="129" xfId="0" applyFont="1" applyFill="1" applyBorder="1" applyAlignment="1" applyProtection="1">
      <alignment horizontal="center" vertical="center"/>
      <protection hidden="1"/>
    </xf>
    <xf numFmtId="0" fontId="13" fillId="11" borderId="112" xfId="0" applyFont="1" applyFill="1" applyBorder="1" applyAlignment="1" applyProtection="1">
      <alignment horizontal="center" vertical="center"/>
      <protection hidden="1"/>
    </xf>
    <xf numFmtId="0" fontId="14" fillId="15" borderId="56" xfId="0" applyFont="1" applyFill="1" applyBorder="1" applyAlignment="1" applyProtection="1">
      <alignment horizontal="center" vertical="center" wrapText="1"/>
      <protection hidden="1"/>
    </xf>
    <xf numFmtId="0" fontId="14" fillId="15" borderId="26" xfId="0" applyFont="1" applyFill="1" applyBorder="1" applyAlignment="1" applyProtection="1">
      <alignment horizontal="center" vertical="center" wrapText="1"/>
      <protection hidden="1"/>
    </xf>
    <xf numFmtId="0" fontId="14" fillId="15" borderId="57" xfId="0" applyFont="1" applyFill="1" applyBorder="1" applyAlignment="1" applyProtection="1">
      <alignment horizontal="center" vertical="center" wrapText="1"/>
      <protection hidden="1"/>
    </xf>
    <xf numFmtId="0" fontId="14" fillId="15" borderId="28" xfId="0" applyFont="1" applyFill="1" applyBorder="1" applyAlignment="1" applyProtection="1">
      <alignment horizontal="center" vertical="center" wrapText="1"/>
      <protection hidden="1"/>
    </xf>
    <xf numFmtId="0" fontId="13" fillId="11" borderId="39" xfId="0" applyFont="1" applyFill="1" applyBorder="1" applyAlignment="1" applyProtection="1">
      <alignment horizontal="center" vertical="center"/>
      <protection hidden="1"/>
    </xf>
    <xf numFmtId="0" fontId="13" fillId="11" borderId="80" xfId="0" applyFont="1" applyFill="1" applyBorder="1" applyAlignment="1" applyProtection="1">
      <alignment horizontal="center" vertical="center"/>
      <protection hidden="1"/>
    </xf>
    <xf numFmtId="0" fontId="13" fillId="10" borderId="21" xfId="0" applyFont="1" applyFill="1" applyBorder="1" applyAlignment="1" applyProtection="1">
      <alignment horizontal="center" vertical="center" wrapText="1"/>
      <protection hidden="1"/>
    </xf>
    <xf numFmtId="0" fontId="31" fillId="10" borderId="12" xfId="0" applyFont="1" applyFill="1" applyBorder="1" applyAlignment="1" applyProtection="1">
      <alignment horizontal="center" vertical="center"/>
      <protection hidden="1"/>
    </xf>
    <xf numFmtId="0" fontId="31" fillId="10" borderId="99" xfId="0" applyFont="1" applyFill="1" applyBorder="1" applyAlignment="1" applyProtection="1">
      <alignment horizontal="center" vertical="center"/>
      <protection hidden="1"/>
    </xf>
    <xf numFmtId="0" fontId="31" fillId="10" borderId="13" xfId="0" applyFont="1" applyFill="1" applyBorder="1" applyAlignment="1" applyProtection="1">
      <alignment horizontal="center" vertical="center"/>
      <protection hidden="1"/>
    </xf>
    <xf numFmtId="0" fontId="31" fillId="10" borderId="12" xfId="0" applyFont="1" applyFill="1" applyBorder="1" applyAlignment="1" applyProtection="1">
      <alignment horizontal="center" vertical="center" wrapText="1"/>
      <protection hidden="1"/>
    </xf>
    <xf numFmtId="0" fontId="31" fillId="10" borderId="99" xfId="0" applyFont="1" applyFill="1" applyBorder="1" applyAlignment="1" applyProtection="1">
      <alignment horizontal="center" vertical="center" wrapText="1"/>
      <protection hidden="1"/>
    </xf>
    <xf numFmtId="0" fontId="31" fillId="10" borderId="13" xfId="0" applyFont="1" applyFill="1" applyBorder="1" applyAlignment="1" applyProtection="1">
      <alignment horizontal="center" vertical="center" wrapText="1"/>
      <protection hidden="1"/>
    </xf>
    <xf numFmtId="0" fontId="23" fillId="0" borderId="92" xfId="0" applyFont="1" applyBorder="1" applyAlignment="1" applyProtection="1">
      <alignment horizontal="left" vertical="center" wrapText="1" indent="1"/>
      <protection hidden="1"/>
    </xf>
    <xf numFmtId="0" fontId="23" fillId="0" borderId="9" xfId="0" applyFont="1" applyBorder="1" applyAlignment="1" applyProtection="1">
      <alignment horizontal="left" vertical="center" wrapText="1" indent="1"/>
      <protection hidden="1"/>
    </xf>
    <xf numFmtId="0" fontId="23" fillId="0" borderId="52" xfId="0" applyFont="1" applyBorder="1" applyAlignment="1" applyProtection="1">
      <alignment horizontal="left" vertical="center" wrapText="1" indent="1"/>
      <protection hidden="1"/>
    </xf>
    <xf numFmtId="0" fontId="13" fillId="13" borderId="216" xfId="0" applyFont="1" applyFill="1" applyBorder="1" applyAlignment="1" applyProtection="1">
      <alignment horizontal="center" vertical="center" wrapText="1"/>
      <protection hidden="1"/>
    </xf>
    <xf numFmtId="0" fontId="13" fillId="13" borderId="49" xfId="0" applyFont="1" applyFill="1" applyBorder="1" applyAlignment="1" applyProtection="1">
      <alignment horizontal="center" vertical="center" wrapText="1"/>
      <protection hidden="1"/>
    </xf>
    <xf numFmtId="0" fontId="13" fillId="13" borderId="47" xfId="0" applyFont="1" applyFill="1" applyBorder="1" applyAlignment="1" applyProtection="1">
      <alignment horizontal="center" vertical="center" wrapText="1"/>
      <protection hidden="1"/>
    </xf>
    <xf numFmtId="0" fontId="13" fillId="13" borderId="102" xfId="0" applyFont="1" applyFill="1" applyBorder="1" applyAlignment="1" applyProtection="1">
      <alignment horizontal="center" vertical="center" wrapText="1"/>
      <protection hidden="1"/>
    </xf>
    <xf numFmtId="0" fontId="13" fillId="13" borderId="27" xfId="0" applyFont="1" applyFill="1" applyBorder="1" applyAlignment="1" applyProtection="1">
      <alignment horizontal="center" vertical="center" wrapText="1"/>
      <protection hidden="1"/>
    </xf>
    <xf numFmtId="0" fontId="13" fillId="13" borderId="118" xfId="0" applyFont="1" applyFill="1" applyBorder="1" applyAlignment="1" applyProtection="1">
      <alignment horizontal="center" vertical="center" wrapText="1"/>
      <protection hidden="1"/>
    </xf>
    <xf numFmtId="0" fontId="23" fillId="0" borderId="103" xfId="0" applyFont="1" applyBorder="1" applyAlignment="1" applyProtection="1">
      <alignment horizontal="left" vertical="center" wrapText="1" indent="1"/>
      <protection hidden="1"/>
    </xf>
    <xf numFmtId="0" fontId="23" fillId="0" borderId="104" xfId="0" applyFont="1" applyBorder="1" applyAlignment="1" applyProtection="1">
      <alignment horizontal="left" vertical="center" wrapText="1" indent="1"/>
      <protection hidden="1"/>
    </xf>
    <xf numFmtId="0" fontId="23" fillId="0" borderId="126" xfId="0" applyFont="1" applyBorder="1" applyAlignment="1" applyProtection="1">
      <alignment horizontal="left" vertical="center" wrapText="1" indent="1"/>
      <protection hidden="1"/>
    </xf>
    <xf numFmtId="0" fontId="23" fillId="0" borderId="84" xfId="0" applyFont="1" applyBorder="1" applyAlignment="1" applyProtection="1">
      <alignment horizontal="left" vertical="center" wrapText="1" indent="1"/>
      <protection hidden="1"/>
    </xf>
    <xf numFmtId="0" fontId="23" fillId="0" borderId="99" xfId="0" applyFont="1" applyBorder="1" applyAlignment="1" applyProtection="1">
      <alignment horizontal="left" vertical="center" wrapText="1" indent="1"/>
      <protection hidden="1"/>
    </xf>
    <xf numFmtId="0" fontId="23" fillId="0" borderId="131" xfId="0" applyFont="1" applyBorder="1" applyAlignment="1" applyProtection="1">
      <alignment horizontal="left" vertical="center" wrapText="1" indent="1"/>
      <protection hidden="1"/>
    </xf>
    <xf numFmtId="0" fontId="13" fillId="11" borderId="69" xfId="0" applyFont="1" applyFill="1" applyBorder="1" applyAlignment="1" applyProtection="1">
      <alignment horizontal="center" vertical="center"/>
      <protection hidden="1"/>
    </xf>
    <xf numFmtId="0" fontId="13" fillId="11" borderId="13" xfId="0" applyFont="1" applyFill="1" applyBorder="1" applyAlignment="1" applyProtection="1">
      <alignment horizontal="center" vertical="center"/>
      <protection hidden="1"/>
    </xf>
    <xf numFmtId="0" fontId="20" fillId="10" borderId="82" xfId="0" applyFont="1" applyFill="1" applyBorder="1" applyAlignment="1" applyProtection="1">
      <alignment horizontal="center" vertical="center" wrapText="1"/>
      <protection hidden="1"/>
    </xf>
    <xf numFmtId="0" fontId="20" fillId="10" borderId="79" xfId="0" applyFont="1" applyFill="1" applyBorder="1" applyAlignment="1" applyProtection="1">
      <alignment horizontal="center" vertical="center" wrapText="1"/>
      <protection hidden="1"/>
    </xf>
    <xf numFmtId="0" fontId="20" fillId="10" borderId="83" xfId="0" applyFont="1" applyFill="1" applyBorder="1" applyAlignment="1" applyProtection="1">
      <alignment horizontal="center" vertical="center" wrapText="1"/>
      <protection hidden="1"/>
    </xf>
    <xf numFmtId="0" fontId="18" fillId="10" borderId="96" xfId="0" applyFont="1" applyFill="1" applyBorder="1" applyAlignment="1" applyProtection="1">
      <alignment horizontal="center" vertical="center"/>
      <protection hidden="1"/>
    </xf>
    <xf numFmtId="0" fontId="18" fillId="10" borderId="37" xfId="0" applyFont="1" applyFill="1" applyBorder="1" applyAlignment="1" applyProtection="1">
      <alignment horizontal="center" vertical="center"/>
      <protection hidden="1"/>
    </xf>
    <xf numFmtId="0" fontId="18" fillId="10" borderId="64" xfId="0" applyFont="1" applyFill="1" applyBorder="1" applyAlignment="1" applyProtection="1">
      <alignment horizontal="center" vertical="center"/>
      <protection hidden="1"/>
    </xf>
    <xf numFmtId="0" fontId="13" fillId="11" borderId="113" xfId="0" applyFont="1" applyFill="1" applyBorder="1" applyAlignment="1" applyProtection="1">
      <alignment horizontal="center" vertical="center"/>
      <protection hidden="1"/>
    </xf>
    <xf numFmtId="0" fontId="13" fillId="11" borderId="78" xfId="0" applyFont="1" applyFill="1" applyBorder="1" applyAlignment="1" applyProtection="1">
      <alignment horizontal="center" vertical="center"/>
      <protection hidden="1"/>
    </xf>
    <xf numFmtId="0" fontId="13" fillId="0" borderId="39" xfId="0" applyFont="1" applyBorder="1" applyAlignment="1" applyProtection="1">
      <alignment horizontal="left" vertical="center" indent="1"/>
      <protection hidden="1"/>
    </xf>
    <xf numFmtId="0" fontId="13" fillId="0" borderId="9" xfId="0" applyFont="1" applyBorder="1" applyAlignment="1" applyProtection="1">
      <alignment horizontal="left" vertical="center" indent="1"/>
      <protection hidden="1"/>
    </xf>
    <xf numFmtId="0" fontId="13" fillId="0" borderId="10" xfId="0" applyFont="1" applyBorder="1" applyAlignment="1" applyProtection="1">
      <alignment horizontal="left" vertical="center" indent="1"/>
      <protection hidden="1"/>
    </xf>
    <xf numFmtId="0" fontId="14" fillId="11" borderId="19" xfId="0" applyFont="1" applyFill="1" applyBorder="1" applyAlignment="1">
      <alignment horizontal="center" vertical="center"/>
    </xf>
    <xf numFmtId="0" fontId="14" fillId="11" borderId="20" xfId="0" applyFont="1" applyFill="1" applyBorder="1" applyAlignment="1">
      <alignment horizontal="center" vertical="center"/>
    </xf>
    <xf numFmtId="0" fontId="14" fillId="11" borderId="33" xfId="0" applyFont="1" applyFill="1" applyBorder="1" applyAlignment="1">
      <alignment horizontal="center" vertical="center" wrapText="1"/>
    </xf>
    <xf numFmtId="0" fontId="14" fillId="11" borderId="35" xfId="0" applyFont="1" applyFill="1" applyBorder="1" applyAlignment="1">
      <alignment horizontal="center" vertical="center" wrapText="1"/>
    </xf>
    <xf numFmtId="0" fontId="14" fillId="11" borderId="60" xfId="0" applyFont="1" applyFill="1" applyBorder="1" applyAlignment="1">
      <alignment horizontal="center" vertical="center" wrapText="1"/>
    </xf>
    <xf numFmtId="0" fontId="14" fillId="11" borderId="61" xfId="0" applyFont="1" applyFill="1" applyBorder="1" applyAlignment="1">
      <alignment horizontal="center" vertical="center" wrapText="1"/>
    </xf>
    <xf numFmtId="0" fontId="14" fillId="11" borderId="21" xfId="0" applyFont="1" applyFill="1" applyBorder="1" applyAlignment="1">
      <alignment horizontal="center" vertical="center" wrapText="1"/>
    </xf>
    <xf numFmtId="0" fontId="14" fillId="11" borderId="18" xfId="0" applyFont="1" applyFill="1" applyBorder="1" applyAlignment="1">
      <alignment horizontal="center" vertical="center"/>
    </xf>
    <xf numFmtId="0" fontId="23" fillId="0" borderId="3" xfId="0" applyFont="1" applyBorder="1" applyAlignment="1" applyProtection="1">
      <alignment horizontal="left" vertical="center" wrapText="1" indent="1"/>
      <protection hidden="1"/>
    </xf>
    <xf numFmtId="0" fontId="23" fillId="0" borderId="132" xfId="0" applyFont="1" applyBorder="1" applyAlignment="1" applyProtection="1">
      <alignment horizontal="left" vertical="center" wrapText="1" indent="1"/>
      <protection hidden="1"/>
    </xf>
    <xf numFmtId="0" fontId="13" fillId="0" borderId="113" xfId="0" applyFont="1" applyBorder="1" applyAlignment="1" applyProtection="1">
      <alignment horizontal="left" vertical="center" indent="1"/>
      <protection hidden="1"/>
    </xf>
    <xf numFmtId="0" fontId="13" fillId="0" borderId="104" xfId="0" applyFont="1" applyBorder="1" applyAlignment="1" applyProtection="1">
      <alignment horizontal="left" vertical="center" indent="1"/>
      <protection hidden="1"/>
    </xf>
    <xf numFmtId="0" fontId="13" fillId="0" borderId="94" xfId="0" applyFont="1" applyBorder="1" applyAlignment="1" applyProtection="1">
      <alignment horizontal="left" vertical="center" indent="1"/>
      <protection hidden="1"/>
    </xf>
    <xf numFmtId="0" fontId="31" fillId="10" borderId="19" xfId="0" applyFont="1" applyFill="1" applyBorder="1" applyAlignment="1" applyProtection="1">
      <alignment horizontal="center" vertical="center"/>
      <protection hidden="1"/>
    </xf>
    <xf numFmtId="0" fontId="31" fillId="10" borderId="31" xfId="0" applyFont="1" applyFill="1" applyBorder="1" applyAlignment="1" applyProtection="1">
      <alignment horizontal="center" vertical="center"/>
      <protection hidden="1"/>
    </xf>
    <xf numFmtId="0" fontId="31" fillId="10" borderId="20" xfId="0" applyFont="1" applyFill="1" applyBorder="1" applyAlignment="1" applyProtection="1">
      <alignment horizontal="center" vertical="center"/>
      <protection hidden="1"/>
    </xf>
    <xf numFmtId="0" fontId="31" fillId="10" borderId="21" xfId="0" applyFont="1" applyFill="1" applyBorder="1" applyAlignment="1" applyProtection="1">
      <alignment horizontal="center" vertical="center"/>
      <protection hidden="1"/>
    </xf>
    <xf numFmtId="0" fontId="18" fillId="10" borderId="65" xfId="0" applyFont="1" applyFill="1" applyBorder="1" applyAlignment="1" applyProtection="1">
      <alignment horizontal="center" vertical="center"/>
      <protection hidden="1"/>
    </xf>
    <xf numFmtId="0" fontId="18" fillId="10" borderId="49" xfId="0" applyFont="1" applyFill="1" applyBorder="1" applyAlignment="1" applyProtection="1">
      <alignment horizontal="center" vertical="center"/>
      <protection hidden="1"/>
    </xf>
    <xf numFmtId="0" fontId="18" fillId="10" borderId="66" xfId="0" applyFont="1" applyFill="1" applyBorder="1" applyAlignment="1" applyProtection="1">
      <alignment horizontal="center" vertical="center"/>
      <protection hidden="1"/>
    </xf>
    <xf numFmtId="0" fontId="18" fillId="5" borderId="65" xfId="0" applyFont="1" applyFill="1" applyBorder="1" applyAlignment="1" applyProtection="1">
      <alignment horizontal="center" vertical="center"/>
      <protection hidden="1"/>
    </xf>
    <xf numFmtId="0" fontId="18" fillId="5" borderId="37" xfId="0" applyFont="1" applyFill="1" applyBorder="1" applyAlignment="1" applyProtection="1">
      <alignment horizontal="center" vertical="center"/>
      <protection hidden="1"/>
    </xf>
    <xf numFmtId="0" fontId="18" fillId="5" borderId="49" xfId="0" applyFont="1" applyFill="1" applyBorder="1" applyAlignment="1" applyProtection="1">
      <alignment horizontal="center" vertical="center"/>
      <protection hidden="1"/>
    </xf>
    <xf numFmtId="0" fontId="18" fillId="5" borderId="66" xfId="0" applyFont="1" applyFill="1" applyBorder="1" applyAlignment="1" applyProtection="1">
      <alignment horizontal="center" vertical="center"/>
      <protection hidden="1"/>
    </xf>
    <xf numFmtId="0" fontId="14" fillId="11" borderId="111" xfId="0" applyFont="1" applyFill="1" applyBorder="1" applyAlignment="1" applyProtection="1">
      <alignment horizontal="center" vertical="center" wrapText="1"/>
      <protection hidden="1"/>
    </xf>
    <xf numFmtId="0" fontId="14" fillId="11" borderId="114" xfId="0" applyFont="1" applyFill="1" applyBorder="1" applyAlignment="1" applyProtection="1">
      <alignment horizontal="center" vertical="center"/>
      <protection hidden="1"/>
    </xf>
    <xf numFmtId="0" fontId="14" fillId="10" borderId="82" xfId="0" applyFont="1" applyFill="1" applyBorder="1" applyAlignment="1" applyProtection="1">
      <alignment horizontal="center" vertical="center" wrapText="1"/>
      <protection hidden="1"/>
    </xf>
    <xf numFmtId="0" fontId="14" fillId="10" borderId="79" xfId="0" applyFont="1" applyFill="1" applyBorder="1" applyAlignment="1" applyProtection="1">
      <alignment horizontal="center" vertical="center" wrapText="1"/>
      <protection hidden="1"/>
    </xf>
    <xf numFmtId="0" fontId="14" fillId="10" borderId="83" xfId="0" applyFont="1" applyFill="1" applyBorder="1" applyAlignment="1" applyProtection="1">
      <alignment horizontal="center" vertical="center" wrapText="1"/>
      <protection hidden="1"/>
    </xf>
    <xf numFmtId="0" fontId="38" fillId="2" borderId="53" xfId="0" applyFont="1" applyFill="1" applyBorder="1" applyAlignment="1" applyProtection="1">
      <alignment horizontal="center" vertical="center"/>
      <protection hidden="1"/>
    </xf>
    <xf numFmtId="0" fontId="13" fillId="0" borderId="109" xfId="0" applyFont="1" applyBorder="1" applyAlignment="1" applyProtection="1">
      <alignment horizontal="left" vertical="center" indent="1"/>
      <protection hidden="1"/>
    </xf>
    <xf numFmtId="0" fontId="13" fillId="0" borderId="105" xfId="0" applyFont="1" applyBorder="1" applyAlignment="1" applyProtection="1">
      <alignment horizontal="left" vertical="center" indent="1"/>
      <protection hidden="1"/>
    </xf>
    <xf numFmtId="0" fontId="13" fillId="0" borderId="106" xfId="0" applyFont="1" applyBorder="1" applyAlignment="1" applyProtection="1">
      <alignment horizontal="left" vertical="center" indent="1"/>
      <protection hidden="1"/>
    </xf>
    <xf numFmtId="0" fontId="12" fillId="0" borderId="6" xfId="0" applyFont="1" applyBorder="1" applyAlignment="1">
      <alignment horizontal="center" vertical="center" wrapText="1"/>
    </xf>
    <xf numFmtId="0" fontId="23" fillId="0" borderId="105" xfId="0" applyFont="1" applyBorder="1" applyAlignment="1" applyProtection="1">
      <alignment horizontal="left" vertical="center" wrapText="1" indent="1"/>
      <protection hidden="1"/>
    </xf>
    <xf numFmtId="0" fontId="23" fillId="0" borderId="110" xfId="0" applyFont="1" applyBorder="1" applyAlignment="1" applyProtection="1">
      <alignment horizontal="left" vertical="center" wrapText="1" indent="1"/>
      <protection hidden="1"/>
    </xf>
    <xf numFmtId="0" fontId="13" fillId="11" borderId="68" xfId="0" applyFont="1" applyFill="1" applyBorder="1" applyAlignment="1" applyProtection="1">
      <alignment horizontal="center" vertical="center" wrapText="1"/>
      <protection hidden="1"/>
    </xf>
    <xf numFmtId="0" fontId="13" fillId="11" borderId="58" xfId="0" applyFont="1" applyFill="1" applyBorder="1" applyAlignment="1" applyProtection="1">
      <alignment horizontal="center" vertical="center" wrapText="1"/>
      <protection hidden="1"/>
    </xf>
    <xf numFmtId="0" fontId="13" fillId="11" borderId="38" xfId="0" applyFont="1" applyFill="1" applyBorder="1" applyAlignment="1" applyProtection="1">
      <alignment horizontal="center" vertical="center" wrapText="1"/>
      <protection hidden="1"/>
    </xf>
    <xf numFmtId="0" fontId="13" fillId="11" borderId="61" xfId="0" applyFont="1" applyFill="1" applyBorder="1" applyAlignment="1" applyProtection="1">
      <alignment horizontal="center" vertical="center" wrapText="1"/>
      <protection hidden="1"/>
    </xf>
    <xf numFmtId="0" fontId="13" fillId="10" borderId="19" xfId="0" applyFont="1" applyFill="1" applyBorder="1" applyAlignment="1" applyProtection="1">
      <alignment horizontal="center" vertical="center" wrapText="1"/>
      <protection hidden="1"/>
    </xf>
    <xf numFmtId="0" fontId="14" fillId="10" borderId="13" xfId="0" applyFont="1" applyFill="1" applyBorder="1" applyAlignment="1" applyProtection="1">
      <alignment horizontal="center" vertical="center" wrapText="1"/>
      <protection hidden="1"/>
    </xf>
    <xf numFmtId="0" fontId="14" fillId="10" borderId="78" xfId="0" applyFont="1" applyFill="1" applyBorder="1" applyAlignment="1" applyProtection="1">
      <alignment horizontal="center" vertical="center"/>
      <protection hidden="1"/>
    </xf>
    <xf numFmtId="0" fontId="18" fillId="10" borderId="36" xfId="0" applyFont="1" applyFill="1" applyBorder="1" applyAlignment="1" applyProtection="1">
      <alignment horizontal="center" vertical="center" wrapText="1"/>
      <protection hidden="1"/>
    </xf>
    <xf numFmtId="0" fontId="18" fillId="10" borderId="37" xfId="0" applyFont="1" applyFill="1" applyBorder="1" applyAlignment="1" applyProtection="1">
      <alignment horizontal="center" vertical="center" wrapText="1"/>
      <protection hidden="1"/>
    </xf>
    <xf numFmtId="0" fontId="18" fillId="10" borderId="96" xfId="0" applyFont="1" applyFill="1" applyBorder="1" applyAlignment="1" applyProtection="1">
      <alignment horizontal="center" vertical="center" wrapText="1"/>
      <protection hidden="1"/>
    </xf>
    <xf numFmtId="0" fontId="18" fillId="10" borderId="64" xfId="0" applyFont="1" applyFill="1" applyBorder="1" applyAlignment="1" applyProtection="1">
      <alignment horizontal="center" vertical="center" wrapText="1"/>
      <protection hidden="1"/>
    </xf>
    <xf numFmtId="0" fontId="13" fillId="13" borderId="20" xfId="0" applyFont="1" applyFill="1" applyBorder="1" applyAlignment="1" applyProtection="1">
      <alignment horizontal="center" vertical="center" wrapText="1"/>
      <protection hidden="1"/>
    </xf>
    <xf numFmtId="0" fontId="5" fillId="13" borderId="53" xfId="0" applyFont="1" applyFill="1" applyBorder="1" applyAlignment="1" applyProtection="1">
      <alignment horizontal="center" vertical="center"/>
      <protection hidden="1"/>
    </xf>
    <xf numFmtId="0" fontId="5" fillId="13" borderId="54" xfId="0" applyFont="1" applyFill="1" applyBorder="1" applyAlignment="1" applyProtection="1">
      <alignment horizontal="center" vertical="center"/>
      <protection hidden="1"/>
    </xf>
    <xf numFmtId="0" fontId="14" fillId="15" borderId="55" xfId="0" applyFont="1" applyFill="1" applyBorder="1" applyAlignment="1" applyProtection="1">
      <alignment horizontal="center" vertical="center" wrapText="1"/>
      <protection hidden="1"/>
    </xf>
    <xf numFmtId="0" fontId="14" fillId="15" borderId="25" xfId="0" applyFont="1" applyFill="1" applyBorder="1" applyAlignment="1" applyProtection="1">
      <alignment horizontal="center" vertical="center" wrapText="1"/>
      <protection hidden="1"/>
    </xf>
    <xf numFmtId="0" fontId="38" fillId="2" borderId="165" xfId="0" applyFont="1" applyFill="1" applyBorder="1" applyAlignment="1">
      <alignment horizontal="center" vertical="center"/>
    </xf>
    <xf numFmtId="0" fontId="38" fillId="2" borderId="164" xfId="0" applyFont="1" applyFill="1" applyBorder="1" applyAlignment="1">
      <alignment horizontal="center" vertical="center"/>
    </xf>
    <xf numFmtId="0" fontId="14" fillId="11" borderId="58" xfId="0" applyFont="1" applyFill="1" applyBorder="1" applyAlignment="1">
      <alignment horizontal="center" vertical="center" wrapText="1"/>
    </xf>
    <xf numFmtId="0" fontId="14" fillId="11" borderId="19" xfId="0" applyFont="1" applyFill="1" applyBorder="1" applyAlignment="1">
      <alignment horizontal="center" vertical="center" wrapText="1"/>
    </xf>
    <xf numFmtId="0" fontId="14" fillId="11" borderId="81" xfId="0" applyFont="1" applyFill="1" applyBorder="1" applyAlignment="1">
      <alignment horizontal="center" vertical="center" wrapText="1"/>
    </xf>
    <xf numFmtId="0" fontId="14" fillId="11" borderId="59" xfId="0" applyFont="1" applyFill="1" applyBorder="1" applyAlignment="1">
      <alignment horizontal="center" vertical="center" wrapText="1"/>
    </xf>
    <xf numFmtId="0" fontId="14" fillId="11" borderId="16" xfId="0" applyFont="1" applyFill="1" applyBorder="1" applyAlignment="1">
      <alignment horizontal="center" vertical="center" wrapText="1"/>
    </xf>
    <xf numFmtId="0" fontId="39" fillId="10" borderId="162" xfId="0" applyFont="1" applyFill="1" applyBorder="1" applyAlignment="1">
      <alignment horizontal="left" vertical="center" indent="1"/>
    </xf>
    <xf numFmtId="0" fontId="39" fillId="10" borderId="163" xfId="0" applyFont="1" applyFill="1" applyBorder="1" applyAlignment="1">
      <alignment horizontal="left" vertical="center" indent="1"/>
    </xf>
    <xf numFmtId="0" fontId="18" fillId="10" borderId="178" xfId="0" applyFont="1" applyFill="1" applyBorder="1" applyAlignment="1">
      <alignment horizontal="center" vertical="center" wrapText="1"/>
    </xf>
    <xf numFmtId="0" fontId="18" fillId="10" borderId="179" xfId="0" applyFont="1" applyFill="1" applyBorder="1" applyAlignment="1">
      <alignment horizontal="center" vertical="center" wrapText="1"/>
    </xf>
    <xf numFmtId="0" fontId="18" fillId="10" borderId="179" xfId="0" applyFont="1" applyFill="1" applyBorder="1" applyAlignment="1">
      <alignment horizontal="center" vertical="center"/>
    </xf>
    <xf numFmtId="0" fontId="18" fillId="10" borderId="180" xfId="0" applyFont="1" applyFill="1" applyBorder="1" applyAlignment="1">
      <alignment horizontal="center" vertical="center"/>
    </xf>
    <xf numFmtId="0" fontId="14" fillId="11" borderId="79" xfId="0" applyFont="1" applyFill="1" applyBorder="1" applyAlignment="1">
      <alignment horizontal="center" vertical="center" wrapText="1"/>
    </xf>
    <xf numFmtId="0" fontId="14" fillId="11" borderId="83" xfId="0" applyFont="1" applyFill="1" applyBorder="1" applyAlignment="1">
      <alignment horizontal="center" vertical="center" wrapText="1"/>
    </xf>
    <xf numFmtId="0" fontId="39" fillId="10" borderId="157" xfId="0" applyFont="1" applyFill="1" applyBorder="1" applyAlignment="1">
      <alignment horizontal="left" vertical="center" wrapText="1"/>
    </xf>
    <xf numFmtId="0" fontId="39" fillId="10" borderId="158" xfId="0" applyFont="1" applyFill="1" applyBorder="1" applyAlignment="1">
      <alignment horizontal="left" vertical="center" wrapText="1"/>
    </xf>
    <xf numFmtId="0" fontId="37" fillId="0" borderId="167" xfId="0" applyFont="1" applyBorder="1" applyAlignment="1">
      <alignment horizontal="left" vertical="center"/>
    </xf>
    <xf numFmtId="0" fontId="37" fillId="0" borderId="9" xfId="0" applyFont="1" applyBorder="1" applyAlignment="1">
      <alignment horizontal="left" vertical="center"/>
    </xf>
    <xf numFmtId="0" fontId="37" fillId="0" borderId="10" xfId="0" applyFont="1" applyBorder="1" applyAlignment="1">
      <alignment horizontal="left" vertical="center"/>
    </xf>
    <xf numFmtId="0" fontId="18" fillId="5" borderId="56" xfId="0" applyFont="1" applyFill="1" applyBorder="1" applyAlignment="1">
      <alignment horizontal="center" vertical="center"/>
    </xf>
    <xf numFmtId="0" fontId="18" fillId="5" borderId="27" xfId="0" applyFont="1" applyFill="1" applyBorder="1" applyAlignment="1">
      <alignment horizontal="center" vertical="center"/>
    </xf>
    <xf numFmtId="0" fontId="18" fillId="5" borderId="26" xfId="0" applyFont="1" applyFill="1" applyBorder="1" applyAlignment="1">
      <alignment horizontal="center" vertical="center"/>
    </xf>
    <xf numFmtId="0" fontId="40" fillId="2" borderId="166" xfId="0" applyFont="1" applyFill="1" applyBorder="1" applyAlignment="1">
      <alignment horizontal="center" vertical="center" textRotation="255"/>
    </xf>
    <xf numFmtId="0" fontId="40" fillId="2" borderId="173" xfId="0" applyFont="1" applyFill="1" applyBorder="1" applyAlignment="1">
      <alignment horizontal="center" vertical="center" textRotation="255"/>
    </xf>
    <xf numFmtId="0" fontId="40" fillId="2" borderId="168" xfId="0" applyFont="1" applyFill="1" applyBorder="1" applyAlignment="1">
      <alignment horizontal="center" vertical="center" textRotation="255"/>
    </xf>
    <xf numFmtId="0" fontId="14" fillId="11" borderId="188" xfId="0" applyFont="1" applyFill="1" applyBorder="1" applyAlignment="1">
      <alignment horizontal="center" vertical="center" wrapText="1"/>
    </xf>
    <xf numFmtId="0" fontId="14" fillId="11" borderId="189" xfId="0" applyFont="1" applyFill="1" applyBorder="1" applyAlignment="1">
      <alignment horizontal="center" vertical="center"/>
    </xf>
    <xf numFmtId="0" fontId="14" fillId="11" borderId="175" xfId="0" applyFont="1" applyFill="1" applyBorder="1" applyAlignment="1">
      <alignment horizontal="center" vertical="center" wrapText="1"/>
    </xf>
    <xf numFmtId="0" fontId="14" fillId="11" borderId="34" xfId="0" applyFont="1" applyFill="1" applyBorder="1" applyAlignment="1">
      <alignment horizontal="center" vertical="center" wrapText="1"/>
    </xf>
    <xf numFmtId="0" fontId="14" fillId="11" borderId="176" xfId="0" applyFont="1" applyFill="1" applyBorder="1" applyAlignment="1">
      <alignment horizontal="center" vertical="center" wrapText="1"/>
    </xf>
    <xf numFmtId="0" fontId="13" fillId="11" borderId="177" xfId="0" applyFont="1" applyFill="1" applyBorder="1" applyAlignment="1">
      <alignment horizontal="center" vertical="center"/>
    </xf>
    <xf numFmtId="0" fontId="13" fillId="11" borderId="31" xfId="0" applyFont="1" applyFill="1" applyBorder="1" applyAlignment="1">
      <alignment horizontal="center" vertical="center"/>
    </xf>
    <xf numFmtId="0" fontId="13" fillId="11" borderId="167" xfId="0" applyFont="1" applyFill="1" applyBorder="1" applyAlignment="1">
      <alignment horizontal="center" vertical="center"/>
    </xf>
    <xf numFmtId="0" fontId="13" fillId="11" borderId="10" xfId="0" applyFont="1" applyFill="1" applyBorder="1" applyAlignment="1">
      <alignment horizontal="center" vertical="center"/>
    </xf>
    <xf numFmtId="0" fontId="38" fillId="2" borderId="165" xfId="0" applyFont="1" applyFill="1" applyBorder="1" applyAlignment="1">
      <alignment horizontal="center" vertical="center" wrapText="1"/>
    </xf>
    <xf numFmtId="0" fontId="13" fillId="11" borderId="169" xfId="0" applyFont="1" applyFill="1" applyBorder="1" applyAlignment="1">
      <alignment horizontal="center" vertical="center"/>
    </xf>
    <xf numFmtId="0" fontId="13" fillId="11" borderId="4" xfId="0" applyFont="1" applyFill="1" applyBorder="1" applyAlignment="1">
      <alignment horizontal="center" vertical="center"/>
    </xf>
    <xf numFmtId="0" fontId="14" fillId="11" borderId="21" xfId="0" applyFont="1" applyFill="1" applyBorder="1" applyAlignment="1">
      <alignment horizontal="center" vertical="center"/>
    </xf>
    <xf numFmtId="0" fontId="13" fillId="11" borderId="196" xfId="0" applyFont="1" applyFill="1" applyBorder="1" applyAlignment="1">
      <alignment horizontal="center" vertical="center"/>
    </xf>
    <xf numFmtId="0" fontId="13" fillId="11" borderId="176" xfId="0" applyFont="1" applyFill="1" applyBorder="1" applyAlignment="1">
      <alignment horizontal="center" vertical="center"/>
    </xf>
    <xf numFmtId="0" fontId="14" fillId="11" borderId="197" xfId="0" applyFont="1" applyFill="1" applyBorder="1" applyAlignment="1">
      <alignment horizontal="center" vertical="center" wrapText="1"/>
    </xf>
    <xf numFmtId="0" fontId="14" fillId="11" borderId="202" xfId="0" applyFont="1" applyFill="1" applyBorder="1" applyAlignment="1">
      <alignment horizontal="center" vertical="center" wrapText="1"/>
    </xf>
    <xf numFmtId="0" fontId="14" fillId="11" borderId="102" xfId="0" applyFont="1" applyFill="1" applyBorder="1" applyAlignment="1">
      <alignment horizontal="center" vertical="center" wrapText="1"/>
    </xf>
    <xf numFmtId="0" fontId="13" fillId="11" borderId="203" xfId="0" applyFont="1" applyFill="1" applyBorder="1" applyAlignment="1">
      <alignment horizontal="center" vertical="center" wrapText="1"/>
    </xf>
    <xf numFmtId="0" fontId="13" fillId="11" borderId="198" xfId="0" applyFont="1" applyFill="1" applyBorder="1" applyAlignment="1">
      <alignment horizontal="center" vertical="center" wrapText="1"/>
    </xf>
    <xf numFmtId="0" fontId="13" fillId="11" borderId="199" xfId="0" applyFont="1" applyFill="1" applyBorder="1" applyAlignment="1">
      <alignment horizontal="center" vertical="center" wrapText="1"/>
    </xf>
    <xf numFmtId="0" fontId="13" fillId="11" borderId="57" xfId="0" applyFont="1" applyFill="1" applyBorder="1" applyAlignment="1">
      <alignment horizontal="center" vertical="center" wrapText="1"/>
    </xf>
    <xf numFmtId="0" fontId="13" fillId="11" borderId="27" xfId="0" applyFont="1" applyFill="1" applyBorder="1" applyAlignment="1">
      <alignment horizontal="center" vertical="center" wrapText="1"/>
    </xf>
    <xf numFmtId="0" fontId="13" fillId="11" borderId="200" xfId="0" applyFont="1" applyFill="1" applyBorder="1" applyAlignment="1">
      <alignment horizontal="center" vertical="center" wrapText="1"/>
    </xf>
    <xf numFmtId="0" fontId="12" fillId="4" borderId="136" xfId="0" applyFont="1" applyFill="1" applyBorder="1" applyAlignment="1" applyProtection="1">
      <alignment horizontal="left" vertical="center" wrapText="1"/>
      <protection locked="0"/>
    </xf>
    <xf numFmtId="0" fontId="12" fillId="4" borderId="3" xfId="0" applyFont="1" applyFill="1" applyBorder="1" applyAlignment="1" applyProtection="1">
      <alignment horizontal="left" vertical="center" wrapText="1"/>
      <protection locked="0"/>
    </xf>
    <xf numFmtId="0" fontId="12" fillId="4" borderId="205" xfId="0" applyFont="1" applyFill="1" applyBorder="1" applyAlignment="1" applyProtection="1">
      <alignment horizontal="left" vertical="center" wrapText="1"/>
      <protection locked="0"/>
    </xf>
    <xf numFmtId="0" fontId="12" fillId="4" borderId="62" xfId="0" applyFont="1" applyFill="1" applyBorder="1" applyAlignment="1" applyProtection="1">
      <alignment horizontal="left" vertical="center" wrapText="1"/>
      <protection locked="0"/>
    </xf>
    <xf numFmtId="0" fontId="12" fillId="4" borderId="9" xfId="0" applyFont="1" applyFill="1" applyBorder="1" applyAlignment="1" applyProtection="1">
      <alignment horizontal="left" vertical="center" wrapText="1"/>
      <protection locked="0"/>
    </xf>
    <xf numFmtId="0" fontId="12" fillId="4" borderId="193" xfId="0" applyFont="1" applyFill="1" applyBorder="1" applyAlignment="1" applyProtection="1">
      <alignment horizontal="left" vertical="center" wrapText="1"/>
      <protection locked="0"/>
    </xf>
    <xf numFmtId="0" fontId="39" fillId="10" borderId="162" xfId="0" applyFont="1" applyFill="1" applyBorder="1" applyAlignment="1">
      <alignment horizontal="left" vertical="center" wrapText="1"/>
    </xf>
    <xf numFmtId="0" fontId="39" fillId="10" borderId="163" xfId="0" applyFont="1" applyFill="1" applyBorder="1" applyAlignment="1">
      <alignment horizontal="left" vertical="center" wrapText="1"/>
    </xf>
    <xf numFmtId="0" fontId="12" fillId="4" borderId="95" xfId="0" applyFont="1" applyFill="1" applyBorder="1" applyAlignment="1" applyProtection="1">
      <alignment horizontal="left" vertical="center" wrapText="1"/>
      <protection locked="0"/>
    </xf>
    <xf numFmtId="0" fontId="12" fillId="4" borderId="6" xfId="0" applyFont="1" applyFill="1" applyBorder="1" applyAlignment="1" applyProtection="1">
      <alignment horizontal="left" vertical="center" wrapText="1"/>
      <protection locked="0"/>
    </xf>
    <xf numFmtId="0" fontId="12" fillId="4" borderId="192" xfId="0" applyFont="1" applyFill="1" applyBorder="1" applyAlignment="1" applyProtection="1">
      <alignment horizontal="left" vertical="center" wrapText="1"/>
      <protection locked="0"/>
    </xf>
    <xf numFmtId="0" fontId="14" fillId="11" borderId="203" xfId="0" applyFont="1" applyFill="1" applyBorder="1" applyAlignment="1">
      <alignment horizontal="center" vertical="center" wrapText="1"/>
    </xf>
    <xf numFmtId="0" fontId="14" fillId="11" borderId="56" xfId="0" applyFont="1" applyFill="1" applyBorder="1" applyAlignment="1">
      <alignment horizontal="center" vertical="center" wrapText="1"/>
    </xf>
    <xf numFmtId="0" fontId="14" fillId="11" borderId="57" xfId="0" applyFont="1" applyFill="1" applyBorder="1" applyAlignment="1">
      <alignment horizontal="center" vertical="center" wrapText="1"/>
    </xf>
    <xf numFmtId="0" fontId="14" fillId="11" borderId="84" xfId="0" applyFont="1" applyFill="1" applyBorder="1" applyAlignment="1">
      <alignment horizontal="center" vertical="center"/>
    </xf>
    <xf numFmtId="0" fontId="40" fillId="2" borderId="46" xfId="0" applyFont="1" applyFill="1" applyBorder="1" applyAlignment="1" applyProtection="1">
      <alignment horizontal="center" vertical="center" textRotation="255"/>
      <protection hidden="1"/>
    </xf>
    <xf numFmtId="0" fontId="40" fillId="2" borderId="48" xfId="0" applyFont="1" applyFill="1" applyBorder="1" applyAlignment="1" applyProtection="1">
      <alignment horizontal="center" vertical="center" textRotation="255"/>
      <protection hidden="1"/>
    </xf>
    <xf numFmtId="0" fontId="40" fillId="2" borderId="41" xfId="0" applyFont="1" applyFill="1" applyBorder="1" applyAlignment="1" applyProtection="1">
      <alignment horizontal="center" vertical="center" textRotation="255"/>
      <protection hidden="1"/>
    </xf>
    <xf numFmtId="0" fontId="18" fillId="10" borderId="95" xfId="0" applyFont="1" applyFill="1" applyBorder="1" applyAlignment="1" applyProtection="1">
      <alignment horizontal="center" vertical="center"/>
      <protection hidden="1"/>
    </xf>
    <xf numFmtId="0" fontId="18" fillId="10" borderId="6" xfId="0" applyFont="1" applyFill="1" applyBorder="1" applyAlignment="1" applyProtection="1">
      <alignment horizontal="center" vertical="center"/>
      <protection hidden="1"/>
    </xf>
    <xf numFmtId="0" fontId="18" fillId="10" borderId="117" xfId="0" applyFont="1" applyFill="1" applyBorder="1" applyAlignment="1" applyProtection="1">
      <alignment horizontal="center" vertical="center"/>
      <protection hidden="1"/>
    </xf>
    <xf numFmtId="0" fontId="38" fillId="2" borderId="53" xfId="0" applyFont="1" applyFill="1" applyBorder="1" applyAlignment="1" applyProtection="1">
      <alignment horizontal="center" vertical="center" wrapText="1"/>
      <protection hidden="1"/>
    </xf>
    <xf numFmtId="0" fontId="38" fillId="2" borderId="54" xfId="0" applyFont="1" applyFill="1" applyBorder="1" applyAlignment="1" applyProtection="1">
      <alignment horizontal="center" vertical="center" wrapText="1"/>
      <protection hidden="1"/>
    </xf>
    <xf numFmtId="0" fontId="12" fillId="0" borderId="167"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xf>
    <xf numFmtId="0" fontId="39" fillId="10" borderId="143" xfId="0" applyFont="1" applyFill="1" applyBorder="1" applyAlignment="1">
      <alignment horizontal="left" vertical="center" wrapText="1"/>
    </xf>
    <xf numFmtId="0" fontId="39" fillId="10" borderId="144" xfId="0" applyFont="1" applyFill="1" applyBorder="1" applyAlignment="1">
      <alignment horizontal="left" vertical="center" wrapText="1"/>
    </xf>
    <xf numFmtId="0" fontId="14" fillId="11" borderId="181" xfId="0" applyFont="1" applyFill="1" applyBorder="1" applyAlignment="1">
      <alignment horizontal="center" vertical="center" wrapText="1"/>
    </xf>
    <xf numFmtId="0" fontId="14" fillId="11" borderId="182" xfId="0" applyFont="1" applyFill="1" applyBorder="1" applyAlignment="1">
      <alignment horizontal="center" vertical="center" wrapText="1"/>
    </xf>
    <xf numFmtId="0" fontId="14" fillId="11" borderId="183" xfId="0" applyFont="1" applyFill="1" applyBorder="1" applyAlignment="1">
      <alignment horizontal="center" vertical="center" wrapText="1"/>
    </xf>
    <xf numFmtId="0" fontId="38" fillId="2" borderId="199" xfId="0" applyFont="1" applyFill="1" applyBorder="1" applyAlignment="1">
      <alignment horizontal="center" vertical="center"/>
    </xf>
    <xf numFmtId="0" fontId="39" fillId="10" borderId="224" xfId="0" applyFont="1" applyFill="1" applyBorder="1" applyAlignment="1">
      <alignment horizontal="left" vertical="center" wrapText="1"/>
    </xf>
    <xf numFmtId="0" fontId="39" fillId="10" borderId="226" xfId="0" applyFont="1" applyFill="1" applyBorder="1" applyAlignment="1">
      <alignment horizontal="left" vertical="center" wrapText="1"/>
    </xf>
    <xf numFmtId="0" fontId="39" fillId="10" borderId="227" xfId="0" applyFont="1" applyFill="1" applyBorder="1" applyAlignment="1">
      <alignment horizontal="left" vertical="center" wrapText="1"/>
    </xf>
    <xf numFmtId="0" fontId="39" fillId="10" borderId="223" xfId="0" applyFont="1" applyFill="1" applyBorder="1" applyAlignment="1">
      <alignment horizontal="left" vertical="top"/>
    </xf>
    <xf numFmtId="0" fontId="39" fillId="10" borderId="225" xfId="0" applyFont="1" applyFill="1" applyBorder="1" applyAlignment="1">
      <alignment horizontal="left" vertical="top"/>
    </xf>
    <xf numFmtId="0" fontId="14" fillId="15" borderId="55" xfId="0" applyFont="1" applyFill="1" applyBorder="1" applyAlignment="1" applyProtection="1">
      <alignment horizontal="center" vertical="center" wrapText="1"/>
      <protection locked="0"/>
    </xf>
    <xf numFmtId="0" fontId="14" fillId="15" borderId="25" xfId="0" applyFont="1" applyFill="1" applyBorder="1" applyAlignment="1" applyProtection="1">
      <alignment horizontal="center" vertical="center" wrapText="1"/>
      <protection locked="0"/>
    </xf>
    <xf numFmtId="0" fontId="14" fillId="15" borderId="56" xfId="0" applyFont="1" applyFill="1" applyBorder="1" applyAlignment="1" applyProtection="1">
      <alignment horizontal="center" vertical="center" wrapText="1"/>
      <protection locked="0"/>
    </xf>
    <xf numFmtId="0" fontId="14" fillId="15" borderId="26" xfId="0" applyFont="1" applyFill="1" applyBorder="1" applyAlignment="1" applyProtection="1">
      <alignment horizontal="center" vertical="center" wrapText="1"/>
      <protection locked="0"/>
    </xf>
    <xf numFmtId="0" fontId="14" fillId="15" borderId="57" xfId="0" applyFont="1" applyFill="1" applyBorder="1" applyAlignment="1" applyProtection="1">
      <alignment horizontal="center" vertical="center" wrapText="1"/>
      <protection locked="0"/>
    </xf>
    <xf numFmtId="0" fontId="14" fillId="15" borderId="28" xfId="0" applyFont="1" applyFill="1" applyBorder="1" applyAlignment="1" applyProtection="1">
      <alignment horizontal="center" vertical="center" wrapText="1"/>
      <protection locked="0"/>
    </xf>
    <xf numFmtId="0" fontId="12" fillId="0" borderId="0" xfId="0" applyFont="1" applyAlignment="1">
      <alignment horizontal="center" vertical="center" wrapText="1"/>
    </xf>
    <xf numFmtId="0" fontId="14" fillId="11" borderId="221" xfId="0" applyFont="1" applyFill="1" applyBorder="1" applyAlignment="1">
      <alignment horizontal="center" vertical="center" wrapText="1"/>
    </xf>
    <xf numFmtId="0" fontId="39" fillId="10" borderId="228" xfId="0" applyFont="1" applyFill="1" applyBorder="1" applyAlignment="1">
      <alignment horizontal="left" vertical="center" wrapText="1"/>
    </xf>
    <xf numFmtId="0" fontId="39" fillId="10" borderId="229" xfId="0" applyFont="1" applyFill="1" applyBorder="1" applyAlignment="1">
      <alignment horizontal="left" vertical="center" wrapText="1"/>
    </xf>
    <xf numFmtId="0" fontId="39" fillId="10" borderId="230" xfId="0" applyFont="1" applyFill="1" applyBorder="1" applyAlignment="1">
      <alignment horizontal="left" vertical="center" wrapText="1"/>
    </xf>
    <xf numFmtId="0" fontId="19" fillId="0" borderId="0" xfId="0" applyFont="1" applyAlignment="1" applyProtection="1">
      <alignment horizontal="center" vertical="center" wrapText="1"/>
      <protection hidden="1"/>
    </xf>
    <xf numFmtId="0" fontId="13" fillId="13" borderId="97" xfId="0" applyFont="1" applyFill="1" applyBorder="1" applyAlignment="1" applyProtection="1">
      <alignment horizontal="center" vertical="center" wrapText="1"/>
      <protection hidden="1"/>
    </xf>
    <xf numFmtId="0" fontId="13" fillId="13" borderId="83" xfId="0" applyFont="1" applyFill="1" applyBorder="1" applyAlignment="1" applyProtection="1">
      <alignment horizontal="center" vertical="center"/>
      <protection hidden="1"/>
    </xf>
    <xf numFmtId="0" fontId="37" fillId="0" borderId="75" xfId="0" applyFont="1" applyBorder="1" applyAlignment="1" applyProtection="1">
      <alignment horizontal="center" vertical="center"/>
      <protection hidden="1"/>
    </xf>
    <xf numFmtId="0" fontId="37" fillId="0" borderId="77" xfId="0" applyFont="1" applyBorder="1" applyAlignment="1" applyProtection="1">
      <alignment horizontal="center" vertical="center"/>
      <protection hidden="1"/>
    </xf>
    <xf numFmtId="0" fontId="13" fillId="11" borderId="85" xfId="0" applyFont="1" applyFill="1" applyBorder="1" applyAlignment="1" applyProtection="1">
      <alignment horizontal="center" vertical="center" wrapText="1"/>
      <protection hidden="1"/>
    </xf>
    <xf numFmtId="0" fontId="13" fillId="11" borderId="87" xfId="0" applyFont="1" applyFill="1" applyBorder="1" applyAlignment="1" applyProtection="1">
      <alignment horizontal="center" vertical="center" wrapText="1"/>
      <protection hidden="1"/>
    </xf>
    <xf numFmtId="0" fontId="13" fillId="11" borderId="13" xfId="0" applyFont="1" applyFill="1" applyBorder="1" applyAlignment="1" applyProtection="1">
      <alignment horizontal="center" vertical="center" wrapText="1"/>
      <protection hidden="1"/>
    </xf>
    <xf numFmtId="0" fontId="13" fillId="11" borderId="78" xfId="0" applyFont="1" applyFill="1" applyBorder="1" applyAlignment="1" applyProtection="1">
      <alignment horizontal="center" vertical="center" wrapText="1"/>
      <protection hidden="1"/>
    </xf>
    <xf numFmtId="0" fontId="13" fillId="11" borderId="19" xfId="0" applyFont="1" applyFill="1" applyBorder="1" applyAlignment="1" applyProtection="1">
      <alignment horizontal="center" vertical="center"/>
      <protection hidden="1"/>
    </xf>
    <xf numFmtId="0" fontId="13" fillId="11" borderId="20" xfId="0" applyFont="1" applyFill="1" applyBorder="1" applyAlignment="1" applyProtection="1">
      <alignment horizontal="center" vertical="center"/>
      <protection hidden="1"/>
    </xf>
    <xf numFmtId="0" fontId="13" fillId="11" borderId="21" xfId="0" applyFont="1" applyFill="1" applyBorder="1" applyAlignment="1" applyProtection="1">
      <alignment horizontal="center" vertical="center"/>
      <protection hidden="1"/>
    </xf>
    <xf numFmtId="0" fontId="5" fillId="13" borderId="19" xfId="0" applyFont="1" applyFill="1" applyBorder="1" applyAlignment="1" applyProtection="1">
      <alignment horizontal="center" vertical="center"/>
      <protection hidden="1"/>
    </xf>
    <xf numFmtId="0" fontId="5" fillId="13" borderId="20" xfId="0" applyFont="1" applyFill="1" applyBorder="1" applyAlignment="1" applyProtection="1">
      <alignment horizontal="center" vertical="center"/>
      <protection hidden="1"/>
    </xf>
    <xf numFmtId="0" fontId="5" fillId="13" borderId="21" xfId="0" applyFont="1" applyFill="1" applyBorder="1" applyAlignment="1" applyProtection="1">
      <alignment horizontal="center" vertical="center"/>
      <protection hidden="1"/>
    </xf>
    <xf numFmtId="0" fontId="13" fillId="13" borderId="19" xfId="0" applyFont="1" applyFill="1" applyBorder="1" applyAlignment="1" applyProtection="1">
      <alignment horizontal="center" vertical="center"/>
      <protection hidden="1"/>
    </xf>
    <xf numFmtId="0" fontId="13" fillId="13" borderId="20" xfId="0" applyFont="1" applyFill="1" applyBorder="1" applyAlignment="1" applyProtection="1">
      <alignment horizontal="center" vertical="center"/>
      <protection hidden="1"/>
    </xf>
    <xf numFmtId="0" fontId="13" fillId="13" borderId="21" xfId="0" applyFont="1" applyFill="1" applyBorder="1" applyAlignment="1" applyProtection="1">
      <alignment horizontal="center" vertical="center"/>
      <protection hidden="1"/>
    </xf>
    <xf numFmtId="0" fontId="13" fillId="13" borderId="12" xfId="0" applyFont="1" applyFill="1" applyBorder="1" applyAlignment="1" applyProtection="1">
      <alignment horizontal="center" vertical="center"/>
      <protection hidden="1"/>
    </xf>
    <xf numFmtId="0" fontId="13" fillId="13" borderId="81" xfId="0" applyFont="1" applyFill="1" applyBorder="1" applyAlignment="1" applyProtection="1">
      <alignment horizontal="center" vertical="center"/>
      <protection hidden="1"/>
    </xf>
    <xf numFmtId="0" fontId="13" fillId="13" borderId="85" xfId="0" applyFont="1" applyFill="1" applyBorder="1" applyAlignment="1" applyProtection="1">
      <alignment horizontal="center" vertical="center" wrapText="1"/>
      <protection hidden="1"/>
    </xf>
    <xf numFmtId="0" fontId="13" fillId="13" borderId="87" xfId="0" applyFont="1" applyFill="1" applyBorder="1" applyAlignment="1" applyProtection="1">
      <alignment horizontal="center" vertical="center" wrapText="1"/>
      <protection hidden="1"/>
    </xf>
    <xf numFmtId="0" fontId="12" fillId="0" borderId="1" xfId="0" applyFont="1" applyBorder="1" applyAlignment="1" applyProtection="1">
      <alignment horizontal="center" vertical="center" wrapText="1"/>
      <protection hidden="1"/>
    </xf>
    <xf numFmtId="0" fontId="13" fillId="11" borderId="12" xfId="0" applyFont="1" applyFill="1" applyBorder="1" applyAlignment="1" applyProtection="1">
      <alignment horizontal="center" vertical="center"/>
      <protection hidden="1"/>
    </xf>
    <xf numFmtId="0" fontId="13" fillId="11" borderId="81" xfId="0" applyFont="1" applyFill="1" applyBorder="1" applyAlignment="1" applyProtection="1">
      <alignment horizontal="center" vertical="center"/>
      <protection hidden="1"/>
    </xf>
    <xf numFmtId="0" fontId="5" fillId="11" borderId="19" xfId="0" applyFont="1" applyFill="1" applyBorder="1" applyAlignment="1" applyProtection="1">
      <alignment horizontal="center" vertical="center"/>
      <protection hidden="1"/>
    </xf>
    <xf numFmtId="0" fontId="5" fillId="11" borderId="20" xfId="0" applyFont="1" applyFill="1" applyBorder="1" applyAlignment="1" applyProtection="1">
      <alignment horizontal="center" vertical="center"/>
      <protection hidden="1"/>
    </xf>
    <xf numFmtId="0" fontId="5" fillId="11" borderId="21" xfId="0" applyFont="1" applyFill="1" applyBorder="1" applyAlignment="1" applyProtection="1">
      <alignment horizontal="center" vertical="center"/>
      <protection hidden="1"/>
    </xf>
    <xf numFmtId="0" fontId="13" fillId="11" borderId="97" xfId="0" applyFont="1" applyFill="1" applyBorder="1" applyAlignment="1" applyProtection="1">
      <alignment horizontal="center" vertical="center" wrapText="1"/>
      <protection hidden="1"/>
    </xf>
    <xf numFmtId="0" fontId="13" fillId="11" borderId="83" xfId="0" applyFont="1" applyFill="1" applyBorder="1" applyAlignment="1" applyProtection="1">
      <alignment horizontal="center" vertical="center"/>
      <protection hidden="1"/>
    </xf>
    <xf numFmtId="0" fontId="13" fillId="13" borderId="13" xfId="0" applyFont="1" applyFill="1" applyBorder="1" applyAlignment="1" applyProtection="1">
      <alignment horizontal="center" vertical="center" wrapText="1"/>
      <protection hidden="1"/>
    </xf>
    <xf numFmtId="0" fontId="13" fillId="13" borderId="78" xfId="0" applyFont="1" applyFill="1" applyBorder="1" applyAlignment="1" applyProtection="1">
      <alignment horizontal="center" vertical="center" wrapText="1"/>
      <protection hidden="1"/>
    </xf>
    <xf numFmtId="0" fontId="18" fillId="10" borderId="210" xfId="0" applyFont="1" applyFill="1" applyBorder="1" applyAlignment="1" applyProtection="1">
      <alignment horizontal="center" vertical="center"/>
      <protection hidden="1"/>
    </xf>
    <xf numFmtId="0" fontId="18" fillId="10" borderId="211" xfId="0" applyFont="1" applyFill="1" applyBorder="1" applyAlignment="1" applyProtection="1">
      <alignment horizontal="center" vertical="center"/>
      <protection hidden="1"/>
    </xf>
    <xf numFmtId="0" fontId="14" fillId="2" borderId="1" xfId="0" applyFont="1" applyFill="1" applyBorder="1" applyAlignment="1" applyProtection="1">
      <alignment horizontal="center" vertical="center" wrapText="1"/>
      <protection hidden="1"/>
    </xf>
    <xf numFmtId="0" fontId="14" fillId="2" borderId="17" xfId="0" applyFont="1" applyFill="1" applyBorder="1" applyAlignment="1" applyProtection="1">
      <alignment horizontal="center" vertical="center" wrapText="1"/>
      <protection hidden="1"/>
    </xf>
    <xf numFmtId="0" fontId="13" fillId="2" borderId="20" xfId="0" applyFont="1" applyFill="1" applyBorder="1" applyAlignment="1" applyProtection="1">
      <alignment horizontal="center" vertical="center"/>
      <protection hidden="1"/>
    </xf>
    <xf numFmtId="0" fontId="13" fillId="2" borderId="20" xfId="0" applyFont="1" applyFill="1" applyBorder="1" applyAlignment="1" applyProtection="1">
      <alignment horizontal="center" vertical="center" wrapText="1"/>
      <protection hidden="1"/>
    </xf>
    <xf numFmtId="0" fontId="13" fillId="2" borderId="1" xfId="0" applyFont="1" applyFill="1" applyBorder="1" applyAlignment="1" applyProtection="1">
      <alignment horizontal="center" vertical="center" wrapText="1"/>
      <protection hidden="1"/>
    </xf>
    <xf numFmtId="0" fontId="13" fillId="2" borderId="17" xfId="0" applyFont="1" applyFill="1" applyBorder="1" applyAlignment="1" applyProtection="1">
      <alignment horizontal="center" vertical="center" wrapText="1"/>
      <protection hidden="1"/>
    </xf>
    <xf numFmtId="0" fontId="14" fillId="2" borderId="21" xfId="0" applyFont="1" applyFill="1" applyBorder="1" applyAlignment="1" applyProtection="1">
      <alignment horizontal="center" vertical="center" wrapText="1"/>
      <protection hidden="1"/>
    </xf>
    <xf numFmtId="0" fontId="14" fillId="2" borderId="15" xfId="0" applyFont="1" applyFill="1" applyBorder="1" applyAlignment="1" applyProtection="1">
      <alignment horizontal="center" vertical="center" wrapText="1"/>
      <protection hidden="1"/>
    </xf>
    <xf numFmtId="0" fontId="14" fillId="2" borderId="18" xfId="0" applyFont="1" applyFill="1" applyBorder="1" applyAlignment="1" applyProtection="1">
      <alignment horizontal="center" vertical="center" wrapText="1"/>
      <protection hidden="1"/>
    </xf>
    <xf numFmtId="0" fontId="33" fillId="13" borderId="97" xfId="0" applyFont="1" applyFill="1" applyBorder="1" applyAlignment="1" applyProtection="1">
      <alignment horizontal="center" vertical="center" wrapText="1"/>
      <protection hidden="1"/>
    </xf>
    <xf numFmtId="0" fontId="33" fillId="13" borderId="79" xfId="0" applyFont="1" applyFill="1" applyBorder="1" applyAlignment="1" applyProtection="1">
      <alignment horizontal="center" vertical="center" wrapText="1"/>
      <protection hidden="1"/>
    </xf>
    <xf numFmtId="0" fontId="33" fillId="13" borderId="83" xfId="0" applyFont="1" applyFill="1" applyBorder="1" applyAlignment="1" applyProtection="1">
      <alignment horizontal="center" vertical="center" wrapText="1"/>
      <protection hidden="1"/>
    </xf>
    <xf numFmtId="0" fontId="14" fillId="13" borderId="32" xfId="0" applyFont="1" applyFill="1" applyBorder="1" applyAlignment="1" applyProtection="1">
      <alignment horizontal="center" vertical="center" wrapText="1"/>
      <protection hidden="1"/>
    </xf>
    <xf numFmtId="0" fontId="14" fillId="13" borderId="33" xfId="0" applyFont="1" applyFill="1" applyBorder="1" applyAlignment="1" applyProtection="1">
      <alignment horizontal="center" vertical="center" wrapText="1"/>
      <protection hidden="1"/>
    </xf>
    <xf numFmtId="0" fontId="14" fillId="13" borderId="35" xfId="0" applyFont="1" applyFill="1" applyBorder="1" applyAlignment="1" applyProtection="1">
      <alignment horizontal="center" vertical="center" wrapText="1"/>
      <protection hidden="1"/>
    </xf>
    <xf numFmtId="0" fontId="4" fillId="18" borderId="0" xfId="0" applyFont="1" applyFill="1" applyAlignment="1" applyProtection="1">
      <alignment horizontal="center" wrapText="1"/>
      <protection hidden="1"/>
    </xf>
    <xf numFmtId="0" fontId="5" fillId="2" borderId="19" xfId="0" applyFont="1" applyFill="1" applyBorder="1" applyAlignment="1" applyProtection="1">
      <alignment horizontal="center" vertical="center" wrapText="1"/>
      <protection hidden="1"/>
    </xf>
    <xf numFmtId="0" fontId="5" fillId="2" borderId="22" xfId="0" applyFont="1" applyFill="1" applyBorder="1" applyAlignment="1" applyProtection="1">
      <alignment horizontal="center" vertical="center" wrapText="1"/>
      <protection hidden="1"/>
    </xf>
    <xf numFmtId="0" fontId="5" fillId="2" borderId="23" xfId="0" applyFont="1" applyFill="1" applyBorder="1" applyAlignment="1" applyProtection="1">
      <alignment horizontal="center" vertical="center" wrapText="1"/>
      <protection hidden="1"/>
    </xf>
    <xf numFmtId="0" fontId="5" fillId="2" borderId="20" xfId="0" applyFont="1" applyFill="1" applyBorder="1" applyAlignment="1" applyProtection="1">
      <alignment horizontal="center" vertical="center" wrapText="1"/>
      <protection hidden="1"/>
    </xf>
    <xf numFmtId="0" fontId="5" fillId="2" borderId="1" xfId="0" applyFont="1" applyFill="1" applyBorder="1" applyAlignment="1" applyProtection="1">
      <alignment horizontal="center" vertical="center" wrapText="1"/>
      <protection hidden="1"/>
    </xf>
    <xf numFmtId="0" fontId="5" fillId="2" borderId="17" xfId="0" applyFont="1" applyFill="1" applyBorder="1" applyAlignment="1" applyProtection="1">
      <alignment horizontal="center" vertical="center" wrapText="1"/>
      <protection hidden="1"/>
    </xf>
    <xf numFmtId="0" fontId="5" fillId="11" borderId="133" xfId="0" applyFont="1" applyFill="1" applyBorder="1" applyAlignment="1" applyProtection="1">
      <alignment horizontal="center" vertical="center"/>
      <protection hidden="1"/>
    </xf>
    <xf numFmtId="0" fontId="5" fillId="11" borderId="34" xfId="0" applyFont="1" applyFill="1" applyBorder="1" applyAlignment="1" applyProtection="1">
      <alignment horizontal="center" vertical="center"/>
      <protection hidden="1"/>
    </xf>
    <xf numFmtId="0" fontId="5" fillId="11" borderId="58" xfId="0" applyFont="1" applyFill="1" applyBorder="1" applyAlignment="1" applyProtection="1">
      <alignment horizontal="center" vertical="center"/>
      <protection hidden="1"/>
    </xf>
    <xf numFmtId="0" fontId="5" fillId="11" borderId="19" xfId="0" quotePrefix="1" applyFont="1" applyFill="1" applyBorder="1" applyAlignment="1" applyProtection="1">
      <alignment horizontal="center" vertical="center" wrapText="1"/>
      <protection hidden="1"/>
    </xf>
    <xf numFmtId="0" fontId="5" fillId="11" borderId="23" xfId="0" applyFont="1" applyFill="1" applyBorder="1" applyAlignment="1" applyProtection="1">
      <alignment horizontal="center" vertical="center" wrapText="1"/>
      <protection hidden="1"/>
    </xf>
    <xf numFmtId="0" fontId="5" fillId="11" borderId="20" xfId="0" quotePrefix="1" applyFont="1" applyFill="1" applyBorder="1" applyAlignment="1" applyProtection="1">
      <alignment horizontal="center" vertical="center" wrapText="1"/>
      <protection hidden="1"/>
    </xf>
    <xf numFmtId="0" fontId="5" fillId="11" borderId="17" xfId="0" applyFont="1" applyFill="1" applyBorder="1" applyAlignment="1" applyProtection="1">
      <alignment horizontal="center" vertical="center" wrapText="1"/>
      <protection hidden="1"/>
    </xf>
    <xf numFmtId="0" fontId="43" fillId="0" borderId="1" xfId="0" applyFont="1" applyBorder="1" applyAlignment="1" applyProtection="1">
      <alignment horizontal="center" vertical="center" wrapText="1"/>
      <protection hidden="1"/>
    </xf>
    <xf numFmtId="0" fontId="43" fillId="0" borderId="1" xfId="0" applyFont="1" applyBorder="1" applyAlignment="1" applyProtection="1">
      <alignment horizontal="center" vertical="center"/>
      <protection hidden="1"/>
    </xf>
    <xf numFmtId="0" fontId="4" fillId="0" borderId="1" xfId="0" applyFont="1" applyBorder="1" applyAlignment="1" applyProtection="1">
      <alignment horizontal="center" vertical="center"/>
      <protection hidden="1"/>
    </xf>
    <xf numFmtId="0" fontId="4" fillId="0" borderId="1" xfId="0" applyFont="1" applyBorder="1" applyAlignment="1" applyProtection="1">
      <alignment horizontal="center" vertical="center" wrapText="1"/>
      <protection hidden="1"/>
    </xf>
    <xf numFmtId="0" fontId="5" fillId="11" borderId="97" xfId="0" applyFont="1" applyFill="1" applyBorder="1" applyAlignment="1" applyProtection="1">
      <alignment horizontal="center" vertical="center"/>
      <protection hidden="1"/>
    </xf>
    <xf numFmtId="0" fontId="5" fillId="11" borderId="79" xfId="0" applyFont="1" applyFill="1" applyBorder="1" applyAlignment="1" applyProtection="1">
      <alignment horizontal="center" vertical="center"/>
      <protection hidden="1"/>
    </xf>
    <xf numFmtId="0" fontId="5" fillId="11" borderId="83" xfId="0" applyFont="1" applyFill="1" applyBorder="1" applyAlignment="1" applyProtection="1">
      <alignment horizontal="center" vertical="center"/>
      <protection hidden="1"/>
    </xf>
    <xf numFmtId="0" fontId="18" fillId="10" borderId="212" xfId="0" applyFont="1" applyFill="1" applyBorder="1" applyAlignment="1" applyProtection="1">
      <alignment horizontal="center" vertical="center"/>
      <protection hidden="1"/>
    </xf>
    <xf numFmtId="0" fontId="18" fillId="10" borderId="213" xfId="0" applyFont="1" applyFill="1" applyBorder="1" applyAlignment="1" applyProtection="1">
      <alignment horizontal="center" vertical="center"/>
      <protection hidden="1"/>
    </xf>
    <xf numFmtId="0" fontId="18" fillId="10" borderId="214" xfId="0" applyFont="1" applyFill="1" applyBorder="1" applyAlignment="1" applyProtection="1">
      <alignment horizontal="center" vertical="center"/>
      <protection hidden="1"/>
    </xf>
    <xf numFmtId="0" fontId="5" fillId="13" borderId="1" xfId="0" applyFont="1" applyFill="1" applyBorder="1" applyAlignment="1" applyProtection="1">
      <alignment horizontal="center" vertical="center"/>
      <protection hidden="1"/>
    </xf>
    <xf numFmtId="0" fontId="5" fillId="0" borderId="1" xfId="0" applyFont="1" applyBorder="1" applyAlignment="1" applyProtection="1">
      <alignment horizontal="center" vertical="center" wrapText="1"/>
      <protection hidden="1"/>
    </xf>
    <xf numFmtId="0" fontId="5" fillId="0" borderId="1" xfId="0" applyFont="1" applyBorder="1" applyAlignment="1" applyProtection="1">
      <alignment horizontal="center" vertical="center"/>
      <protection hidden="1"/>
    </xf>
    <xf numFmtId="0" fontId="14" fillId="11" borderId="22" xfId="0" applyFont="1" applyFill="1" applyBorder="1" applyAlignment="1" applyProtection="1">
      <alignment horizontal="center" vertical="center" wrapText="1"/>
      <protection hidden="1"/>
    </xf>
    <xf numFmtId="0" fontId="14" fillId="11" borderId="14" xfId="0" applyFont="1" applyFill="1" applyBorder="1" applyAlignment="1" applyProtection="1">
      <alignment horizontal="center" vertical="center" wrapText="1"/>
      <protection hidden="1"/>
    </xf>
    <xf numFmtId="0" fontId="14" fillId="11" borderId="1" xfId="0" applyFont="1" applyFill="1" applyBorder="1" applyAlignment="1" applyProtection="1">
      <alignment horizontal="center" vertical="center" wrapText="1"/>
      <protection hidden="1"/>
    </xf>
    <xf numFmtId="0" fontId="14" fillId="11" borderId="32" xfId="0" applyFont="1" applyFill="1" applyBorder="1" applyAlignment="1" applyProtection="1">
      <alignment horizontal="center" vertical="center" wrapText="1"/>
      <protection hidden="1"/>
    </xf>
    <xf numFmtId="0" fontId="14" fillId="11" borderId="15" xfId="0" applyFont="1" applyFill="1" applyBorder="1" applyAlignment="1" applyProtection="1">
      <alignment horizontal="center" vertical="center" wrapText="1"/>
      <protection hidden="1"/>
    </xf>
    <xf numFmtId="0" fontId="14" fillId="11" borderId="63" xfId="0" applyFont="1" applyFill="1" applyBorder="1" applyAlignment="1" applyProtection="1">
      <alignment horizontal="center" vertical="center" wrapText="1"/>
      <protection hidden="1"/>
    </xf>
    <xf numFmtId="0" fontId="14" fillId="11" borderId="97" xfId="0" applyFont="1" applyFill="1" applyBorder="1" applyAlignment="1" applyProtection="1">
      <alignment horizontal="center" vertical="center" wrapText="1"/>
      <protection hidden="1"/>
    </xf>
    <xf numFmtId="0" fontId="14" fillId="11" borderId="79" xfId="0" applyFont="1" applyFill="1" applyBorder="1" applyAlignment="1" applyProtection="1">
      <alignment horizontal="center" vertical="center" wrapText="1"/>
      <protection hidden="1"/>
    </xf>
    <xf numFmtId="0" fontId="5" fillId="11" borderId="85" xfId="0" applyFont="1" applyFill="1" applyBorder="1" applyAlignment="1" applyProtection="1">
      <alignment horizontal="center" vertical="center" wrapText="1"/>
      <protection hidden="1"/>
    </xf>
    <xf numFmtId="0" fontId="5" fillId="11" borderId="87" xfId="0" applyFont="1" applyFill="1" applyBorder="1" applyAlignment="1" applyProtection="1">
      <alignment horizontal="center" vertical="center" wrapText="1"/>
      <protection hidden="1"/>
    </xf>
    <xf numFmtId="0" fontId="7" fillId="13" borderId="97" xfId="0" applyFont="1" applyFill="1" applyBorder="1" applyAlignment="1" applyProtection="1">
      <alignment horizontal="center" vertical="center"/>
      <protection hidden="1"/>
    </xf>
    <xf numFmtId="0" fontId="7" fillId="13" borderId="79" xfId="0" applyFont="1" applyFill="1" applyBorder="1" applyAlignment="1" applyProtection="1">
      <alignment horizontal="center" vertical="center"/>
      <protection hidden="1"/>
    </xf>
    <xf numFmtId="0" fontId="7" fillId="13" borderId="83" xfId="0" applyFont="1" applyFill="1" applyBorder="1" applyAlignment="1" applyProtection="1">
      <alignment horizontal="center" vertical="center"/>
      <protection hidden="1"/>
    </xf>
    <xf numFmtId="0" fontId="5" fillId="11" borderId="21" xfId="0" quotePrefix="1" applyFont="1" applyFill="1" applyBorder="1" applyAlignment="1" applyProtection="1">
      <alignment horizontal="center" vertical="center" wrapText="1"/>
      <protection hidden="1"/>
    </xf>
    <xf numFmtId="0" fontId="5" fillId="11" borderId="18" xfId="0" applyFont="1" applyFill="1" applyBorder="1" applyAlignment="1" applyProtection="1">
      <alignment horizontal="center" vertical="center" wrapText="1"/>
      <protection hidden="1"/>
    </xf>
    <xf numFmtId="0" fontId="18" fillId="10" borderId="212" xfId="0" applyFont="1" applyFill="1" applyBorder="1" applyAlignment="1" applyProtection="1">
      <alignment horizontal="center"/>
      <protection hidden="1"/>
    </xf>
    <xf numFmtId="0" fontId="18" fillId="10" borderId="213" xfId="0" applyFont="1" applyFill="1" applyBorder="1" applyAlignment="1" applyProtection="1">
      <alignment horizontal="center"/>
      <protection hidden="1"/>
    </xf>
    <xf numFmtId="0" fontId="18" fillId="10" borderId="214" xfId="0" applyFont="1" applyFill="1" applyBorder="1" applyAlignment="1" applyProtection="1">
      <alignment horizontal="center"/>
      <protection hidden="1"/>
    </xf>
    <xf numFmtId="0" fontId="33" fillId="11" borderId="97" xfId="0" applyFont="1" applyFill="1" applyBorder="1" applyAlignment="1" applyProtection="1">
      <alignment horizontal="center" vertical="center" wrapText="1"/>
      <protection hidden="1"/>
    </xf>
    <xf numFmtId="0" fontId="33" fillId="11" borderId="79" xfId="0" applyFont="1" applyFill="1" applyBorder="1" applyAlignment="1" applyProtection="1">
      <alignment horizontal="center" vertical="center" wrapText="1"/>
      <protection hidden="1"/>
    </xf>
    <xf numFmtId="0" fontId="33" fillId="11" borderId="83" xfId="0" applyFont="1" applyFill="1" applyBorder="1" applyAlignment="1" applyProtection="1">
      <alignment horizontal="center" vertical="center" wrapText="1"/>
      <protection hidden="1"/>
    </xf>
    <xf numFmtId="0" fontId="5" fillId="11" borderId="75" xfId="0" applyFont="1" applyFill="1" applyBorder="1" applyAlignment="1" applyProtection="1">
      <alignment horizontal="center" vertical="center"/>
      <protection hidden="1"/>
    </xf>
    <xf numFmtId="0" fontId="5" fillId="11" borderId="76" xfId="0" applyFont="1" applyFill="1" applyBorder="1" applyAlignment="1" applyProtection="1">
      <alignment horizontal="center" vertical="center"/>
      <protection hidden="1"/>
    </xf>
    <xf numFmtId="0" fontId="5" fillId="11" borderId="77" xfId="0" applyFont="1" applyFill="1" applyBorder="1" applyAlignment="1" applyProtection="1">
      <alignment horizontal="center" vertical="center"/>
      <protection hidden="1"/>
    </xf>
    <xf numFmtId="0" fontId="5" fillId="13" borderId="133" xfId="0" applyFont="1" applyFill="1" applyBorder="1" applyAlignment="1" applyProtection="1">
      <alignment horizontal="center" vertical="center"/>
      <protection hidden="1"/>
    </xf>
    <xf numFmtId="0" fontId="5" fillId="13" borderId="34" xfId="0" applyFont="1" applyFill="1" applyBorder="1" applyAlignment="1" applyProtection="1">
      <alignment horizontal="center" vertical="center"/>
      <protection hidden="1"/>
    </xf>
    <xf numFmtId="0" fontId="5" fillId="13" borderId="58" xfId="0" applyFont="1" applyFill="1" applyBorder="1" applyAlignment="1" applyProtection="1">
      <alignment horizontal="center" vertical="center"/>
      <protection hidden="1"/>
    </xf>
    <xf numFmtId="0" fontId="5" fillId="11" borderId="75" xfId="0" applyFont="1" applyFill="1" applyBorder="1" applyAlignment="1" applyProtection="1">
      <alignment horizontal="center"/>
      <protection hidden="1"/>
    </xf>
    <xf numFmtId="0" fontId="5" fillId="11" borderId="76" xfId="0" applyFont="1" applyFill="1" applyBorder="1" applyAlignment="1" applyProtection="1">
      <alignment horizontal="center"/>
      <protection hidden="1"/>
    </xf>
    <xf numFmtId="0" fontId="5" fillId="11" borderId="77" xfId="0" applyFont="1" applyFill="1" applyBorder="1" applyAlignment="1" applyProtection="1">
      <alignment horizontal="center"/>
      <protection hidden="1"/>
    </xf>
    <xf numFmtId="0" fontId="5" fillId="6" borderId="0" xfId="0" applyFont="1" applyFill="1" applyAlignment="1" applyProtection="1">
      <alignment horizontal="center" vertical="center"/>
      <protection hidden="1"/>
    </xf>
    <xf numFmtId="0" fontId="5" fillId="9" borderId="0" xfId="0" applyFont="1" applyFill="1" applyAlignment="1" applyProtection="1">
      <alignment horizontal="center" vertical="center"/>
      <protection hidden="1"/>
    </xf>
    <xf numFmtId="0" fontId="5" fillId="13" borderId="19" xfId="0" quotePrefix="1" applyFont="1" applyFill="1" applyBorder="1" applyAlignment="1" applyProtection="1">
      <alignment horizontal="center" vertical="center" wrapText="1"/>
      <protection hidden="1"/>
    </xf>
    <xf numFmtId="0" fontId="5" fillId="13" borderId="14" xfId="0" applyFont="1" applyFill="1" applyBorder="1" applyAlignment="1" applyProtection="1">
      <alignment horizontal="center" vertical="center" wrapText="1"/>
      <protection hidden="1"/>
    </xf>
    <xf numFmtId="0" fontId="5" fillId="13" borderId="20" xfId="0" quotePrefix="1" applyFont="1" applyFill="1" applyBorder="1" applyAlignment="1" applyProtection="1">
      <alignment horizontal="center" vertical="center" wrapText="1"/>
      <protection hidden="1"/>
    </xf>
    <xf numFmtId="0" fontId="5" fillId="13" borderId="32" xfId="0" applyFont="1" applyFill="1" applyBorder="1" applyAlignment="1" applyProtection="1">
      <alignment horizontal="center" vertical="center" wrapText="1"/>
      <protection hidden="1"/>
    </xf>
    <xf numFmtId="0" fontId="5" fillId="13" borderId="85" xfId="0" applyFont="1" applyFill="1" applyBorder="1" applyAlignment="1" applyProtection="1">
      <alignment horizontal="center" vertical="center" wrapText="1"/>
      <protection hidden="1"/>
    </xf>
    <xf numFmtId="0" fontId="5" fillId="13" borderId="87" xfId="0" applyFont="1" applyFill="1" applyBorder="1" applyAlignment="1" applyProtection="1">
      <alignment horizontal="center" vertical="center" wrapText="1"/>
      <protection hidden="1"/>
    </xf>
    <xf numFmtId="0" fontId="33" fillId="13" borderId="19" xfId="0" applyFont="1" applyFill="1" applyBorder="1" applyAlignment="1" applyProtection="1">
      <alignment horizontal="center" vertical="center" wrapText="1"/>
      <protection hidden="1"/>
    </xf>
    <xf numFmtId="0" fontId="33" fillId="13" borderId="22" xfId="0" applyFont="1" applyFill="1" applyBorder="1" applyAlignment="1" applyProtection="1">
      <alignment horizontal="center" vertical="center" wrapText="1"/>
      <protection hidden="1"/>
    </xf>
    <xf numFmtId="0" fontId="33" fillId="13" borderId="23" xfId="0" applyFont="1" applyFill="1" applyBorder="1" applyAlignment="1" applyProtection="1">
      <alignment horizontal="center" vertical="center" wrapText="1"/>
      <protection hidden="1"/>
    </xf>
    <xf numFmtId="0" fontId="33" fillId="13" borderId="20" xfId="0" applyFont="1" applyFill="1" applyBorder="1" applyAlignment="1" applyProtection="1">
      <alignment horizontal="center" vertical="center" wrapText="1"/>
      <protection hidden="1"/>
    </xf>
    <xf numFmtId="0" fontId="33" fillId="13" borderId="1" xfId="0" applyFont="1" applyFill="1" applyBorder="1" applyAlignment="1" applyProtection="1">
      <alignment horizontal="center" vertical="center" wrapText="1"/>
      <protection hidden="1"/>
    </xf>
    <xf numFmtId="0" fontId="33" fillId="13" borderId="17" xfId="0" applyFont="1" applyFill="1" applyBorder="1" applyAlignment="1" applyProtection="1">
      <alignment horizontal="center" vertical="center" wrapText="1"/>
      <protection hidden="1"/>
    </xf>
    <xf numFmtId="0" fontId="14" fillId="13" borderId="20" xfId="0" applyFont="1" applyFill="1" applyBorder="1" applyAlignment="1" applyProtection="1">
      <alignment horizontal="center" vertical="center" wrapText="1"/>
      <protection hidden="1"/>
    </xf>
    <xf numFmtId="0" fontId="14" fillId="13" borderId="1" xfId="0" applyFont="1" applyFill="1" applyBorder="1" applyAlignment="1" applyProtection="1">
      <alignment horizontal="center" vertical="center" wrapText="1"/>
      <protection hidden="1"/>
    </xf>
    <xf numFmtId="0" fontId="14" fillId="13" borderId="17" xfId="0" applyFont="1" applyFill="1" applyBorder="1" applyAlignment="1" applyProtection="1">
      <alignment horizontal="center" vertical="center" wrapText="1"/>
      <protection hidden="1"/>
    </xf>
    <xf numFmtId="0" fontId="33" fillId="13" borderId="21" xfId="0" applyFont="1" applyFill="1" applyBorder="1" applyAlignment="1" applyProtection="1">
      <alignment horizontal="center" vertical="center" wrapText="1"/>
      <protection hidden="1"/>
    </xf>
    <xf numFmtId="0" fontId="33" fillId="13" borderId="15" xfId="0" applyFont="1" applyFill="1" applyBorder="1" applyAlignment="1" applyProtection="1">
      <alignment horizontal="center" vertical="center" wrapText="1"/>
      <protection hidden="1"/>
    </xf>
    <xf numFmtId="0" fontId="33" fillId="13" borderId="18" xfId="0" applyFont="1" applyFill="1" applyBorder="1" applyAlignment="1" applyProtection="1">
      <alignment horizontal="center" vertical="center" wrapText="1"/>
      <protection hidden="1"/>
    </xf>
    <xf numFmtId="0" fontId="5" fillId="13" borderId="21" xfId="0" quotePrefix="1" applyFont="1" applyFill="1" applyBorder="1" applyAlignment="1" applyProtection="1">
      <alignment horizontal="center" vertical="center" wrapText="1"/>
      <protection hidden="1"/>
    </xf>
    <xf numFmtId="0" fontId="5" fillId="13" borderId="63" xfId="0" applyFont="1" applyFill="1" applyBorder="1" applyAlignment="1" applyProtection="1">
      <alignment horizontal="center" vertical="center" wrapText="1"/>
      <protection hidden="1"/>
    </xf>
    <xf numFmtId="0" fontId="36" fillId="13" borderId="19" xfId="0" applyFont="1" applyFill="1" applyBorder="1" applyAlignment="1" applyProtection="1">
      <alignment horizontal="center" vertical="center"/>
      <protection hidden="1"/>
    </xf>
    <xf numFmtId="0" fontId="36" fillId="13" borderId="20" xfId="0" applyFont="1" applyFill="1" applyBorder="1" applyAlignment="1" applyProtection="1">
      <alignment horizontal="center" vertical="center"/>
      <protection hidden="1"/>
    </xf>
    <xf numFmtId="0" fontId="36" fillId="13" borderId="21" xfId="0" applyFont="1" applyFill="1" applyBorder="1" applyAlignment="1" applyProtection="1">
      <alignment horizontal="center" vertical="center"/>
      <protection hidden="1"/>
    </xf>
    <xf numFmtId="0" fontId="13" fillId="13" borderId="84" xfId="0" applyFont="1" applyFill="1" applyBorder="1" applyAlignment="1" applyProtection="1">
      <alignment horizontal="center" vertical="center"/>
      <protection hidden="1"/>
    </xf>
    <xf numFmtId="0" fontId="14" fillId="13" borderId="22" xfId="0" applyFont="1" applyFill="1" applyBorder="1" applyAlignment="1" applyProtection="1">
      <alignment horizontal="center" vertical="center" wrapText="1"/>
      <protection hidden="1"/>
    </xf>
    <xf numFmtId="0" fontId="14" fillId="13" borderId="14" xfId="0" applyFont="1" applyFill="1" applyBorder="1" applyAlignment="1" applyProtection="1">
      <alignment horizontal="center" vertical="center" wrapText="1"/>
      <protection hidden="1"/>
    </xf>
    <xf numFmtId="0" fontId="14" fillId="13" borderId="15" xfId="0" applyFont="1" applyFill="1" applyBorder="1" applyAlignment="1" applyProtection="1">
      <alignment horizontal="center" vertical="center" wrapText="1"/>
      <protection hidden="1"/>
    </xf>
    <xf numFmtId="0" fontId="14" fillId="13" borderId="63" xfId="0" applyFont="1" applyFill="1" applyBorder="1" applyAlignment="1" applyProtection="1">
      <alignment horizontal="center" vertical="center" wrapText="1"/>
      <protection hidden="1"/>
    </xf>
    <xf numFmtId="0" fontId="14" fillId="13" borderId="18" xfId="0" applyFont="1" applyFill="1" applyBorder="1" applyAlignment="1" applyProtection="1">
      <alignment horizontal="center" vertical="center" wrapText="1"/>
      <protection hidden="1"/>
    </xf>
    <xf numFmtId="0" fontId="33" fillId="11" borderId="19" xfId="0" applyFont="1" applyFill="1" applyBorder="1" applyAlignment="1" applyProtection="1">
      <alignment horizontal="center" vertical="center" wrapText="1"/>
      <protection hidden="1"/>
    </xf>
    <xf numFmtId="0" fontId="33" fillId="11" borderId="22" xfId="0" applyFont="1" applyFill="1" applyBorder="1" applyAlignment="1" applyProtection="1">
      <alignment horizontal="center" vertical="center" wrapText="1"/>
      <protection hidden="1"/>
    </xf>
    <xf numFmtId="0" fontId="33" fillId="11" borderId="23" xfId="0" applyFont="1" applyFill="1" applyBorder="1" applyAlignment="1" applyProtection="1">
      <alignment horizontal="center" vertical="center" wrapText="1"/>
      <protection hidden="1"/>
    </xf>
    <xf numFmtId="0" fontId="33" fillId="11" borderId="20" xfId="0" applyFont="1" applyFill="1" applyBorder="1" applyAlignment="1" applyProtection="1">
      <alignment horizontal="center" vertical="center" wrapText="1"/>
      <protection hidden="1"/>
    </xf>
    <xf numFmtId="0" fontId="33" fillId="11" borderId="1" xfId="0" applyFont="1" applyFill="1" applyBorder="1" applyAlignment="1" applyProtection="1">
      <alignment horizontal="center" vertical="center" wrapText="1"/>
      <protection hidden="1"/>
    </xf>
    <xf numFmtId="0" fontId="33" fillId="11" borderId="17" xfId="0" applyFont="1" applyFill="1" applyBorder="1" applyAlignment="1" applyProtection="1">
      <alignment horizontal="center" vertical="center" wrapText="1"/>
      <protection hidden="1"/>
    </xf>
    <xf numFmtId="0" fontId="14" fillId="11" borderId="20" xfId="0" applyFont="1" applyFill="1" applyBorder="1" applyAlignment="1" applyProtection="1">
      <alignment horizontal="center" vertical="center" wrapText="1"/>
      <protection hidden="1"/>
    </xf>
    <xf numFmtId="0" fontId="14" fillId="11" borderId="17" xfId="0" applyFont="1" applyFill="1" applyBorder="1" applyAlignment="1" applyProtection="1">
      <alignment horizontal="center" vertical="center" wrapText="1"/>
      <protection hidden="1"/>
    </xf>
    <xf numFmtId="0" fontId="13" fillId="11" borderId="84" xfId="0" applyFont="1" applyFill="1" applyBorder="1" applyAlignment="1" applyProtection="1">
      <alignment horizontal="center" vertical="center"/>
      <protection hidden="1"/>
    </xf>
    <xf numFmtId="0" fontId="36" fillId="11" borderId="19" xfId="0" applyFont="1" applyFill="1" applyBorder="1" applyAlignment="1" applyProtection="1">
      <alignment horizontal="center" vertical="center"/>
      <protection hidden="1"/>
    </xf>
    <xf numFmtId="0" fontId="36" fillId="11" borderId="20" xfId="0" applyFont="1" applyFill="1" applyBorder="1" applyAlignment="1" applyProtection="1">
      <alignment horizontal="center" vertical="center"/>
      <protection hidden="1"/>
    </xf>
    <xf numFmtId="0" fontId="36" fillId="11" borderId="21" xfId="0" applyFont="1" applyFill="1" applyBorder="1" applyAlignment="1" applyProtection="1">
      <alignment horizontal="center" vertical="center"/>
      <protection hidden="1"/>
    </xf>
    <xf numFmtId="0" fontId="33" fillId="11" borderId="21" xfId="0" applyFont="1" applyFill="1" applyBorder="1" applyAlignment="1" applyProtection="1">
      <alignment horizontal="center" vertical="center" wrapText="1"/>
      <protection hidden="1"/>
    </xf>
    <xf numFmtId="0" fontId="33" fillId="11" borderId="15" xfId="0" applyFont="1" applyFill="1" applyBorder="1" applyAlignment="1" applyProtection="1">
      <alignment horizontal="center" vertical="center" wrapText="1"/>
      <protection hidden="1"/>
    </xf>
    <xf numFmtId="0" fontId="33" fillId="11" borderId="18" xfId="0" applyFont="1" applyFill="1" applyBorder="1" applyAlignment="1" applyProtection="1">
      <alignment horizontal="center" vertical="center" wrapText="1"/>
      <protection hidden="1"/>
    </xf>
    <xf numFmtId="0" fontId="14" fillId="11" borderId="18" xfId="0" applyFont="1" applyFill="1" applyBorder="1" applyAlignment="1" applyProtection="1">
      <alignment horizontal="center" vertical="center" wrapText="1"/>
      <protection hidden="1"/>
    </xf>
    <xf numFmtId="0" fontId="14" fillId="11" borderId="33" xfId="0" applyFont="1" applyFill="1" applyBorder="1" applyAlignment="1" applyProtection="1">
      <alignment horizontal="center" vertical="center" wrapText="1"/>
      <protection hidden="1"/>
    </xf>
    <xf numFmtId="0" fontId="14" fillId="11" borderId="35" xfId="0" applyFont="1" applyFill="1" applyBorder="1" applyAlignment="1" applyProtection="1">
      <alignment horizontal="center" vertical="center" wrapText="1"/>
      <protection hidden="1"/>
    </xf>
    <xf numFmtId="0" fontId="31" fillId="11" borderId="133" xfId="0" applyFont="1" applyFill="1" applyBorder="1" applyAlignment="1" applyProtection="1">
      <alignment horizontal="center" vertical="center" wrapText="1"/>
      <protection hidden="1"/>
    </xf>
    <xf numFmtId="0" fontId="31" fillId="11" borderId="59" xfId="0" applyFont="1" applyFill="1" applyBorder="1" applyAlignment="1" applyProtection="1">
      <alignment horizontal="center" vertical="center" wrapText="1"/>
      <protection hidden="1"/>
    </xf>
    <xf numFmtId="0" fontId="31" fillId="11" borderId="16" xfId="0" applyFont="1" applyFill="1" applyBorder="1" applyAlignment="1" applyProtection="1">
      <alignment horizontal="center" vertical="center" wrapText="1"/>
      <protection hidden="1"/>
    </xf>
    <xf numFmtId="0" fontId="31" fillId="11" borderId="34" xfId="0" applyFont="1" applyFill="1" applyBorder="1" applyAlignment="1" applyProtection="1">
      <alignment horizontal="center" vertical="center" wrapText="1"/>
      <protection hidden="1"/>
    </xf>
    <xf numFmtId="0" fontId="31" fillId="11" borderId="33" xfId="0" applyFont="1" applyFill="1" applyBorder="1" applyAlignment="1" applyProtection="1">
      <alignment horizontal="center" vertical="center" wrapText="1"/>
      <protection hidden="1"/>
    </xf>
    <xf numFmtId="0" fontId="31" fillId="11" borderId="35" xfId="0" applyFont="1" applyFill="1" applyBorder="1" applyAlignment="1" applyProtection="1">
      <alignment horizontal="center" vertical="center" wrapText="1"/>
      <protection hidden="1"/>
    </xf>
    <xf numFmtId="0" fontId="31" fillId="11" borderId="58" xfId="0" applyFont="1" applyFill="1" applyBorder="1" applyAlignment="1" applyProtection="1">
      <alignment horizontal="center" vertical="center" wrapText="1"/>
      <protection hidden="1"/>
    </xf>
    <xf numFmtId="0" fontId="31" fillId="11" borderId="60" xfId="0" applyFont="1" applyFill="1" applyBorder="1" applyAlignment="1" applyProtection="1">
      <alignment horizontal="center" vertical="center" wrapText="1"/>
      <protection hidden="1"/>
    </xf>
    <xf numFmtId="0" fontId="31" fillId="11" borderId="61" xfId="0" applyFont="1" applyFill="1" applyBorder="1" applyAlignment="1" applyProtection="1">
      <alignment horizontal="center" vertical="center" wrapText="1"/>
      <protection hidden="1"/>
    </xf>
    <xf numFmtId="0" fontId="14" fillId="13" borderId="97" xfId="0" applyFont="1" applyFill="1" applyBorder="1" applyAlignment="1" applyProtection="1">
      <alignment horizontal="center" vertical="center" wrapText="1"/>
      <protection hidden="1"/>
    </xf>
    <xf numFmtId="0" fontId="14" fillId="13" borderId="79" xfId="0" applyFont="1" applyFill="1" applyBorder="1" applyAlignment="1" applyProtection="1">
      <alignment horizontal="center" vertical="center" wrapText="1"/>
      <protection hidden="1"/>
    </xf>
    <xf numFmtId="0" fontId="5" fillId="13" borderId="97" xfId="0" applyFont="1" applyFill="1" applyBorder="1" applyAlignment="1" applyProtection="1">
      <alignment horizontal="center" vertical="center"/>
      <protection hidden="1"/>
    </xf>
    <xf numFmtId="0" fontId="5" fillId="13" borderId="79" xfId="0" applyFont="1" applyFill="1" applyBorder="1" applyAlignment="1" applyProtection="1">
      <alignment horizontal="center" vertical="center"/>
      <protection hidden="1"/>
    </xf>
    <xf numFmtId="0" fontId="5" fillId="13" borderId="75" xfId="0" applyFont="1" applyFill="1" applyBorder="1" applyAlignment="1" applyProtection="1">
      <alignment horizontal="center"/>
      <protection hidden="1"/>
    </xf>
    <xf numFmtId="0" fontId="5" fillId="13" borderId="76" xfId="0" applyFont="1" applyFill="1" applyBorder="1" applyAlignment="1" applyProtection="1">
      <alignment horizontal="center"/>
      <protection hidden="1"/>
    </xf>
    <xf numFmtId="0" fontId="5" fillId="13" borderId="77" xfId="0" applyFont="1" applyFill="1" applyBorder="1" applyAlignment="1" applyProtection="1">
      <alignment horizontal="center"/>
      <protection hidden="1"/>
    </xf>
    <xf numFmtId="0" fontId="5" fillId="13" borderId="83" xfId="0" applyFont="1" applyFill="1" applyBorder="1" applyAlignment="1" applyProtection="1">
      <alignment horizontal="center" vertical="center"/>
      <protection hidden="1"/>
    </xf>
    <xf numFmtId="0" fontId="18" fillId="10" borderId="142" xfId="0" applyFont="1" applyFill="1" applyBorder="1" applyAlignment="1" applyProtection="1">
      <alignment horizontal="center"/>
      <protection hidden="1"/>
    </xf>
    <xf numFmtId="0" fontId="18" fillId="10" borderId="143" xfId="0" applyFont="1" applyFill="1" applyBorder="1" applyAlignment="1" applyProtection="1">
      <alignment horizontal="center"/>
      <protection hidden="1"/>
    </xf>
    <xf numFmtId="0" fontId="18" fillId="10" borderId="144" xfId="0" applyFont="1" applyFill="1" applyBorder="1" applyAlignment="1" applyProtection="1">
      <alignment horizontal="center"/>
      <protection hidden="1"/>
    </xf>
    <xf numFmtId="0" fontId="31" fillId="13" borderId="133" xfId="0" applyFont="1" applyFill="1" applyBorder="1" applyAlignment="1" applyProtection="1">
      <alignment horizontal="center" vertical="center" wrapText="1"/>
      <protection hidden="1"/>
    </xf>
    <xf numFmtId="0" fontId="31" fillId="13" borderId="59" xfId="0" applyFont="1" applyFill="1" applyBorder="1" applyAlignment="1" applyProtection="1">
      <alignment horizontal="center" vertical="center" wrapText="1"/>
      <protection hidden="1"/>
    </xf>
    <xf numFmtId="0" fontId="31" fillId="13" borderId="16" xfId="0" applyFont="1" applyFill="1" applyBorder="1" applyAlignment="1" applyProtection="1">
      <alignment horizontal="center" vertical="center" wrapText="1"/>
      <protection hidden="1"/>
    </xf>
    <xf numFmtId="0" fontId="31" fillId="13" borderId="34" xfId="0" applyFont="1" applyFill="1" applyBorder="1" applyAlignment="1" applyProtection="1">
      <alignment horizontal="center" vertical="center" wrapText="1"/>
      <protection hidden="1"/>
    </xf>
    <xf numFmtId="0" fontId="31" fillId="13" borderId="33" xfId="0" applyFont="1" applyFill="1" applyBorder="1" applyAlignment="1" applyProtection="1">
      <alignment horizontal="center" vertical="center" wrapText="1"/>
      <protection hidden="1"/>
    </xf>
    <xf numFmtId="0" fontId="31" fillId="13" borderId="35" xfId="0" applyFont="1" applyFill="1" applyBorder="1" applyAlignment="1" applyProtection="1">
      <alignment horizontal="center" vertical="center" wrapText="1"/>
      <protection hidden="1"/>
    </xf>
    <xf numFmtId="0" fontId="31" fillId="13" borderId="58" xfId="0" applyFont="1" applyFill="1" applyBorder="1" applyAlignment="1" applyProtection="1">
      <alignment horizontal="center" vertical="center" wrapText="1"/>
      <protection hidden="1"/>
    </xf>
    <xf numFmtId="0" fontId="31" fillId="13" borderId="60" xfId="0" applyFont="1" applyFill="1" applyBorder="1" applyAlignment="1" applyProtection="1">
      <alignment horizontal="center" vertical="center" wrapText="1"/>
      <protection hidden="1"/>
    </xf>
    <xf numFmtId="0" fontId="31" fillId="13" borderId="61" xfId="0" applyFont="1" applyFill="1" applyBorder="1" applyAlignment="1" applyProtection="1">
      <alignment horizontal="center" vertical="center" wrapText="1"/>
      <protection hidden="1"/>
    </xf>
    <xf numFmtId="0" fontId="5" fillId="13" borderId="75" xfId="0" applyFont="1" applyFill="1" applyBorder="1" applyAlignment="1" applyProtection="1">
      <alignment horizontal="center" vertical="center"/>
      <protection hidden="1"/>
    </xf>
    <xf numFmtId="0" fontId="5" fillId="13" borderId="76" xfId="0" applyFont="1" applyFill="1" applyBorder="1" applyAlignment="1" applyProtection="1">
      <alignment horizontal="center" vertical="center"/>
      <protection hidden="1"/>
    </xf>
    <xf numFmtId="0" fontId="5" fillId="13" borderId="77" xfId="0" applyFont="1" applyFill="1" applyBorder="1" applyAlignment="1" applyProtection="1">
      <alignment horizontal="center" vertical="center"/>
      <protection hidden="1"/>
    </xf>
  </cellXfs>
  <cellStyles count="4">
    <cellStyle name="Hipervínculo" xfId="3" builtinId="8"/>
    <cellStyle name="Normal" xfId="0" builtinId="0"/>
    <cellStyle name="Normal 2" xfId="2" xr:uid="{4757FDF3-F31D-4CF3-9F18-5701FBF4A42B}"/>
    <cellStyle name="Porcentaje" xfId="1" builtinId="5"/>
  </cellStyles>
  <dxfs count="55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patternType="none">
          <bgColor auto="1"/>
        </patternFill>
      </fill>
      <border>
        <left/>
        <right/>
        <top/>
        <bottom/>
        <vertical/>
        <horizontal/>
      </border>
    </dxf>
    <dxf>
      <font>
        <b/>
        <i val="0"/>
      </font>
      <fill>
        <patternFill>
          <bgColor rgb="FFFFC000"/>
        </patternFill>
      </fill>
      <border>
        <left style="thin">
          <color auto="1"/>
        </left>
        <right style="thin">
          <color auto="1"/>
        </right>
        <top style="thin">
          <color auto="1"/>
        </top>
        <bottom style="thin">
          <color auto="1"/>
        </bottom>
      </border>
    </dxf>
    <dxf>
      <font>
        <b/>
        <i val="0"/>
        <strike val="0"/>
        <color theme="0"/>
      </font>
      <fill>
        <patternFill>
          <bgColor rgb="FFC00000"/>
        </patternFill>
      </fill>
    </dxf>
    <dxf>
      <fill>
        <patternFill>
          <bgColor rgb="FFFF7C80"/>
        </patternFill>
      </fill>
    </dxf>
    <dxf>
      <border>
        <left style="thin">
          <color auto="1"/>
        </left>
        <right style="thin">
          <color auto="1"/>
        </right>
        <top style="thin">
          <color auto="1"/>
        </top>
        <bottom style="thin">
          <color auto="1"/>
        </bottom>
        <vertical/>
        <horizontal/>
      </border>
    </dxf>
    <dxf>
      <font>
        <color theme="0"/>
      </font>
      <fill>
        <patternFill patternType="none">
          <bgColor auto="1"/>
        </patternFill>
      </fill>
      <border>
        <left/>
        <right/>
        <top/>
        <bottom/>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ill>
        <patternFill>
          <bgColor rgb="FFFF7C80"/>
        </patternFill>
      </fill>
    </dxf>
    <dxf>
      <fill>
        <patternFill>
          <bgColor rgb="FFFF7C80"/>
        </patternFill>
      </fill>
    </dxf>
    <dxf>
      <fill>
        <patternFill>
          <bgColor rgb="FFFF7C80"/>
        </patternFill>
      </fill>
    </dxf>
    <dxf>
      <fill>
        <patternFill>
          <bgColor rgb="FFFF7C80"/>
        </patternFill>
      </fill>
    </dxf>
    <dxf>
      <font>
        <color theme="0"/>
      </font>
    </dxf>
    <dxf>
      <font>
        <color theme="0"/>
      </font>
    </dxf>
    <dxf>
      <font>
        <color theme="0"/>
      </font>
    </dxf>
    <dxf>
      <font>
        <color theme="0"/>
      </font>
    </dxf>
    <dxf>
      <font>
        <color theme="0"/>
      </font>
      <fill>
        <patternFill>
          <bgColor theme="0"/>
        </patternFill>
      </fill>
      <border>
        <left/>
        <right/>
        <top/>
        <bottom/>
      </border>
    </dxf>
    <dxf>
      <font>
        <b/>
        <i val="0"/>
      </font>
      <fill>
        <patternFill>
          <bgColor rgb="FFFFC000"/>
        </patternFill>
      </fill>
      <border>
        <left style="thin">
          <color auto="1"/>
        </left>
        <right style="thin">
          <color auto="1"/>
        </right>
        <top style="thin">
          <color auto="1"/>
        </top>
        <bottom style="thin">
          <color auto="1"/>
        </bottom>
        <vertical/>
        <horizontal/>
      </border>
    </dxf>
    <dxf>
      <font>
        <color theme="0"/>
      </font>
      <fill>
        <patternFill>
          <bgColor rgb="FFC00000"/>
        </patternFill>
      </fill>
    </dxf>
    <dxf>
      <font>
        <color theme="0"/>
      </font>
    </dxf>
    <dxf>
      <font>
        <color theme="0"/>
      </font>
    </dxf>
    <dxf>
      <font>
        <color theme="0"/>
      </font>
    </dxf>
    <dxf>
      <font>
        <color theme="0"/>
      </font>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style="thin">
          <color theme="0"/>
        </left>
        <right style="thin">
          <color theme="0"/>
        </right>
        <top style="thin">
          <color theme="0"/>
        </top>
        <bottom style="thin">
          <color theme="0"/>
        </bottom>
        <vertical/>
        <horizontal/>
      </border>
    </dxf>
    <dxf>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font>
      <fill>
        <patternFill>
          <bgColor theme="7" tint="0.59996337778862885"/>
        </patternFill>
      </fill>
    </dxf>
    <dxf>
      <font>
        <b val="0"/>
        <i val="0"/>
        <color rgb="FFFF0000"/>
      </font>
      <fill>
        <patternFill>
          <bgColor theme="7" tint="0.59996337778862885"/>
        </patternFill>
      </fill>
    </dxf>
    <dxf>
      <fill>
        <patternFill>
          <bgColor theme="7" tint="0.59996337778862885"/>
        </patternFill>
      </fill>
    </dxf>
    <dxf>
      <font>
        <b val="0"/>
        <i val="0"/>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color rgb="FFFF0000"/>
      </font>
      <fill>
        <patternFill>
          <bgColor theme="7" tint="0.59996337778862885"/>
        </patternFill>
      </fill>
    </dxf>
    <dxf>
      <font>
        <color rgb="FFFF0000"/>
      </font>
      <fill>
        <patternFill>
          <bgColor theme="7" tint="0.59996337778862885"/>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b/>
        <i val="0"/>
      </font>
      <fill>
        <patternFill>
          <bgColor rgb="FFFFC000"/>
        </patternFill>
      </fill>
      <border>
        <left/>
        <right/>
        <top/>
        <bottom/>
        <vertical/>
        <horizontal/>
      </border>
    </dxf>
    <dxf>
      <font>
        <b/>
        <i val="0"/>
      </font>
      <fill>
        <patternFill>
          <bgColor rgb="FFFFC000"/>
        </patternFill>
      </fill>
    </dxf>
    <dxf>
      <font>
        <b/>
        <i val="0"/>
        <color auto="1"/>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ill>
        <patternFill>
          <bgColor rgb="FFFFC000"/>
        </patternFill>
      </fill>
    </dxf>
    <dxf>
      <font>
        <color theme="9" tint="0.79998168889431442"/>
      </font>
      <fill>
        <patternFill>
          <bgColor theme="9" tint="0.79998168889431442"/>
        </patternFill>
      </fill>
    </dxf>
    <dxf>
      <font>
        <color theme="0"/>
      </font>
      <fill>
        <patternFill>
          <bgColor theme="0"/>
        </patternFill>
      </fill>
      <border>
        <left/>
        <right/>
        <top/>
        <bottom/>
        <vertical/>
        <horizontal/>
      </border>
    </dxf>
    <dxf>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font>
      <fill>
        <patternFill>
          <bgColor theme="7" tint="0.59996337778862885"/>
        </patternFill>
      </fill>
    </dxf>
    <dxf>
      <font>
        <b val="0"/>
        <i val="0"/>
        <color rgb="FFFF0000"/>
      </font>
      <fill>
        <patternFill>
          <bgColor theme="7" tint="0.59996337778862885"/>
        </patternFill>
      </fill>
    </dxf>
    <dxf>
      <fill>
        <patternFill>
          <bgColor theme="7" tint="0.59996337778862885"/>
        </patternFill>
      </fill>
    </dxf>
    <dxf>
      <font>
        <b val="0"/>
        <i val="0"/>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color rgb="FFFF0000"/>
      </font>
      <fill>
        <patternFill>
          <bgColor theme="7" tint="0.59996337778862885"/>
        </patternFill>
      </fill>
    </dxf>
    <dxf>
      <font>
        <color rgb="FFFF0000"/>
      </font>
      <fill>
        <patternFill>
          <bgColor theme="7" tint="0.59996337778862885"/>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b/>
        <i val="0"/>
      </font>
      <fill>
        <patternFill>
          <bgColor rgb="FFFFC000"/>
        </patternFill>
      </fill>
      <border>
        <left/>
        <right/>
        <top/>
        <bottom/>
        <vertical/>
        <horizontal/>
      </border>
    </dxf>
    <dxf>
      <font>
        <b/>
        <i val="0"/>
      </font>
      <fill>
        <patternFill>
          <bgColor rgb="FFFFC000"/>
        </patternFill>
      </fill>
    </dxf>
    <dxf>
      <font>
        <b/>
        <i val="0"/>
        <color auto="1"/>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ill>
        <patternFill>
          <bgColor rgb="FFFFC000"/>
        </patternFill>
      </fill>
    </dxf>
    <dxf>
      <font>
        <color theme="9" tint="0.79998168889431442"/>
      </font>
      <fill>
        <patternFill>
          <bgColor theme="9" tint="0.79998168889431442"/>
        </patternFill>
      </fill>
    </dxf>
    <dxf>
      <font>
        <color theme="0"/>
      </font>
      <fill>
        <patternFill>
          <bgColor theme="0"/>
        </patternFill>
      </fill>
      <border>
        <left/>
        <right/>
        <top/>
        <bottom/>
        <vertical/>
        <horizontal/>
      </border>
    </dxf>
    <dxf>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font>
      <fill>
        <patternFill>
          <bgColor theme="7" tint="0.59996337778862885"/>
        </patternFill>
      </fill>
    </dxf>
    <dxf>
      <font>
        <b val="0"/>
        <i val="0"/>
        <color rgb="FFFF0000"/>
      </font>
      <fill>
        <patternFill>
          <bgColor theme="7" tint="0.59996337778862885"/>
        </patternFill>
      </fill>
    </dxf>
    <dxf>
      <fill>
        <patternFill>
          <bgColor theme="7" tint="0.59996337778862885"/>
        </patternFill>
      </fill>
    </dxf>
    <dxf>
      <font>
        <b val="0"/>
        <i val="0"/>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color rgb="FFFF0000"/>
      </font>
      <fill>
        <patternFill>
          <bgColor theme="7" tint="0.59996337778862885"/>
        </patternFill>
      </fill>
    </dxf>
    <dxf>
      <font>
        <color rgb="FFFF0000"/>
      </font>
      <fill>
        <patternFill>
          <bgColor theme="7" tint="0.59996337778862885"/>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b/>
        <i val="0"/>
      </font>
      <fill>
        <patternFill>
          <bgColor rgb="FFFFC000"/>
        </patternFill>
      </fill>
      <border>
        <left/>
        <right/>
        <top/>
        <bottom/>
        <vertical/>
        <horizontal/>
      </border>
    </dxf>
    <dxf>
      <font>
        <b/>
        <i val="0"/>
      </font>
      <fill>
        <patternFill>
          <bgColor rgb="FFFFC000"/>
        </patternFill>
      </fill>
    </dxf>
    <dxf>
      <font>
        <b/>
        <i val="0"/>
        <color auto="1"/>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ill>
        <patternFill>
          <bgColor rgb="FFFFC000"/>
        </patternFill>
      </fill>
    </dxf>
    <dxf>
      <font>
        <color theme="9" tint="0.79998168889431442"/>
      </font>
      <fill>
        <patternFill>
          <bgColor theme="9" tint="0.79998168889431442"/>
        </patternFill>
      </fill>
    </dxf>
    <dxf>
      <font>
        <color theme="0"/>
      </font>
      <fill>
        <patternFill>
          <bgColor theme="0"/>
        </patternFill>
      </fill>
      <border>
        <left/>
        <right/>
        <top/>
        <bottom/>
        <vertical/>
        <horizontal/>
      </border>
    </dxf>
    <dxf>
      <fill>
        <patternFill>
          <bgColor rgb="FFFFE699"/>
        </patternFill>
      </fill>
    </dxf>
    <dxf>
      <font>
        <color rgb="FFFF0000"/>
      </font>
      <fill>
        <patternFill>
          <bgColor theme="7" tint="0.59996337778862885"/>
        </patternFill>
      </fill>
    </dxf>
    <dxf>
      <fill>
        <patternFill>
          <bgColor theme="7" tint="0.59996337778862885"/>
        </patternFill>
      </fill>
    </dxf>
    <dxf>
      <fill>
        <patternFill>
          <bgColor rgb="FFFFE699"/>
        </patternFill>
      </fill>
    </dxf>
    <dxf>
      <font>
        <color rgb="FFFF0000"/>
      </font>
      <fill>
        <patternFill>
          <bgColor theme="7" tint="0.59996337778862885"/>
        </patternFill>
      </fill>
    </dxf>
    <dxf>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ill>
        <patternFill>
          <bgColor rgb="FFFFE699"/>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i val="0"/>
      </font>
      <fill>
        <patternFill>
          <bgColor rgb="FFFFC000"/>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font>
      <fill>
        <patternFill>
          <bgColor theme="7" tint="0.59996337778862885"/>
        </patternFill>
      </fill>
    </dxf>
    <dxf>
      <font>
        <b val="0"/>
        <i val="0"/>
        <color rgb="FFFF0000"/>
      </font>
      <fill>
        <patternFill>
          <bgColor theme="7" tint="0.59996337778862885"/>
        </patternFill>
      </fill>
    </dxf>
    <dxf>
      <fill>
        <patternFill>
          <bgColor theme="7" tint="0.59996337778862885"/>
        </patternFill>
      </fill>
    </dxf>
    <dxf>
      <font>
        <b val="0"/>
        <i val="0"/>
        <color rgb="FFFF0000"/>
      </font>
      <fill>
        <patternFill>
          <bgColor rgb="FFFFE699"/>
        </patternFill>
      </fill>
    </dxf>
    <dxf>
      <font>
        <color rgb="FFFF0000"/>
      </font>
      <fill>
        <patternFill>
          <bgColor theme="7" tint="0.59996337778862885"/>
        </patternFill>
      </fill>
    </dxf>
    <dxf>
      <font>
        <color rgb="FFFF0000"/>
      </font>
      <fill>
        <patternFill>
          <bgColor theme="7" tint="0.59996337778862885"/>
        </patternFill>
      </fill>
    </dxf>
    <dxf>
      <font>
        <b val="0"/>
        <i val="0"/>
        <color rgb="FFFF0000"/>
      </font>
      <fill>
        <patternFill>
          <bgColor rgb="FFFFE699"/>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theme="0"/>
      </font>
      <fill>
        <patternFill>
          <bgColor theme="0"/>
        </patternFill>
      </fill>
      <border>
        <left/>
        <right/>
        <top/>
        <bottom/>
        <vertical/>
        <horizontal/>
      </border>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b/>
        <i val="0"/>
      </font>
      <fill>
        <patternFill>
          <bgColor rgb="FFFFC000"/>
        </patternFill>
      </fill>
      <border>
        <left/>
        <right/>
        <top/>
        <bottom/>
        <vertical/>
        <horizontal/>
      </border>
    </dxf>
    <dxf>
      <font>
        <b/>
        <i val="0"/>
      </font>
      <fill>
        <patternFill>
          <bgColor rgb="FFFFC000"/>
        </patternFill>
      </fill>
    </dxf>
    <dxf>
      <fill>
        <patternFill>
          <bgColor rgb="FFFFC000"/>
        </patternFill>
      </fill>
    </dxf>
    <dxf>
      <font>
        <color theme="9" tint="0.79998168889431442"/>
      </font>
      <fill>
        <patternFill>
          <bgColor theme="9" tint="0.79998168889431442"/>
        </patternFill>
      </fill>
    </dxf>
    <dxf>
      <font>
        <b/>
        <i val="0"/>
      </font>
      <fill>
        <patternFill>
          <bgColor rgb="FFFFC000"/>
        </patternFill>
      </fill>
      <border>
        <left style="thin">
          <color auto="1"/>
        </left>
        <right style="thin">
          <color auto="1"/>
        </right>
        <top style="thin">
          <color auto="1"/>
        </top>
        <bottom style="thin">
          <color auto="1"/>
        </bottom>
      </border>
    </dxf>
    <dxf>
      <fill>
        <patternFill>
          <bgColor rgb="FFFF9999"/>
        </patternFill>
      </fill>
    </dxf>
    <dxf>
      <font>
        <b/>
        <i val="0"/>
        <color rgb="FFFF5050"/>
      </font>
    </dxf>
    <dxf>
      <fill>
        <patternFill>
          <bgColor rgb="FFFF9999"/>
        </patternFill>
      </fill>
    </dxf>
    <dxf>
      <font>
        <b/>
        <i val="0"/>
        <color rgb="FFFF5050"/>
      </font>
    </dxf>
    <dxf>
      <fill>
        <patternFill>
          <bgColor rgb="FFFF9999"/>
        </patternFill>
      </fill>
    </dxf>
    <dxf>
      <font>
        <b/>
        <i val="0"/>
        <color rgb="FFFF5050"/>
      </font>
    </dxf>
    <dxf>
      <fill>
        <patternFill>
          <bgColor rgb="FFFF9999"/>
        </patternFill>
      </fill>
    </dxf>
    <dxf>
      <fill>
        <patternFill>
          <bgColor rgb="FFFF9999"/>
        </patternFill>
      </fill>
    </dxf>
    <dxf>
      <font>
        <b/>
        <i val="0"/>
        <color rgb="FFFF5050"/>
      </font>
    </dxf>
    <dxf>
      <font>
        <b/>
        <i val="0"/>
        <color theme="1"/>
      </font>
      <fill>
        <patternFill>
          <bgColor rgb="FFFFC000"/>
        </patternFill>
      </fill>
    </dxf>
    <dxf>
      <font>
        <color theme="0"/>
      </font>
      <fill>
        <patternFill>
          <bgColor rgb="FFC00000"/>
        </patternFill>
      </fill>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auto="1"/>
      </font>
      <fill>
        <patternFill>
          <bgColor theme="8" tint="0.79998168889431442"/>
        </patternFill>
      </fill>
      <border>
        <left style="thin">
          <color auto="1"/>
        </left>
        <right style="thin">
          <color auto="1"/>
        </right>
        <top style="thin">
          <color auto="1"/>
        </top>
        <bottom style="thin">
          <color auto="1"/>
        </bottom>
        <vertical/>
        <horizontal/>
      </border>
    </dxf>
    <dxf>
      <font>
        <b/>
        <i val="0"/>
        <color theme="1"/>
      </font>
      <fill>
        <patternFill>
          <bgColor rgb="FFFFC000"/>
        </patternFill>
      </fill>
    </dxf>
    <dxf>
      <font>
        <color auto="1"/>
      </font>
      <fill>
        <patternFill>
          <bgColor rgb="FFB8D637"/>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4" tint="0.39994506668294322"/>
        </patternFill>
      </fill>
      <border>
        <left style="thin">
          <color auto="1"/>
        </left>
        <right style="thin">
          <color auto="1"/>
        </right>
        <top style="thin">
          <color auto="1"/>
        </top>
        <bottom style="thin">
          <color auto="1"/>
        </bottom>
        <vertical/>
        <horizontal/>
      </border>
    </dxf>
    <dxf>
      <font>
        <b/>
        <i val="0"/>
        <color theme="1"/>
      </font>
      <fill>
        <patternFill>
          <bgColor rgb="FFFFC000"/>
        </patternFill>
      </fill>
    </dxf>
    <dxf>
      <font>
        <color theme="0"/>
      </font>
      <fill>
        <patternFill>
          <bgColor theme="0"/>
        </patternFill>
      </fill>
      <border>
        <left/>
        <right/>
        <top/>
        <bottom/>
        <vertical/>
        <horizontal/>
      </border>
    </dxf>
    <dxf>
      <fill>
        <patternFill>
          <bgColor theme="8" tint="0.79998168889431442"/>
        </patternFill>
      </fill>
      <border>
        <left style="thin">
          <color auto="1"/>
        </left>
        <right style="thin">
          <color auto="1"/>
        </right>
        <top style="thin">
          <color auto="1"/>
        </top>
        <bottom style="thin">
          <color auto="1"/>
        </bottom>
        <vertical/>
        <horizontal/>
      </border>
    </dxf>
    <dxf>
      <fill>
        <patternFill>
          <bgColor rgb="FFFFC000"/>
        </patternFill>
      </fill>
    </dxf>
    <dxf>
      <fill>
        <patternFill>
          <bgColor theme="4" tint="0.39994506668294322"/>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b/>
        <i val="0"/>
        <color theme="1"/>
      </font>
      <fill>
        <patternFill>
          <bgColor rgb="FFFFC000"/>
        </patternFill>
      </fill>
    </dxf>
    <dxf>
      <fill>
        <patternFill>
          <bgColor theme="8" tint="0.79998168889431442"/>
        </patternFill>
      </fill>
      <border>
        <left style="thin">
          <color auto="1"/>
        </left>
        <right style="thin">
          <color auto="1"/>
        </right>
        <top style="thin">
          <color auto="1"/>
        </top>
        <bottom style="thin">
          <color auto="1"/>
        </bottom>
        <vertical/>
        <horizontal/>
      </border>
    </dxf>
    <dxf>
      <fill>
        <patternFill>
          <bgColor rgb="FFFFC000"/>
        </patternFill>
      </fill>
    </dxf>
    <dxf>
      <fill>
        <patternFill>
          <bgColor theme="4" tint="0.39994506668294322"/>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ont>
        <b/>
        <i val="0"/>
        <color theme="1"/>
      </font>
      <fill>
        <patternFill>
          <bgColor rgb="FFFFC000"/>
        </patternFill>
      </fill>
    </dxf>
    <dxf>
      <fill>
        <patternFill>
          <bgColor theme="8" tint="0.79998168889431442"/>
        </patternFill>
      </fill>
      <border>
        <left style="thin">
          <color auto="1"/>
        </left>
        <right style="thin">
          <color auto="1"/>
        </right>
        <top style="thin">
          <color auto="1"/>
        </top>
        <bottom style="thin">
          <color auto="1"/>
        </bottom>
        <vertical/>
        <horizontal/>
      </border>
    </dxf>
    <dxf>
      <fill>
        <patternFill>
          <bgColor rgb="FFFFC000"/>
        </patternFill>
      </fill>
    </dxf>
    <dxf>
      <fill>
        <patternFill>
          <bgColor rgb="FFFFC000"/>
        </patternFill>
      </fill>
    </dxf>
    <dxf>
      <font>
        <b val="0"/>
        <i val="0"/>
      </font>
      <fill>
        <patternFill>
          <bgColor rgb="FFFFC000"/>
        </patternFill>
      </fill>
      <border>
        <left style="thin">
          <color auto="1"/>
        </left>
        <right style="thin">
          <color auto="1"/>
        </right>
        <top style="thin">
          <color auto="1"/>
        </top>
        <bottom style="thin">
          <color auto="1"/>
        </bottom>
        <vertical/>
        <horizontal/>
      </border>
    </dxf>
    <dxf>
      <fill>
        <patternFill>
          <bgColor theme="4" tint="0.39994506668294322"/>
        </patternFill>
      </fill>
      <border>
        <left style="thin">
          <color auto="1"/>
        </left>
        <right style="thin">
          <color auto="1"/>
        </right>
        <top style="thin">
          <color auto="1"/>
        </top>
        <bottom style="thin">
          <color auto="1"/>
        </bottom>
        <vertical/>
        <horizontal/>
      </border>
    </dxf>
    <dxf>
      <font>
        <color theme="0"/>
      </font>
      <fill>
        <patternFill>
          <bgColor rgb="FFC00000"/>
        </patternFill>
      </fill>
    </dxf>
    <dxf>
      <font>
        <b/>
        <i val="0"/>
        <color theme="1"/>
      </font>
      <fill>
        <patternFill>
          <bgColor rgb="FFFFC000"/>
        </patternFill>
      </fill>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style="thin">
          <color auto="1"/>
        </top>
        <bottom/>
        <vertical/>
        <horizontal/>
      </border>
    </dxf>
    <dxf>
      <fill>
        <patternFill>
          <bgColor theme="8" tint="0.79998168889431442"/>
        </patternFill>
      </fill>
      <border>
        <left style="thin">
          <color auto="1"/>
        </left>
        <right style="thin">
          <color auto="1"/>
        </right>
        <top style="thin">
          <color auto="1"/>
        </top>
        <bottom style="thin">
          <color auto="1"/>
        </bottom>
        <vertical/>
        <horizontal/>
      </border>
    </dxf>
    <dxf>
      <fill>
        <patternFill>
          <bgColor rgb="FFFFC000"/>
        </patternFill>
      </fill>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color rgb="FFFF0000"/>
      </font>
      <fill>
        <patternFill>
          <bgColor rgb="FFFFE699"/>
        </patternFill>
      </fill>
    </dxf>
    <dxf>
      <font>
        <color theme="0"/>
      </font>
      <fill>
        <patternFill patternType="none">
          <bgColor auto="1"/>
        </patternFill>
      </fill>
      <border>
        <left/>
        <right/>
        <top/>
        <bottom/>
        <vertical/>
        <horizontal/>
      </border>
    </dxf>
    <dxf>
      <font>
        <b/>
        <i val="0"/>
        <color rgb="FF0592CB"/>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dxf>
    <dxf>
      <font>
        <b/>
        <i val="0"/>
        <color rgb="FF0592CB"/>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dxf>
  </dxfs>
  <tableStyles count="0" defaultTableStyle="TableStyleMedium2" defaultPivotStyle="PivotStyleLight16"/>
  <colors>
    <mruColors>
      <color rgb="FFFFE699"/>
      <color rgb="FFB8D637"/>
      <color rgb="FFD9D9D9"/>
      <color rgb="FFBFBFBF"/>
      <color rgb="FFCCCCFF"/>
      <color rgb="FF0592CB"/>
      <color rgb="FFFF9999"/>
      <color rgb="FFFF5050"/>
      <color rgb="FFFF7C80"/>
      <color rgb="FF0563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7324</xdr:colOff>
      <xdr:row>1</xdr:row>
      <xdr:rowOff>7326</xdr:rowOff>
    </xdr:from>
    <xdr:to>
      <xdr:col>1</xdr:col>
      <xdr:colOff>1578634</xdr:colOff>
      <xdr:row>7</xdr:row>
      <xdr:rowOff>1926</xdr:rowOff>
    </xdr:to>
    <xdr:pic>
      <xdr:nvPicPr>
        <xdr:cNvPr id="3" name="Imagen 2">
          <a:extLst>
            <a:ext uri="{FF2B5EF4-FFF2-40B4-BE49-F238E27FC236}">
              <a16:creationId xmlns:a16="http://schemas.microsoft.com/office/drawing/2014/main" id="{1EE2560F-9261-DEC2-9069-503E6E8EBABC}"/>
            </a:ext>
          </a:extLst>
        </xdr:cNvPr>
        <xdr:cNvPicPr>
          <a:picLocks noChangeAspect="1"/>
        </xdr:cNvPicPr>
      </xdr:nvPicPr>
      <xdr:blipFill>
        <a:blip xmlns:r="http://schemas.openxmlformats.org/officeDocument/2006/relationships" r:embed="rId1"/>
        <a:stretch>
          <a:fillRect/>
        </a:stretch>
      </xdr:blipFill>
      <xdr:spPr>
        <a:xfrm>
          <a:off x="380997" y="197826"/>
          <a:ext cx="1571310" cy="11376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xdr:col>
      <xdr:colOff>757603</xdr:colOff>
      <xdr:row>7</xdr:row>
      <xdr:rowOff>4125</xdr:rowOff>
    </xdr:to>
    <xdr:pic>
      <xdr:nvPicPr>
        <xdr:cNvPr id="3" name="Imagen 2">
          <a:extLst>
            <a:ext uri="{FF2B5EF4-FFF2-40B4-BE49-F238E27FC236}">
              <a16:creationId xmlns:a16="http://schemas.microsoft.com/office/drawing/2014/main" id="{62E3F911-08AD-4CF1-BBEF-A01379C00B27}"/>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xdr:col>
      <xdr:colOff>757603</xdr:colOff>
      <xdr:row>7</xdr:row>
      <xdr:rowOff>4125</xdr:rowOff>
    </xdr:to>
    <xdr:pic>
      <xdr:nvPicPr>
        <xdr:cNvPr id="2" name="Imagen 1">
          <a:extLst>
            <a:ext uri="{FF2B5EF4-FFF2-40B4-BE49-F238E27FC236}">
              <a16:creationId xmlns:a16="http://schemas.microsoft.com/office/drawing/2014/main" id="{918B9985-121C-41A6-9FAB-CD397CD078FC}"/>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437835</xdr:colOff>
      <xdr:row>6</xdr:row>
      <xdr:rowOff>185100</xdr:rowOff>
    </xdr:to>
    <xdr:pic>
      <xdr:nvPicPr>
        <xdr:cNvPr id="7" name="Imagen 6">
          <a:extLst>
            <a:ext uri="{FF2B5EF4-FFF2-40B4-BE49-F238E27FC236}">
              <a16:creationId xmlns:a16="http://schemas.microsoft.com/office/drawing/2014/main" id="{4FEB61DE-B689-47C5-AA8A-F235B65291CA}"/>
            </a:ext>
          </a:extLst>
        </xdr:cNvPr>
        <xdr:cNvPicPr>
          <a:picLocks noChangeAspect="1"/>
        </xdr:cNvPicPr>
      </xdr:nvPicPr>
      <xdr:blipFill>
        <a:blip xmlns:r="http://schemas.openxmlformats.org/officeDocument/2006/relationships" r:embed="rId1"/>
        <a:stretch>
          <a:fillRect/>
        </a:stretch>
      </xdr:blipFill>
      <xdr:spPr>
        <a:xfrm>
          <a:off x="371475" y="190500"/>
          <a:ext cx="1571310" cy="1137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xdr:col>
      <xdr:colOff>742635</xdr:colOff>
      <xdr:row>7</xdr:row>
      <xdr:rowOff>4125</xdr:rowOff>
    </xdr:to>
    <xdr:pic>
      <xdr:nvPicPr>
        <xdr:cNvPr id="3" name="Imagen 2">
          <a:extLst>
            <a:ext uri="{FF2B5EF4-FFF2-40B4-BE49-F238E27FC236}">
              <a16:creationId xmlns:a16="http://schemas.microsoft.com/office/drawing/2014/main" id="{0900C533-8CD0-4EE7-84B8-54FA1EEF9AEC}"/>
            </a:ext>
          </a:extLst>
        </xdr:cNvPr>
        <xdr:cNvPicPr>
          <a:picLocks noChangeAspect="1"/>
        </xdr:cNvPicPr>
      </xdr:nvPicPr>
      <xdr:blipFill>
        <a:blip xmlns:r="http://schemas.openxmlformats.org/officeDocument/2006/relationships" r:embed="rId1"/>
        <a:stretch>
          <a:fillRect/>
        </a:stretch>
      </xdr:blipFill>
      <xdr:spPr>
        <a:xfrm>
          <a:off x="381000" y="200025"/>
          <a:ext cx="1571310" cy="1137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9525</xdr:colOff>
      <xdr:row>1</xdr:row>
      <xdr:rowOff>9525</xdr:rowOff>
    </xdr:from>
    <xdr:to>
      <xdr:col>4</xdr:col>
      <xdr:colOff>1586278</xdr:colOff>
      <xdr:row>7</xdr:row>
      <xdr:rowOff>4125</xdr:rowOff>
    </xdr:to>
    <xdr:pic>
      <xdr:nvPicPr>
        <xdr:cNvPr id="2" name="Imagen 1">
          <a:extLst>
            <a:ext uri="{FF2B5EF4-FFF2-40B4-BE49-F238E27FC236}">
              <a16:creationId xmlns:a16="http://schemas.microsoft.com/office/drawing/2014/main" id="{908CE2FF-B652-40D4-95A3-1F31E8A33B8E}"/>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twoCellAnchor>
    <xdr:from>
      <xdr:col>7</xdr:col>
      <xdr:colOff>219075</xdr:colOff>
      <xdr:row>49</xdr:row>
      <xdr:rowOff>180975</xdr:rowOff>
    </xdr:from>
    <xdr:to>
      <xdr:col>8</xdr:col>
      <xdr:colOff>352425</xdr:colOff>
      <xdr:row>49</xdr:row>
      <xdr:rowOff>590550</xdr:rowOff>
    </xdr:to>
    <xdr:sp macro="" textlink="">
      <xdr:nvSpPr>
        <xdr:cNvPr id="3" name="Flecha: a la derecha 2">
          <a:extLst>
            <a:ext uri="{FF2B5EF4-FFF2-40B4-BE49-F238E27FC236}">
              <a16:creationId xmlns:a16="http://schemas.microsoft.com/office/drawing/2014/main" id="{95237F9E-9A24-365C-7DDD-CD2B310CB628}"/>
            </a:ext>
          </a:extLst>
        </xdr:cNvPr>
        <xdr:cNvSpPr/>
      </xdr:nvSpPr>
      <xdr:spPr>
        <a:xfrm>
          <a:off x="5181600" y="10658475"/>
          <a:ext cx="647700" cy="409575"/>
        </a:xfrm>
        <a:prstGeom prst="rightArrow">
          <a:avLst/>
        </a:prstGeom>
        <a:solidFill>
          <a:srgbClr val="FF505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3</xdr:col>
      <xdr:colOff>300403</xdr:colOff>
      <xdr:row>6</xdr:row>
      <xdr:rowOff>4125</xdr:rowOff>
    </xdr:to>
    <xdr:pic>
      <xdr:nvPicPr>
        <xdr:cNvPr id="3" name="Imagen 2">
          <a:extLst>
            <a:ext uri="{FF2B5EF4-FFF2-40B4-BE49-F238E27FC236}">
              <a16:creationId xmlns:a16="http://schemas.microsoft.com/office/drawing/2014/main" id="{2FED6D89-436B-49F5-8EDD-52A6BF768DFF}"/>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3</xdr:col>
      <xdr:colOff>300403</xdr:colOff>
      <xdr:row>6</xdr:row>
      <xdr:rowOff>4125</xdr:rowOff>
    </xdr:to>
    <xdr:pic>
      <xdr:nvPicPr>
        <xdr:cNvPr id="2" name="Imagen 1">
          <a:extLst>
            <a:ext uri="{FF2B5EF4-FFF2-40B4-BE49-F238E27FC236}">
              <a16:creationId xmlns:a16="http://schemas.microsoft.com/office/drawing/2014/main" id="{2F4C2915-89EB-4B55-A27E-DD6355D6D714}"/>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3</xdr:col>
      <xdr:colOff>300403</xdr:colOff>
      <xdr:row>6</xdr:row>
      <xdr:rowOff>4125</xdr:rowOff>
    </xdr:to>
    <xdr:pic>
      <xdr:nvPicPr>
        <xdr:cNvPr id="2" name="Imagen 1">
          <a:extLst>
            <a:ext uri="{FF2B5EF4-FFF2-40B4-BE49-F238E27FC236}">
              <a16:creationId xmlns:a16="http://schemas.microsoft.com/office/drawing/2014/main" id="{3F9FC99C-D5C8-4F56-BDCE-CE9D878938F7}"/>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3</xdr:col>
      <xdr:colOff>300403</xdr:colOff>
      <xdr:row>6</xdr:row>
      <xdr:rowOff>4125</xdr:rowOff>
    </xdr:to>
    <xdr:pic>
      <xdr:nvPicPr>
        <xdr:cNvPr id="2" name="Imagen 1">
          <a:extLst>
            <a:ext uri="{FF2B5EF4-FFF2-40B4-BE49-F238E27FC236}">
              <a16:creationId xmlns:a16="http://schemas.microsoft.com/office/drawing/2014/main" id="{51D9F750-9D21-48C0-A71D-11F8670740C6}"/>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xdr:col>
      <xdr:colOff>748078</xdr:colOff>
      <xdr:row>7</xdr:row>
      <xdr:rowOff>4125</xdr:rowOff>
    </xdr:to>
    <xdr:pic>
      <xdr:nvPicPr>
        <xdr:cNvPr id="6" name="Imagen 5">
          <a:extLst>
            <a:ext uri="{FF2B5EF4-FFF2-40B4-BE49-F238E27FC236}">
              <a16:creationId xmlns:a16="http://schemas.microsoft.com/office/drawing/2014/main" id="{8682CBEB-E5E8-4E6B-91F2-94E2473A43D0}"/>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twoCellAnchor editAs="oneCell">
    <xdr:from>
      <xdr:col>1</xdr:col>
      <xdr:colOff>0</xdr:colOff>
      <xdr:row>25</xdr:row>
      <xdr:rowOff>0</xdr:rowOff>
    </xdr:from>
    <xdr:to>
      <xdr:col>2</xdr:col>
      <xdr:colOff>738553</xdr:colOff>
      <xdr:row>30</xdr:row>
      <xdr:rowOff>185100</xdr:rowOff>
    </xdr:to>
    <xdr:pic>
      <xdr:nvPicPr>
        <xdr:cNvPr id="2" name="Imagen 1">
          <a:extLst>
            <a:ext uri="{FF2B5EF4-FFF2-40B4-BE49-F238E27FC236}">
              <a16:creationId xmlns:a16="http://schemas.microsoft.com/office/drawing/2014/main" id="{10322EB7-83EF-4CFF-86C6-C174E8091C45}"/>
            </a:ext>
          </a:extLst>
        </xdr:cNvPr>
        <xdr:cNvPicPr>
          <a:picLocks noChangeAspect="1"/>
        </xdr:cNvPicPr>
      </xdr:nvPicPr>
      <xdr:blipFill>
        <a:blip xmlns:r="http://schemas.openxmlformats.org/officeDocument/2006/relationships" r:embed="rId1"/>
        <a:stretch>
          <a:fillRect/>
        </a:stretch>
      </xdr:blipFill>
      <xdr:spPr>
        <a:xfrm>
          <a:off x="371475" y="5648325"/>
          <a:ext cx="1576753" cy="1137600"/>
        </a:xfrm>
        <a:prstGeom prst="rect">
          <a:avLst/>
        </a:prstGeom>
      </xdr:spPr>
    </xdr:pic>
    <xdr:clientData/>
  </xdr:twoCellAnchor>
  <xdr:twoCellAnchor editAs="oneCell">
    <xdr:from>
      <xdr:col>1</xdr:col>
      <xdr:colOff>0</xdr:colOff>
      <xdr:row>49</xdr:row>
      <xdr:rowOff>0</xdr:rowOff>
    </xdr:from>
    <xdr:to>
      <xdr:col>2</xdr:col>
      <xdr:colOff>738553</xdr:colOff>
      <xdr:row>54</xdr:row>
      <xdr:rowOff>185100</xdr:rowOff>
    </xdr:to>
    <xdr:pic>
      <xdr:nvPicPr>
        <xdr:cNvPr id="7" name="Imagen 6">
          <a:extLst>
            <a:ext uri="{FF2B5EF4-FFF2-40B4-BE49-F238E27FC236}">
              <a16:creationId xmlns:a16="http://schemas.microsoft.com/office/drawing/2014/main" id="{FDA9E895-2E7F-4C12-AB88-A1B44F22E3CF}"/>
            </a:ext>
          </a:extLst>
        </xdr:cNvPr>
        <xdr:cNvPicPr>
          <a:picLocks noChangeAspect="1"/>
        </xdr:cNvPicPr>
      </xdr:nvPicPr>
      <xdr:blipFill>
        <a:blip xmlns:r="http://schemas.openxmlformats.org/officeDocument/2006/relationships" r:embed="rId1"/>
        <a:stretch>
          <a:fillRect/>
        </a:stretch>
      </xdr:blipFill>
      <xdr:spPr>
        <a:xfrm>
          <a:off x="371475" y="11049000"/>
          <a:ext cx="1576753" cy="1137600"/>
        </a:xfrm>
        <a:prstGeom prst="rect">
          <a:avLst/>
        </a:prstGeom>
      </xdr:spPr>
    </xdr:pic>
    <xdr:clientData/>
  </xdr:twoCellAnchor>
  <xdr:twoCellAnchor editAs="oneCell">
    <xdr:from>
      <xdr:col>1</xdr:col>
      <xdr:colOff>0</xdr:colOff>
      <xdr:row>73</xdr:row>
      <xdr:rowOff>0</xdr:rowOff>
    </xdr:from>
    <xdr:to>
      <xdr:col>2</xdr:col>
      <xdr:colOff>734017</xdr:colOff>
      <xdr:row>79</xdr:row>
      <xdr:rowOff>55832</xdr:rowOff>
    </xdr:to>
    <xdr:pic>
      <xdr:nvPicPr>
        <xdr:cNvPr id="8" name="Imagen 7">
          <a:extLst>
            <a:ext uri="{FF2B5EF4-FFF2-40B4-BE49-F238E27FC236}">
              <a16:creationId xmlns:a16="http://schemas.microsoft.com/office/drawing/2014/main" id="{C01EF948-CFF2-4F0A-8934-33DE2CF4EE52}"/>
            </a:ext>
          </a:extLst>
        </xdr:cNvPr>
        <xdr:cNvPicPr>
          <a:picLocks noChangeAspect="1"/>
        </xdr:cNvPicPr>
      </xdr:nvPicPr>
      <xdr:blipFill>
        <a:blip xmlns:r="http://schemas.openxmlformats.org/officeDocument/2006/relationships" r:embed="rId1"/>
        <a:stretch>
          <a:fillRect/>
        </a:stretch>
      </xdr:blipFill>
      <xdr:spPr>
        <a:xfrm>
          <a:off x="371475" y="16449675"/>
          <a:ext cx="1576753" cy="11376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8786-E570-4C30-A49F-F043444089F0}">
  <sheetPr>
    <tabColor rgb="FFB8D637"/>
  </sheetPr>
  <dimension ref="B8:B99"/>
  <sheetViews>
    <sheetView showGridLines="0" tabSelected="1" zoomScaleNormal="100" workbookViewId="0">
      <selection activeCell="B9" sqref="B9"/>
    </sheetView>
  </sheetViews>
  <sheetFormatPr baseColWidth="10" defaultColWidth="9.140625" defaultRowHeight="15" x14ac:dyDescent="0.25"/>
  <cols>
    <col min="1" max="1" width="5.5703125" style="6" customWidth="1"/>
    <col min="2" max="2" width="85.5703125" style="6" customWidth="1"/>
    <col min="3" max="1001" width="10.5703125" style="6" customWidth="1"/>
    <col min="1002" max="16384" width="9.140625" style="6"/>
  </cols>
  <sheetData>
    <row r="8" spans="2:2" ht="15.75" thickBot="1" x14ac:dyDescent="0.3"/>
    <row r="9" spans="2:2" ht="39.950000000000003" customHeight="1" thickBot="1" x14ac:dyDescent="0.3">
      <c r="B9" s="627" t="s">
        <v>0</v>
      </c>
    </row>
    <row r="10" spans="2:2" ht="9.9499999999999993" customHeight="1" x14ac:dyDescent="0.25"/>
    <row r="11" spans="2:2" ht="30" customHeight="1" x14ac:dyDescent="0.25">
      <c r="B11" s="68" t="s">
        <v>1</v>
      </c>
    </row>
    <row r="12" spans="2:2" ht="9.9499999999999993" customHeight="1" x14ac:dyDescent="0.25">
      <c r="B12" s="68"/>
    </row>
    <row r="13" spans="2:2" ht="60" customHeight="1" x14ac:dyDescent="0.25">
      <c r="B13" s="67" t="s">
        <v>2</v>
      </c>
    </row>
    <row r="14" spans="2:2" ht="9.9499999999999993" customHeight="1" x14ac:dyDescent="0.25">
      <c r="B14" s="68"/>
    </row>
    <row r="15" spans="2:2" ht="54.95" customHeight="1" x14ac:dyDescent="0.25">
      <c r="B15" s="67" t="s">
        <v>3</v>
      </c>
    </row>
    <row r="16" spans="2:2" ht="9.9499999999999993" customHeight="1" x14ac:dyDescent="0.25">
      <c r="B16" s="68"/>
    </row>
    <row r="17" spans="2:2" ht="30" customHeight="1" x14ac:dyDescent="0.25">
      <c r="B17" s="67" t="s">
        <v>4</v>
      </c>
    </row>
    <row r="18" spans="2:2" ht="9.9499999999999993" customHeight="1" x14ac:dyDescent="0.25">
      <c r="B18" s="67"/>
    </row>
    <row r="19" spans="2:2" ht="30" customHeight="1" x14ac:dyDescent="0.25">
      <c r="B19" s="67" t="s">
        <v>5</v>
      </c>
    </row>
    <row r="20" spans="2:2" ht="9.9499999999999993" customHeight="1" thickBot="1" x14ac:dyDescent="0.3">
      <c r="B20" s="67"/>
    </row>
    <row r="21" spans="2:2" ht="15" customHeight="1" thickBot="1" x14ac:dyDescent="0.3">
      <c r="B21" s="548" t="s">
        <v>6</v>
      </c>
    </row>
    <row r="22" spans="2:2" ht="9.9499999999999993" customHeight="1" thickBot="1" x14ac:dyDescent="0.3">
      <c r="B22" s="67"/>
    </row>
    <row r="23" spans="2:2" ht="15" customHeight="1" x14ac:dyDescent="0.25">
      <c r="B23" s="628" t="s">
        <v>7</v>
      </c>
    </row>
    <row r="24" spans="2:2" ht="15" customHeight="1" x14ac:dyDescent="0.25">
      <c r="B24" s="629" t="s">
        <v>8</v>
      </c>
    </row>
    <row r="25" spans="2:2" ht="15" customHeight="1" x14ac:dyDescent="0.25">
      <c r="B25" s="629" t="s">
        <v>9</v>
      </c>
    </row>
    <row r="26" spans="2:2" ht="15" customHeight="1" x14ac:dyDescent="0.25">
      <c r="B26" s="629" t="s">
        <v>10</v>
      </c>
    </row>
    <row r="27" spans="2:2" ht="15" customHeight="1" x14ac:dyDescent="0.25">
      <c r="B27" s="629" t="s">
        <v>11</v>
      </c>
    </row>
    <row r="28" spans="2:2" ht="30" customHeight="1" x14ac:dyDescent="0.25">
      <c r="B28" s="629" t="s">
        <v>12</v>
      </c>
    </row>
    <row r="29" spans="2:2" ht="30" x14ac:dyDescent="0.25">
      <c r="B29" s="629" t="s">
        <v>13</v>
      </c>
    </row>
    <row r="30" spans="2:2" ht="30" customHeight="1" thickBot="1" x14ac:dyDescent="0.3">
      <c r="B30" s="630" t="s">
        <v>14</v>
      </c>
    </row>
    <row r="31" spans="2:2" ht="15" customHeight="1" thickBot="1" x14ac:dyDescent="0.3">
      <c r="B31" s="67"/>
    </row>
    <row r="32" spans="2:2" ht="15" customHeight="1" thickBot="1" x14ac:dyDescent="0.3">
      <c r="B32" s="71" t="s">
        <v>15</v>
      </c>
    </row>
    <row r="33" spans="2:2" ht="9.9499999999999993" customHeight="1" x14ac:dyDescent="0.25"/>
    <row r="34" spans="2:2" ht="15" customHeight="1" x14ac:dyDescent="0.25">
      <c r="B34" s="69" t="s">
        <v>16</v>
      </c>
    </row>
    <row r="35" spans="2:2" ht="15" customHeight="1" x14ac:dyDescent="0.25">
      <c r="B35" s="32" t="s">
        <v>17</v>
      </c>
    </row>
    <row r="36" spans="2:2" ht="15" customHeight="1" x14ac:dyDescent="0.25">
      <c r="B36" s="32" t="s">
        <v>18</v>
      </c>
    </row>
    <row r="37" spans="2:2" ht="15" customHeight="1" x14ac:dyDescent="0.25">
      <c r="B37" s="32" t="s">
        <v>19</v>
      </c>
    </row>
    <row r="38" spans="2:2" ht="15" customHeight="1" x14ac:dyDescent="0.25">
      <c r="B38" s="31" t="s">
        <v>20</v>
      </c>
    </row>
    <row r="39" spans="2:2" x14ac:dyDescent="0.25">
      <c r="B39" s="31" t="s">
        <v>21</v>
      </c>
    </row>
    <row r="40" spans="2:2" ht="15" customHeight="1" thickBot="1" x14ac:dyDescent="0.3">
      <c r="B40" s="30"/>
    </row>
    <row r="41" spans="2:2" ht="15" customHeight="1" thickBot="1" x14ac:dyDescent="0.3">
      <c r="B41" s="71" t="s">
        <v>22</v>
      </c>
    </row>
    <row r="42" spans="2:2" ht="9.9499999999999993" customHeight="1" x14ac:dyDescent="0.25"/>
    <row r="43" spans="2:2" ht="30" customHeight="1" x14ac:dyDescent="0.25">
      <c r="B43" s="69" t="s">
        <v>23</v>
      </c>
    </row>
    <row r="44" spans="2:2" ht="9.9499999999999993" customHeight="1" x14ac:dyDescent="0.25">
      <c r="B44" s="30"/>
    </row>
    <row r="45" spans="2:2" x14ac:dyDescent="0.25">
      <c r="B45" s="69" t="s">
        <v>24</v>
      </c>
    </row>
    <row r="46" spans="2:2" ht="35.1" customHeight="1" x14ac:dyDescent="0.25">
      <c r="B46" s="31" t="s">
        <v>25</v>
      </c>
    </row>
    <row r="47" spans="2:2" ht="15" customHeight="1" x14ac:dyDescent="0.25">
      <c r="B47" s="32" t="s">
        <v>468</v>
      </c>
    </row>
    <row r="48" spans="2:2" ht="35.1" customHeight="1" x14ac:dyDescent="0.25">
      <c r="B48" s="31" t="s">
        <v>26</v>
      </c>
    </row>
    <row r="49" spans="2:2" ht="15" customHeight="1" x14ac:dyDescent="0.25">
      <c r="B49" s="31" t="s">
        <v>27</v>
      </c>
    </row>
    <row r="50" spans="2:2" ht="9.9499999999999993" customHeight="1" x14ac:dyDescent="0.25">
      <c r="B50" s="31"/>
    </row>
    <row r="51" spans="2:2" ht="35.1" customHeight="1" x14ac:dyDescent="0.25">
      <c r="B51" s="70" t="s">
        <v>28</v>
      </c>
    </row>
    <row r="52" spans="2:2" ht="35.1" customHeight="1" x14ac:dyDescent="0.25">
      <c r="B52" s="33" t="s">
        <v>29</v>
      </c>
    </row>
    <row r="53" spans="2:2" ht="35.1" customHeight="1" x14ac:dyDescent="0.25">
      <c r="B53" s="33" t="s">
        <v>30</v>
      </c>
    </row>
    <row r="54" spans="2:2" ht="35.1" customHeight="1" x14ac:dyDescent="0.25">
      <c r="B54" s="33" t="s">
        <v>31</v>
      </c>
    </row>
    <row r="55" spans="2:2" ht="15" customHeight="1" thickBot="1" x14ac:dyDescent="0.3">
      <c r="B55" s="30"/>
    </row>
    <row r="56" spans="2:2" ht="15" customHeight="1" thickBot="1" x14ac:dyDescent="0.3">
      <c r="B56" s="71" t="s">
        <v>32</v>
      </c>
    </row>
    <row r="57" spans="2:2" ht="9.9499999999999993" customHeight="1" x14ac:dyDescent="0.25"/>
    <row r="58" spans="2:2" ht="35.1" customHeight="1" x14ac:dyDescent="0.25">
      <c r="B58" s="70" t="s">
        <v>33</v>
      </c>
    </row>
    <row r="59" spans="2:2" ht="50.1" customHeight="1" x14ac:dyDescent="0.25">
      <c r="B59" s="33" t="s">
        <v>34</v>
      </c>
    </row>
    <row r="60" spans="2:2" ht="9.9499999999999993" customHeight="1" x14ac:dyDescent="0.25">
      <c r="B60" s="31"/>
    </row>
    <row r="61" spans="2:2" ht="39.950000000000003" customHeight="1" x14ac:dyDescent="0.25">
      <c r="B61" s="67" t="s">
        <v>35</v>
      </c>
    </row>
    <row r="62" spans="2:2" ht="9.9499999999999993" customHeight="1" x14ac:dyDescent="0.25">
      <c r="B62" s="31"/>
    </row>
    <row r="63" spans="2:2" ht="54.95" customHeight="1" x14ac:dyDescent="0.25">
      <c r="B63" s="67" t="s">
        <v>36</v>
      </c>
    </row>
    <row r="64" spans="2:2" ht="69.95" customHeight="1" x14ac:dyDescent="0.25">
      <c r="B64" s="31" t="s">
        <v>37</v>
      </c>
    </row>
    <row r="65" spans="2:2" s="631" customFormat="1" ht="35.1" customHeight="1" x14ac:dyDescent="0.25">
      <c r="B65" s="33" t="s">
        <v>469</v>
      </c>
    </row>
    <row r="66" spans="2:2" ht="9.9499999999999993" customHeight="1" x14ac:dyDescent="0.25">
      <c r="B66" s="31"/>
    </row>
    <row r="67" spans="2:2" ht="30" customHeight="1" x14ac:dyDescent="0.25">
      <c r="B67" s="67" t="s">
        <v>470</v>
      </c>
    </row>
    <row r="68" spans="2:2" ht="15" customHeight="1" thickBot="1" x14ac:dyDescent="0.3"/>
    <row r="69" spans="2:2" ht="15" customHeight="1" thickBot="1" x14ac:dyDescent="0.3">
      <c r="B69" s="71" t="s">
        <v>38</v>
      </c>
    </row>
    <row r="70" spans="2:2" ht="9.9499999999999993" customHeight="1" x14ac:dyDescent="0.25"/>
    <row r="71" spans="2:2" ht="15" customHeight="1" x14ac:dyDescent="0.25">
      <c r="B71" s="35" t="s">
        <v>39</v>
      </c>
    </row>
    <row r="72" spans="2:2" ht="15" customHeight="1" x14ac:dyDescent="0.25">
      <c r="B72" s="36" t="s">
        <v>40</v>
      </c>
    </row>
    <row r="73" spans="2:2" ht="15" customHeight="1" x14ac:dyDescent="0.25">
      <c r="B73" s="36" t="s">
        <v>41</v>
      </c>
    </row>
    <row r="74" spans="2:2" ht="15" customHeight="1" x14ac:dyDescent="0.25">
      <c r="B74" s="36" t="s">
        <v>42</v>
      </c>
    </row>
    <row r="75" spans="2:2" ht="15" customHeight="1" x14ac:dyDescent="0.25">
      <c r="B75" s="36" t="s">
        <v>43</v>
      </c>
    </row>
    <row r="76" spans="2:2" ht="9.9499999999999993" customHeight="1" x14ac:dyDescent="0.25"/>
    <row r="77" spans="2:2" ht="15" customHeight="1" x14ac:dyDescent="0.25">
      <c r="B77" s="37" t="s">
        <v>44</v>
      </c>
    </row>
    <row r="78" spans="2:2" ht="30" customHeight="1" x14ac:dyDescent="0.25">
      <c r="B78" s="34" t="s">
        <v>472</v>
      </c>
    </row>
    <row r="79" spans="2:2" ht="9.9499999999999993" customHeight="1" x14ac:dyDescent="0.25"/>
    <row r="80" spans="2:2" ht="15" customHeight="1" x14ac:dyDescent="0.25">
      <c r="B80" s="37" t="s">
        <v>45</v>
      </c>
    </row>
    <row r="81" spans="2:2" ht="30" customHeight="1" x14ac:dyDescent="0.25">
      <c r="B81" s="34" t="s">
        <v>473</v>
      </c>
    </row>
    <row r="82" spans="2:2" ht="30" customHeight="1" x14ac:dyDescent="0.25">
      <c r="B82" s="38" t="s">
        <v>46</v>
      </c>
    </row>
    <row r="83" spans="2:2" ht="50.1" customHeight="1" x14ac:dyDescent="0.25">
      <c r="B83" s="34" t="s">
        <v>474</v>
      </c>
    </row>
    <row r="84" spans="2:2" ht="65.099999999999994" customHeight="1" x14ac:dyDescent="0.25">
      <c r="B84" s="34" t="s">
        <v>47</v>
      </c>
    </row>
    <row r="85" spans="2:2" ht="30" customHeight="1" x14ac:dyDescent="0.25">
      <c r="B85" s="34" t="s">
        <v>48</v>
      </c>
    </row>
    <row r="86" spans="2:2" ht="30" customHeight="1" x14ac:dyDescent="0.25">
      <c r="B86" s="34" t="s">
        <v>49</v>
      </c>
    </row>
    <row r="87" spans="2:2" ht="9.9499999999999993" customHeight="1" x14ac:dyDescent="0.25"/>
    <row r="88" spans="2:2" ht="15" customHeight="1" x14ac:dyDescent="0.25">
      <c r="B88" s="37" t="s">
        <v>50</v>
      </c>
    </row>
    <row r="89" spans="2:2" ht="50.1" customHeight="1" x14ac:dyDescent="0.25">
      <c r="B89" s="34" t="s">
        <v>51</v>
      </c>
    </row>
    <row r="90" spans="2:2" ht="27" customHeight="1" x14ac:dyDescent="0.25">
      <c r="B90" s="39" t="s">
        <v>52</v>
      </c>
    </row>
    <row r="91" spans="2:2" ht="30" x14ac:dyDescent="0.25">
      <c r="B91" s="39" t="s">
        <v>53</v>
      </c>
    </row>
    <row r="92" spans="2:2" ht="45" x14ac:dyDescent="0.25">
      <c r="B92" s="34" t="s">
        <v>54</v>
      </c>
    </row>
    <row r="93" spans="2:2" ht="9.9499999999999993" customHeight="1" x14ac:dyDescent="0.25"/>
    <row r="94" spans="2:2" ht="15" customHeight="1" x14ac:dyDescent="0.25">
      <c r="B94" s="37" t="s">
        <v>55</v>
      </c>
    </row>
    <row r="95" spans="2:2" ht="35.1" customHeight="1" x14ac:dyDescent="0.25">
      <c r="B95" s="34" t="s">
        <v>56</v>
      </c>
    </row>
    <row r="96" spans="2:2" ht="15" customHeight="1" x14ac:dyDescent="0.25">
      <c r="B96" s="40" t="s">
        <v>57</v>
      </c>
    </row>
    <row r="97" spans="2:2" ht="35.1" customHeight="1" x14ac:dyDescent="0.25">
      <c r="B97" s="39" t="s">
        <v>58</v>
      </c>
    </row>
    <row r="98" spans="2:2" ht="15" customHeight="1" x14ac:dyDescent="0.25">
      <c r="B98" s="39" t="s">
        <v>475</v>
      </c>
    </row>
    <row r="99" spans="2:2" ht="15" customHeight="1" x14ac:dyDescent="0.25">
      <c r="B99" s="39" t="s">
        <v>59</v>
      </c>
    </row>
  </sheetData>
  <sheetProtection algorithmName="SHA-512" hashValue="kwQhp71RKVg7ntanwlXVYeffy0HyO6dwqCLWkGwbeUeq4kIFjgTnU2ZdxAkF+NAf+jCnzxq8vU1iqh5+DMDtcw==" saltValue="y/ddCtTgVnR1DZLfy4RRKw==" spinCount="100000" sheet="1" objects="1" scenarios="1"/>
  <printOptions horizontalCentered="1"/>
  <pageMargins left="0.59055118110236227" right="0.59055118110236227" top="0.59055118110236227" bottom="0.59055118110236227" header="0.19685039370078741" footer="0.19685039370078741"/>
  <pageSetup paperSize="9" orientation="portrait" r:id="rId1"/>
  <headerFooter>
    <oddFooter>&amp;L&amp;"Nunito Sans,Normal"&amp;8MOD60&amp;C&amp;"Nunito Sans,Normal"&amp;8&amp;A&amp;R&amp;"Nunito Sans,Normal"&amp;8&amp;P de &amp;N</oddFooter>
  </headerFooter>
  <rowBreaks count="2" manualBreakCount="2">
    <brk id="40" max="1" man="1"/>
    <brk id="68" max="1"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EF8BD-40F6-4404-93F2-6167CB5230DB}">
  <sheetPr>
    <tabColor rgb="FF0592CB"/>
  </sheetPr>
  <dimension ref="A1:O15"/>
  <sheetViews>
    <sheetView showGridLines="0" zoomScaleNormal="100" workbookViewId="0"/>
  </sheetViews>
  <sheetFormatPr baseColWidth="10" defaultColWidth="11.42578125" defaultRowHeight="15" x14ac:dyDescent="0.25"/>
  <cols>
    <col min="1" max="1" width="5.5703125" style="82" customWidth="1"/>
    <col min="2" max="2" width="12.42578125" style="82" bestFit="1" customWidth="1"/>
    <col min="3" max="3" width="13.42578125" style="82" bestFit="1" customWidth="1"/>
    <col min="4" max="4" width="60.7109375" style="82" customWidth="1"/>
    <col min="5" max="5" width="15.7109375" style="304" customWidth="1"/>
    <col min="6" max="6" width="5.5703125" style="82" customWidth="1"/>
    <col min="7" max="7" width="62.7109375" style="82" customWidth="1"/>
    <col min="8" max="8" width="11.42578125" style="82" hidden="1" customWidth="1"/>
    <col min="9" max="9" width="5.5703125" style="82" customWidth="1"/>
    <col min="10" max="10" width="12.42578125" style="82" customWidth="1"/>
    <col min="11" max="11" width="13.42578125" style="82" customWidth="1"/>
    <col min="12" max="12" width="60.7109375" style="82" customWidth="1"/>
    <col min="13" max="13" width="15.7109375" style="304" customWidth="1"/>
    <col min="14" max="14" width="5.5703125" style="82" customWidth="1"/>
    <col min="15" max="15" width="62.7109375" style="82" customWidth="1"/>
    <col min="16" max="16384" width="11.42578125" style="82"/>
  </cols>
  <sheetData>
    <row r="1" spans="1:15" ht="15" customHeight="1" x14ac:dyDescent="0.25">
      <c r="A1" s="466">
        <f>SUM('% DEDICACIÓN TRABAJADOR'!A1:$A$2)</f>
        <v>3</v>
      </c>
    </row>
    <row r="2" spans="1:15" ht="15" customHeight="1" x14ac:dyDescent="0.25">
      <c r="B2" s="290"/>
      <c r="C2" s="290"/>
      <c r="E2" s="290"/>
      <c r="F2" s="292"/>
      <c r="J2" s="290"/>
      <c r="K2" s="290"/>
      <c r="M2" s="290"/>
      <c r="N2" s="292"/>
    </row>
    <row r="3" spans="1:15" ht="15" customHeight="1" x14ac:dyDescent="0.25">
      <c r="B3" s="413"/>
      <c r="C3" s="413"/>
      <c r="D3" s="413"/>
      <c r="E3" s="82"/>
      <c r="J3" s="413"/>
      <c r="K3" s="413"/>
      <c r="L3" s="413"/>
      <c r="M3" s="82"/>
    </row>
    <row r="4" spans="1:15" ht="15" customHeight="1" x14ac:dyDescent="0.25">
      <c r="E4" s="82"/>
      <c r="F4" s="131"/>
      <c r="N4" s="131"/>
    </row>
    <row r="5" spans="1:15" ht="15" customHeight="1" x14ac:dyDescent="0.25">
      <c r="E5" s="458" t="str">
        <f>'% DEDICACIÓN TRABAJADOR'!F5</f>
        <v/>
      </c>
      <c r="F5" s="131"/>
      <c r="G5" s="1047" t="str">
        <f>IF(A1&gt;0,"PENDIENTE CUMPLIMENTAR O VERIFICAR DATOS
EN PESTAÑAS ANTERIORES","")</f>
        <v>PENDIENTE CUMPLIMENTAR O VERIFICAR DATOS
EN PESTAÑAS ANTERIORES</v>
      </c>
      <c r="M5" s="458" t="str">
        <f>'% DEDICACIÓN TRABAJADOR'!F5</f>
        <v/>
      </c>
      <c r="N5" s="131"/>
    </row>
    <row r="6" spans="1:15" ht="15" customHeight="1" x14ac:dyDescent="0.25">
      <c r="E6" s="82"/>
      <c r="G6" s="1047"/>
      <c r="M6" s="293"/>
    </row>
    <row r="7" spans="1:15" ht="15" customHeight="1" x14ac:dyDescent="0.25">
      <c r="E7" s="457" t="str">
        <f>'% DEDICACIÓN TRABAJADOR'!F7</f>
        <v>TRABAJADOR:</v>
      </c>
      <c r="G7" s="1047"/>
      <c r="H7" s="660" t="s">
        <v>467</v>
      </c>
      <c r="M7" s="457" t="str">
        <f>'% DEDICACIÓN TRABAJADOR'!F7</f>
        <v>TRABAJADOR:</v>
      </c>
    </row>
    <row r="8" spans="1:15" ht="15" customHeight="1" thickBot="1" x14ac:dyDescent="0.3">
      <c r="H8" s="661" t="s">
        <v>466</v>
      </c>
    </row>
    <row r="9" spans="1:15" ht="20.100000000000001" customHeight="1" thickBot="1" x14ac:dyDescent="0.3">
      <c r="D9" s="452" t="s">
        <v>329</v>
      </c>
      <c r="E9" s="449">
        <f>IF(SUM(H12:H15)=0,SUM(E12:E15),0)</f>
        <v>0</v>
      </c>
      <c r="H9" s="661" t="s">
        <v>465</v>
      </c>
      <c r="L9" s="452" t="s">
        <v>329</v>
      </c>
      <c r="M9" s="449">
        <f>IF(SUM(H12:H15)=0,SUM(M12:M15),0)</f>
        <v>0</v>
      </c>
    </row>
    <row r="10" spans="1:15" ht="15" customHeight="1" x14ac:dyDescent="0.25">
      <c r="H10" s="662" t="s">
        <v>464</v>
      </c>
    </row>
    <row r="11" spans="1:15" s="86" customFormat="1" ht="20.100000000000001" customHeight="1" x14ac:dyDescent="0.25">
      <c r="B11" s="459" t="s">
        <v>330</v>
      </c>
      <c r="C11" s="459" t="s">
        <v>331</v>
      </c>
      <c r="D11" s="459" t="s">
        <v>332</v>
      </c>
      <c r="E11" s="460" t="s">
        <v>333</v>
      </c>
      <c r="F11" s="82"/>
      <c r="H11" s="81">
        <f>SUM(H12:H15)</f>
        <v>0</v>
      </c>
      <c r="J11" s="578" t="s">
        <v>330</v>
      </c>
      <c r="K11" s="578" t="s">
        <v>331</v>
      </c>
      <c r="L11" s="578" t="s">
        <v>332</v>
      </c>
      <c r="M11" s="579" t="s">
        <v>333</v>
      </c>
      <c r="N11" s="82"/>
    </row>
    <row r="12" spans="1:15" ht="35.1" customHeight="1" x14ac:dyDescent="0.25">
      <c r="B12" s="85" t="str">
        <f>IF(AUXILIAR!IL6="","",AUXILIAR!IL6)</f>
        <v/>
      </c>
      <c r="C12" s="85" t="str">
        <f>IF(AUXILIAR!IM6="","",AUXILIAR!IM6)</f>
        <v/>
      </c>
      <c r="D12" s="453" t="str">
        <f>IF(AUXILIAR!IN6="","",AUXILIAR!IN6)</f>
        <v/>
      </c>
      <c r="E12" s="454" t="str">
        <f>IF(AUXILIAR!IO6="","",AUXILIAR!IO6)</f>
        <v/>
      </c>
      <c r="G12" s="82" t="str">
        <f>IF(H12&gt;0,"EXISTE ALGÚN PORCENTAJE DE DEDICACIÓN SUPERIOR AL 100%","")</f>
        <v/>
      </c>
      <c r="H12" s="81">
        <f>'% DEDICACIÓN TRABAJADOR'!$B$39</f>
        <v>0</v>
      </c>
      <c r="J12" s="85" t="str">
        <f>IF(AUXILIAR!JA6="","",AUXILIAR!JA6)</f>
        <v/>
      </c>
      <c r="K12" s="85" t="str">
        <f>IF(AUXILIAR!JB6="","",AUXILIAR!JB6)</f>
        <v/>
      </c>
      <c r="L12" s="453" t="str">
        <f>IF(AUXILIAR!JC6="","",AUXILIAR!JC6)</f>
        <v/>
      </c>
      <c r="M12" s="454" t="str">
        <f>IF(AUXILIAR!JD6="","",AUXILIAR!JD6)</f>
        <v/>
      </c>
      <c r="O12" s="82" t="str">
        <f>IF(H12&gt;0,"EXISTE ALGÚN PORCENTAJE DE DEDICACIÓN SUPERIOR AL 100%","")</f>
        <v/>
      </c>
    </row>
    <row r="13" spans="1:15" ht="35.1" customHeight="1" x14ac:dyDescent="0.25">
      <c r="B13" s="81" t="str">
        <f>IF(AUXILIAR!IL7="","",AUXILIAR!IL7)</f>
        <v/>
      </c>
      <c r="C13" s="81" t="str">
        <f>IF(AUXILIAR!IM7="","",AUXILIAR!IM7)</f>
        <v/>
      </c>
      <c r="D13" s="455" t="str">
        <f>IF(AUXILIAR!IN7="","",AUXILIAR!IN7)</f>
        <v/>
      </c>
      <c r="E13" s="456" t="str">
        <f>IF(AUXILIAR!IO7="","",AUXILIAR!IO7)</f>
        <v/>
      </c>
      <c r="G13" s="82" t="str">
        <f t="shared" ref="G13:G15" si="0">IF(H13&gt;0,"EXISTE ALGÚN PORCENTAJE DE DEDICACIÓN SUPERIOR AL 100%","")</f>
        <v/>
      </c>
      <c r="H13" s="81">
        <f>'% DEDICACIÓN TRABAJADOR'!$B$41</f>
        <v>0</v>
      </c>
      <c r="J13" s="81" t="str">
        <f>IF(AUXILIAR!JA7="","",AUXILIAR!JA7)</f>
        <v/>
      </c>
      <c r="K13" s="81" t="str">
        <f>IF(AUXILIAR!JB7="","",AUXILIAR!JB7)</f>
        <v/>
      </c>
      <c r="L13" s="455" t="str">
        <f>IF(AUXILIAR!JC7="","",AUXILIAR!JC7)</f>
        <v/>
      </c>
      <c r="M13" s="456" t="str">
        <f>IF(AUXILIAR!JD7="","",AUXILIAR!JD7)</f>
        <v/>
      </c>
      <c r="O13" s="82" t="str">
        <f t="shared" ref="O13:O15" si="1">IF(H13&gt;0,"EXISTE ALGÚN PORCENTAJE DE DEDICACIÓN SUPERIOR AL 100%","")</f>
        <v/>
      </c>
    </row>
    <row r="14" spans="1:15" ht="35.1" customHeight="1" x14ac:dyDescent="0.25">
      <c r="B14" s="81" t="str">
        <f>IF(AUXILIAR!IL8="","",AUXILIAR!IL8)</f>
        <v/>
      </c>
      <c r="C14" s="81" t="str">
        <f>IF(AUXILIAR!IM8="","",AUXILIAR!IM8)</f>
        <v/>
      </c>
      <c r="D14" s="455" t="str">
        <f>IF(AUXILIAR!IN8="","",AUXILIAR!IN8)</f>
        <v/>
      </c>
      <c r="E14" s="456" t="str">
        <f>IF(AUXILIAR!IO8="","",AUXILIAR!IO8)</f>
        <v/>
      </c>
      <c r="G14" s="82" t="str">
        <f t="shared" si="0"/>
        <v/>
      </c>
      <c r="H14" s="81">
        <f>'% DEDICACIÓN TRABAJADOR'!$B$43</f>
        <v>0</v>
      </c>
      <c r="J14" s="81" t="str">
        <f>IF(AUXILIAR!JA8="","",AUXILIAR!JA8)</f>
        <v/>
      </c>
      <c r="K14" s="81" t="str">
        <f>IF(AUXILIAR!JB8="","",AUXILIAR!JB8)</f>
        <v/>
      </c>
      <c r="L14" s="455" t="str">
        <f>IF(AUXILIAR!JC8="","",AUXILIAR!JC8)</f>
        <v/>
      </c>
      <c r="M14" s="456" t="str">
        <f>IF(AUXILIAR!JD8="","",AUXILIAR!JD8)</f>
        <v/>
      </c>
      <c r="O14" s="82" t="str">
        <f t="shared" si="1"/>
        <v/>
      </c>
    </row>
    <row r="15" spans="1:15" ht="35.1" customHeight="1" x14ac:dyDescent="0.25">
      <c r="B15" s="81" t="str">
        <f>IF(AUXILIAR!IL9="","",AUXILIAR!IL9)</f>
        <v/>
      </c>
      <c r="C15" s="81" t="str">
        <f>IF(AUXILIAR!IM9="","",AUXILIAR!IM9)</f>
        <v/>
      </c>
      <c r="D15" s="455" t="str">
        <f>IF(AUXILIAR!IN9="","",AUXILIAR!IN9)</f>
        <v/>
      </c>
      <c r="E15" s="456" t="str">
        <f>IF(AUXILIAR!IO9="","",AUXILIAR!IO9)</f>
        <v/>
      </c>
      <c r="G15" s="82" t="str">
        <f t="shared" si="0"/>
        <v/>
      </c>
      <c r="H15" s="81">
        <f>'% DEDICACIÓN TRABAJADOR'!$B$45</f>
        <v>0</v>
      </c>
      <c r="J15" s="81" t="str">
        <f>IF(AUXILIAR!JA9="","",AUXILIAR!JA9)</f>
        <v/>
      </c>
      <c r="K15" s="81" t="str">
        <f>IF(AUXILIAR!JB9="","",AUXILIAR!JB9)</f>
        <v/>
      </c>
      <c r="L15" s="455" t="str">
        <f>IF(AUXILIAR!JC9="","",AUXILIAR!JC9)</f>
        <v/>
      </c>
      <c r="M15" s="456" t="str">
        <f>IF(AUXILIAR!JD9="","",AUXILIAR!JD9)</f>
        <v/>
      </c>
      <c r="O15" s="82" t="str">
        <f t="shared" si="1"/>
        <v/>
      </c>
    </row>
  </sheetData>
  <sheetProtection algorithmName="SHA-512" hashValue="6dAg/bkS72Q87hBvbwMM/RQ+SLUNIfJBGNWi2thcKP7nF3BX45UnRyiiT7npVC8MIYH113gDBZ/Bj4fQKfjw3g==" saltValue="2rRle4sDfi4fZWcKF27vVQ==" spinCount="100000" sheet="1" objects="1" scenarios="1"/>
  <mergeCells count="1">
    <mergeCell ref="G5:G7"/>
  </mergeCells>
  <phoneticPr fontId="3" type="noConversion"/>
  <conditionalFormatting sqref="A9:XFD15">
    <cfRule type="expression" dxfId="15" priority="3" stopIfTrue="1">
      <formula>$A$1=1</formula>
    </cfRule>
  </conditionalFormatting>
  <conditionalFormatting sqref="B13:E15">
    <cfRule type="expression" dxfId="14" priority="8">
      <formula>$B13&lt;&gt;""</formula>
    </cfRule>
  </conditionalFormatting>
  <conditionalFormatting sqref="E9 M9">
    <cfRule type="expression" dxfId="13" priority="7">
      <formula>$H$11&gt;0</formula>
    </cfRule>
  </conditionalFormatting>
  <conditionalFormatting sqref="G5:G7">
    <cfRule type="expression" dxfId="12" priority="1">
      <formula>$A$1&gt;0</formula>
    </cfRule>
  </conditionalFormatting>
  <conditionalFormatting sqref="G12:G15 O12:O15">
    <cfRule type="cellIs" dxfId="11" priority="4" operator="notEqual">
      <formula>""</formula>
    </cfRule>
  </conditionalFormatting>
  <conditionalFormatting sqref="J13:M15">
    <cfRule type="expression" dxfId="9" priority="16">
      <formula>$J13&lt;&gt;""</formula>
    </cfRule>
  </conditionalFormatting>
  <printOptions horizontalCentered="1"/>
  <pageMargins left="0.59055118110236227" right="0.59055118110236227" top="0.59055118110236227" bottom="0.39370078740157483" header="0.19685039370078741" footer="0.19685039370078741"/>
  <pageSetup paperSize="9" scale="79" orientation="portrait" r:id="rId1"/>
  <headerFooter>
    <oddFooter>&amp;L&amp;"Nunito Sans,Normal"&amp;8MOD60&amp;C&amp;"Nunito Sans,Normal"&amp;8&amp;A&amp;R&amp;"Nunito Sans,Normal"&amp;8&amp;P de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2" stopIfTrue="1" id="{A3B71073-ABBF-402A-8847-5EC065640C8D}">
            <xm:f>OR(USUARIO!$C$2="",AUXILIAR!$W$6&lt;&gt;USUARIO!$C$2)</xm:f>
            <x14:dxf>
              <font>
                <color theme="0"/>
              </font>
              <fill>
                <patternFill patternType="none">
                  <bgColor auto="1"/>
                </patternFill>
              </fill>
              <border>
                <left/>
                <right/>
                <top/>
                <bottom/>
                <vertical/>
                <horizontal/>
              </border>
            </x14:dxf>
          </x14:cfRule>
          <xm:sqref>I1:O1048576</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80DD3-5B2C-461F-B0F2-FDBD7485F489}">
  <dimension ref="A1:R50"/>
  <sheetViews>
    <sheetView showGridLines="0" zoomScaleNormal="100" workbookViewId="0"/>
  </sheetViews>
  <sheetFormatPr baseColWidth="10" defaultColWidth="11.42578125" defaultRowHeight="15" x14ac:dyDescent="0.25"/>
  <cols>
    <col min="1" max="1" width="5.5703125" style="6" customWidth="1"/>
    <col min="2" max="2" width="12.42578125" style="82" bestFit="1" customWidth="1"/>
    <col min="3" max="3" width="13.42578125" style="82" bestFit="1" customWidth="1"/>
    <col min="4" max="4" width="60.7109375" style="82" customWidth="1"/>
    <col min="5" max="5" width="15.7109375" style="304" customWidth="1"/>
    <col min="6" max="6" width="5.7109375" style="82" customWidth="1"/>
    <col min="7" max="7" width="5.7109375" style="8" hidden="1" customWidth="1"/>
    <col min="8" max="8" width="5.7109375" style="8" customWidth="1"/>
    <col min="9" max="9" width="100.7109375" style="6" customWidth="1"/>
    <col min="10" max="10" width="5.7109375" style="6" customWidth="1"/>
    <col min="11" max="11" width="5.7109375" style="8" customWidth="1"/>
    <col min="12" max="12" width="100.7109375" style="6" customWidth="1"/>
    <col min="13" max="13" width="5.7109375" style="6" customWidth="1"/>
    <col min="14" max="14" width="5.7109375" style="8" customWidth="1"/>
    <col min="15" max="15" width="100.7109375" style="6" customWidth="1"/>
    <col min="16" max="16" width="5.7109375" style="6" customWidth="1"/>
    <col min="17" max="17" width="5.7109375" style="8" customWidth="1"/>
    <col min="18" max="18" width="100.7109375" style="6" customWidth="1"/>
    <col min="19" max="16384" width="11.42578125" style="6"/>
  </cols>
  <sheetData>
    <row r="1" spans="1:18" ht="15" customHeight="1" x14ac:dyDescent="0.25">
      <c r="A1" s="10"/>
    </row>
    <row r="2" spans="1:18" s="7" customFormat="1" ht="15" customHeight="1" x14ac:dyDescent="0.25">
      <c r="C2" s="290"/>
      <c r="D2" s="82"/>
      <c r="E2" s="290"/>
      <c r="F2" s="290"/>
      <c r="G2" s="8"/>
      <c r="H2" s="8"/>
      <c r="I2" s="6"/>
      <c r="J2" s="6"/>
      <c r="K2" s="8"/>
      <c r="L2" s="6"/>
      <c r="M2" s="6"/>
      <c r="N2" s="8"/>
      <c r="O2" s="6"/>
      <c r="P2" s="6"/>
      <c r="Q2" s="8"/>
      <c r="R2" s="6"/>
    </row>
    <row r="3" spans="1:18" ht="15" customHeight="1" x14ac:dyDescent="0.25">
      <c r="C3" s="413"/>
      <c r="D3" s="413"/>
      <c r="E3" s="451"/>
      <c r="F3" s="290"/>
    </row>
    <row r="4" spans="1:18" ht="15" customHeight="1" x14ac:dyDescent="0.25">
      <c r="F4" s="290"/>
    </row>
    <row r="5" spans="1:18" ht="15" customHeight="1" x14ac:dyDescent="0.25">
      <c r="D5" s="464" t="str">
        <f>'DATOS A INCORPORAR AL MOD-61'!M5</f>
        <v/>
      </c>
      <c r="E5" s="6"/>
      <c r="F5" s="290"/>
    </row>
    <row r="6" spans="1:18" ht="15" customHeight="1" x14ac:dyDescent="0.25">
      <c r="D6" s="461"/>
      <c r="E6" s="462"/>
      <c r="F6" s="290"/>
    </row>
    <row r="7" spans="1:18" ht="15" customHeight="1" x14ac:dyDescent="0.25">
      <c r="D7" s="463" t="str">
        <f>'DATOS A INCORPORAR AL MOD-61'!M7</f>
        <v>TRABAJADOR:</v>
      </c>
      <c r="E7" s="6"/>
      <c r="F7" s="290"/>
    </row>
    <row r="8" spans="1:18" ht="15" customHeight="1" thickBot="1" x14ac:dyDescent="0.3">
      <c r="D8" s="461"/>
      <c r="E8" s="462"/>
      <c r="F8" s="290"/>
    </row>
    <row r="9" spans="1:18" ht="20.100000000000001" customHeight="1" thickBot="1" x14ac:dyDescent="0.3">
      <c r="D9" s="452" t="str">
        <f>'DATOS A INCORPORAR AL MOD-61'!L9</f>
        <v>TOTAL TRABAJADOR:</v>
      </c>
      <c r="E9" s="449">
        <f>'DATOS A INCORPORAR AL MOD-61'!M9</f>
        <v>0</v>
      </c>
      <c r="F9" s="290"/>
    </row>
    <row r="10" spans="1:18" ht="15" customHeight="1" thickBot="1" x14ac:dyDescent="0.3">
      <c r="E10" s="293"/>
      <c r="F10" s="290"/>
    </row>
    <row r="11" spans="1:18" ht="30" customHeight="1" thickBot="1" x14ac:dyDescent="0.3">
      <c r="B11" s="578" t="s">
        <v>330</v>
      </c>
      <c r="C11" s="578" t="s">
        <v>331</v>
      </c>
      <c r="D11" s="578" t="s">
        <v>332</v>
      </c>
      <c r="E11" s="579" t="s">
        <v>333</v>
      </c>
      <c r="F11" s="290"/>
      <c r="G11" s="7"/>
      <c r="H11" s="1079" t="str">
        <f>CONCATENATE("OBSERVACIONES EJERCICIO ",YEAR(EXPEDIENTE!$I$25))</f>
        <v>OBSERVACIONES EJERCICIO 2025</v>
      </c>
      <c r="I11" s="1080"/>
      <c r="J11" s="7"/>
      <c r="K11" s="1079" t="str">
        <f>CONCATENATE("OBSERVACIONES EJERCICIO ",YEAR(EXPEDIENTE!$I$25)+1)</f>
        <v>OBSERVACIONES EJERCICIO 2026</v>
      </c>
      <c r="L11" s="1080"/>
      <c r="M11" s="7"/>
      <c r="N11" s="1079" t="str">
        <f>CONCATENATE("OBSERVACIONES EJERCICIO ",YEAR(EXPEDIENTE!$I$25)+2)</f>
        <v>OBSERVACIONES EJERCICIO 2027</v>
      </c>
      <c r="O11" s="1080"/>
      <c r="P11" s="7"/>
      <c r="Q11" s="1079" t="str">
        <f>CONCATENATE("OBSERVACIONES EJERCICIO ",YEAR(EXPEDIENTE!$I$25)+3)</f>
        <v>OBSERVACIONES EJERCICIO 2028</v>
      </c>
      <c r="R11" s="1080"/>
    </row>
    <row r="12" spans="1:18" ht="5.0999999999999996" customHeight="1" x14ac:dyDescent="0.25">
      <c r="B12" s="6"/>
      <c r="C12" s="6"/>
      <c r="D12" s="6"/>
      <c r="E12" s="6"/>
      <c r="F12" s="6"/>
      <c r="G12" s="6"/>
      <c r="H12" s="6"/>
      <c r="K12" s="6"/>
      <c r="N12" s="6"/>
      <c r="Q12" s="6"/>
    </row>
    <row r="13" spans="1:18" ht="30" customHeight="1" x14ac:dyDescent="0.25">
      <c r="B13" s="85" t="str">
        <f>'DATOS A INCORPORAR AL MOD-61'!J12</f>
        <v/>
      </c>
      <c r="C13" s="85" t="str">
        <f>'DATOS A INCORPORAR AL MOD-61'!K12</f>
        <v/>
      </c>
      <c r="D13" s="85" t="str">
        <f>'DATOS A INCORPORAR AL MOD-61'!L12</f>
        <v/>
      </c>
      <c r="E13" s="427" t="str">
        <f>'DATOS A INCORPORAR AL MOD-61'!M12</f>
        <v/>
      </c>
      <c r="F13" s="290"/>
      <c r="G13" s="8">
        <v>1</v>
      </c>
      <c r="H13" s="8" t="str">
        <f>IF(I13="","",$G13)</f>
        <v/>
      </c>
      <c r="I13" s="9" t="str">
        <f>IFERROR(VLOOKUP($G13,'GASTOS EJER. 1'!$DW$9:$DX$63,2,FALSE),"")</f>
        <v/>
      </c>
      <c r="K13" s="8" t="str">
        <f>IF(L13="","",$G13)</f>
        <v/>
      </c>
      <c r="L13" s="9" t="str">
        <f>IFERROR(VLOOKUP($G13,'GASTOS EJER. 2'!$DW$9:$DX$63,2,FALSE),"")</f>
        <v/>
      </c>
      <c r="N13" s="8" t="str">
        <f>IF(O13="","",$G13)</f>
        <v/>
      </c>
      <c r="O13" s="9" t="str">
        <f>IFERROR(VLOOKUP($G13,'GASTOS EJER. 3'!$DW$9:$DX$63,2,FALSE),"")</f>
        <v/>
      </c>
      <c r="Q13" s="8" t="str">
        <f>IF(R13="","",$G13)</f>
        <v/>
      </c>
      <c r="R13" s="9" t="str">
        <f>IFERROR(VLOOKUP($G13,'GASTOS EJER. 4'!$DW$9:$DX$63,2,FALSE),"")</f>
        <v/>
      </c>
    </row>
    <row r="14" spans="1:18" ht="30" customHeight="1" x14ac:dyDescent="0.25">
      <c r="B14" s="81" t="str">
        <f>'DATOS A INCORPORAR AL MOD-61'!J13</f>
        <v/>
      </c>
      <c r="C14" s="81" t="str">
        <f>'DATOS A INCORPORAR AL MOD-61'!K13</f>
        <v/>
      </c>
      <c r="D14" s="81" t="str">
        <f>'DATOS A INCORPORAR AL MOD-61'!L13</f>
        <v/>
      </c>
      <c r="E14" s="305" t="str">
        <f>'DATOS A INCORPORAR AL MOD-61'!M13</f>
        <v/>
      </c>
      <c r="F14" s="290"/>
      <c r="G14" s="8">
        <v>2</v>
      </c>
      <c r="H14" s="8" t="str">
        <f t="shared" ref="H14:H50" si="0">IF(I14="","",$G14)</f>
        <v/>
      </c>
      <c r="I14" s="9" t="str">
        <f>IFERROR(VLOOKUP($G14,'GASTOS EJER. 1'!$DW$9:$DX$63,2,FALSE),"")</f>
        <v/>
      </c>
      <c r="K14" s="8" t="str">
        <f t="shared" ref="K14:K50" si="1">IF(L14="","",$G14)</f>
        <v/>
      </c>
      <c r="L14" s="9" t="str">
        <f>IFERROR(VLOOKUP($G14,'GASTOS EJER. 2'!$DW$9:$DX$63,2,FALSE),"")</f>
        <v/>
      </c>
      <c r="N14" s="8" t="str">
        <f t="shared" ref="N14:N50" si="2">IF(O14="","",$G14)</f>
        <v/>
      </c>
      <c r="O14" s="9" t="str">
        <f>IFERROR(VLOOKUP($G14,'GASTOS EJER. 3'!$DW$9:$DX$63,2,FALSE),"")</f>
        <v/>
      </c>
      <c r="Q14" s="8" t="str">
        <f t="shared" ref="Q14:Q50" si="3">IF(R14="","",$G14)</f>
        <v/>
      </c>
      <c r="R14" s="9" t="str">
        <f>IFERROR(VLOOKUP($G14,'GASTOS EJER. 4'!$DW$9:$DX$63,2,FALSE),"")</f>
        <v/>
      </c>
    </row>
    <row r="15" spans="1:18" ht="30" customHeight="1" x14ac:dyDescent="0.25">
      <c r="B15" s="81" t="str">
        <f>'DATOS A INCORPORAR AL MOD-61'!J14</f>
        <v/>
      </c>
      <c r="C15" s="81" t="str">
        <f>'DATOS A INCORPORAR AL MOD-61'!K14</f>
        <v/>
      </c>
      <c r="D15" s="81" t="str">
        <f>'DATOS A INCORPORAR AL MOD-61'!L14</f>
        <v/>
      </c>
      <c r="E15" s="305" t="str">
        <f>'DATOS A INCORPORAR AL MOD-61'!M14</f>
        <v/>
      </c>
      <c r="F15" s="290"/>
      <c r="G15" s="8">
        <v>3</v>
      </c>
      <c r="H15" s="8" t="str">
        <f t="shared" si="0"/>
        <v/>
      </c>
      <c r="I15" s="9" t="str">
        <f>IFERROR(VLOOKUP($G15,'GASTOS EJER. 1'!$DW$9:$DX$63,2,FALSE),"")</f>
        <v/>
      </c>
      <c r="K15" s="8" t="str">
        <f t="shared" si="1"/>
        <v/>
      </c>
      <c r="L15" s="9" t="str">
        <f>IFERROR(VLOOKUP($G15,'GASTOS EJER. 2'!$DW$9:$DX$63,2,FALSE),"")</f>
        <v/>
      </c>
      <c r="N15" s="8" t="str">
        <f t="shared" si="2"/>
        <v/>
      </c>
      <c r="O15" s="9" t="str">
        <f>IFERROR(VLOOKUP($G15,'GASTOS EJER. 3'!$DW$9:$DX$63,2,FALSE),"")</f>
        <v/>
      </c>
      <c r="Q15" s="8" t="str">
        <f t="shared" si="3"/>
        <v/>
      </c>
      <c r="R15" s="9" t="str">
        <f>IFERROR(VLOOKUP($G15,'GASTOS EJER. 4'!$DW$9:$DX$63,2,FALSE),"")</f>
        <v/>
      </c>
    </row>
    <row r="16" spans="1:18" ht="30" customHeight="1" x14ac:dyDescent="0.25">
      <c r="B16" s="81" t="str">
        <f>'DATOS A INCORPORAR AL MOD-61'!J15</f>
        <v/>
      </c>
      <c r="C16" s="81" t="str">
        <f>'DATOS A INCORPORAR AL MOD-61'!K15</f>
        <v/>
      </c>
      <c r="D16" s="81" t="str">
        <f>'DATOS A INCORPORAR AL MOD-61'!L15</f>
        <v/>
      </c>
      <c r="E16" s="305" t="str">
        <f>'DATOS A INCORPORAR AL MOD-61'!M15</f>
        <v/>
      </c>
      <c r="F16" s="290"/>
      <c r="G16" s="8">
        <v>4</v>
      </c>
      <c r="H16" s="8" t="str">
        <f t="shared" si="0"/>
        <v/>
      </c>
      <c r="I16" s="9" t="str">
        <f>IFERROR(VLOOKUP($G16,'GASTOS EJER. 1'!$DW$9:$DX$63,2,FALSE),"")</f>
        <v/>
      </c>
      <c r="K16" s="8" t="str">
        <f t="shared" si="1"/>
        <v/>
      </c>
      <c r="L16" s="9" t="str">
        <f>IFERROR(VLOOKUP($G16,'GASTOS EJER. 2'!$DW$9:$DX$63,2,FALSE),"")</f>
        <v/>
      </c>
      <c r="N16" s="8" t="str">
        <f t="shared" si="2"/>
        <v/>
      </c>
      <c r="O16" s="9" t="str">
        <f>IFERROR(VLOOKUP($G16,'GASTOS EJER. 3'!$DW$9:$DX$63,2,FALSE),"")</f>
        <v/>
      </c>
      <c r="Q16" s="8" t="str">
        <f t="shared" si="3"/>
        <v/>
      </c>
      <c r="R16" s="9" t="str">
        <f>IFERROR(VLOOKUP($G16,'GASTOS EJER. 4'!$DW$9:$DX$63,2,FALSE),"")</f>
        <v/>
      </c>
    </row>
    <row r="17" spans="2:18" ht="30" customHeight="1" x14ac:dyDescent="0.25">
      <c r="B17" s="81"/>
      <c r="C17" s="81"/>
      <c r="D17" s="455"/>
      <c r="E17" s="456"/>
      <c r="F17" s="290"/>
      <c r="G17" s="8">
        <v>5</v>
      </c>
      <c r="H17" s="8" t="str">
        <f t="shared" si="0"/>
        <v/>
      </c>
      <c r="I17" s="9" t="str">
        <f>IFERROR(VLOOKUP($G17,'GASTOS EJER. 1'!$DW$9:$DX$63,2,FALSE),"")</f>
        <v/>
      </c>
      <c r="K17" s="8" t="str">
        <f t="shared" si="1"/>
        <v/>
      </c>
      <c r="L17" s="9" t="str">
        <f>IFERROR(VLOOKUP($G17,'GASTOS EJER. 2'!$DW$9:$DX$63,2,FALSE),"")</f>
        <v/>
      </c>
      <c r="N17" s="8" t="str">
        <f t="shared" si="2"/>
        <v/>
      </c>
      <c r="O17" s="9" t="str">
        <f>IFERROR(VLOOKUP($G17,'GASTOS EJER. 3'!$DW$9:$DX$63,2,FALSE),"")</f>
        <v/>
      </c>
      <c r="Q17" s="8" t="str">
        <f t="shared" si="3"/>
        <v/>
      </c>
      <c r="R17" s="9" t="str">
        <f>IFERROR(VLOOKUP($G17,'GASTOS EJER. 4'!$DW$9:$DX$63,2,FALSE),"")</f>
        <v/>
      </c>
    </row>
    <row r="18" spans="2:18" ht="30" customHeight="1" x14ac:dyDescent="0.25">
      <c r="B18" s="81"/>
      <c r="C18" s="81"/>
      <c r="D18" s="455"/>
      <c r="E18" s="456"/>
      <c r="F18" s="290"/>
      <c r="G18" s="8">
        <v>6</v>
      </c>
      <c r="H18" s="8" t="str">
        <f t="shared" si="0"/>
        <v/>
      </c>
      <c r="I18" s="9" t="str">
        <f>IFERROR(VLOOKUP($G18,'GASTOS EJER. 1'!$DW$9:$DX$63,2,FALSE),"")</f>
        <v/>
      </c>
      <c r="K18" s="8" t="str">
        <f t="shared" si="1"/>
        <v/>
      </c>
      <c r="L18" s="9" t="str">
        <f>IFERROR(VLOOKUP($G18,'GASTOS EJER. 2'!$DW$9:$DX$63,2,FALSE),"")</f>
        <v/>
      </c>
      <c r="N18" s="8" t="str">
        <f t="shared" si="2"/>
        <v/>
      </c>
      <c r="O18" s="9" t="str">
        <f>IFERROR(VLOOKUP($G18,'GASTOS EJER. 3'!$DW$9:$DX$63,2,FALSE),"")</f>
        <v/>
      </c>
      <c r="Q18" s="8" t="str">
        <f t="shared" si="3"/>
        <v/>
      </c>
      <c r="R18" s="9" t="str">
        <f>IFERROR(VLOOKUP($G18,'GASTOS EJER. 4'!$DW$9:$DX$63,2,FALSE),"")</f>
        <v/>
      </c>
    </row>
    <row r="19" spans="2:18" ht="30" customHeight="1" x14ac:dyDescent="0.25">
      <c r="B19" s="81"/>
      <c r="C19" s="81"/>
      <c r="D19" s="455"/>
      <c r="E19" s="456"/>
      <c r="F19" s="290"/>
      <c r="G19" s="8">
        <v>7</v>
      </c>
      <c r="H19" s="8" t="str">
        <f t="shared" si="0"/>
        <v/>
      </c>
      <c r="I19" s="9" t="str">
        <f>IFERROR(VLOOKUP($G19,'GASTOS EJER. 1'!$DW$9:$DX$63,2,FALSE),"")</f>
        <v/>
      </c>
      <c r="K19" s="8" t="str">
        <f t="shared" si="1"/>
        <v/>
      </c>
      <c r="L19" s="9" t="str">
        <f>IFERROR(VLOOKUP($G19,'GASTOS EJER. 2'!$DW$9:$DX$63,2,FALSE),"")</f>
        <v/>
      </c>
      <c r="N19" s="8" t="str">
        <f t="shared" si="2"/>
        <v/>
      </c>
      <c r="O19" s="9" t="str">
        <f>IFERROR(VLOOKUP($G19,'GASTOS EJER. 3'!$DW$9:$DX$63,2,FALSE),"")</f>
        <v/>
      </c>
      <c r="Q19" s="8" t="str">
        <f t="shared" si="3"/>
        <v/>
      </c>
      <c r="R19" s="9" t="str">
        <f>IFERROR(VLOOKUP($G19,'GASTOS EJER. 4'!$DW$9:$DX$63,2,FALSE),"")</f>
        <v/>
      </c>
    </row>
    <row r="20" spans="2:18" ht="30" customHeight="1" x14ac:dyDescent="0.25">
      <c r="F20" s="290"/>
      <c r="G20" s="8">
        <v>8</v>
      </c>
      <c r="H20" s="8" t="str">
        <f t="shared" si="0"/>
        <v/>
      </c>
      <c r="I20" s="9" t="str">
        <f>IFERROR(VLOOKUP($G20,'GASTOS EJER. 1'!$DW$9:$DX$63,2,FALSE),"")</f>
        <v/>
      </c>
      <c r="K20" s="8" t="str">
        <f t="shared" si="1"/>
        <v/>
      </c>
      <c r="L20" s="9" t="str">
        <f>IFERROR(VLOOKUP($G20,'GASTOS EJER. 2'!$DW$9:$DX$63,2,FALSE),"")</f>
        <v/>
      </c>
      <c r="N20" s="8" t="str">
        <f t="shared" si="2"/>
        <v/>
      </c>
      <c r="O20" s="9" t="str">
        <f>IFERROR(VLOOKUP($G20,'GASTOS EJER. 3'!$DW$9:$DX$63,2,FALSE),"")</f>
        <v/>
      </c>
      <c r="Q20" s="8" t="str">
        <f t="shared" si="3"/>
        <v/>
      </c>
      <c r="R20" s="9" t="str">
        <f>IFERROR(VLOOKUP($G20,'GASTOS EJER. 4'!$DW$9:$DX$63,2,FALSE),"")</f>
        <v/>
      </c>
    </row>
    <row r="21" spans="2:18" ht="30" customHeight="1" x14ac:dyDescent="0.25">
      <c r="F21" s="290"/>
      <c r="G21" s="8">
        <v>9</v>
      </c>
      <c r="H21" s="8" t="str">
        <f t="shared" si="0"/>
        <v/>
      </c>
      <c r="I21" s="9" t="str">
        <f>IFERROR(VLOOKUP($G21,'GASTOS EJER. 1'!$DW$9:$DX$63,2,FALSE),"")</f>
        <v/>
      </c>
      <c r="K21" s="8" t="str">
        <f t="shared" si="1"/>
        <v/>
      </c>
      <c r="L21" s="9" t="str">
        <f>IFERROR(VLOOKUP($G21,'GASTOS EJER. 2'!$DW$9:$DX$63,2,FALSE),"")</f>
        <v/>
      </c>
      <c r="N21" s="8" t="str">
        <f t="shared" si="2"/>
        <v/>
      </c>
      <c r="O21" s="9" t="str">
        <f>IFERROR(VLOOKUP($G21,'GASTOS EJER. 3'!$DW$9:$DX$63,2,FALSE),"")</f>
        <v/>
      </c>
      <c r="Q21" s="8" t="str">
        <f t="shared" si="3"/>
        <v/>
      </c>
      <c r="R21" s="9" t="str">
        <f>IFERROR(VLOOKUP($G21,'GASTOS EJER. 4'!$DW$9:$DX$63,2,FALSE),"")</f>
        <v/>
      </c>
    </row>
    <row r="22" spans="2:18" ht="30" customHeight="1" x14ac:dyDescent="0.25">
      <c r="G22" s="8">
        <v>10</v>
      </c>
      <c r="H22" s="8" t="str">
        <f t="shared" si="0"/>
        <v/>
      </c>
      <c r="I22" s="9" t="str">
        <f>IFERROR(VLOOKUP($G22,'GASTOS EJER. 1'!$DW$9:$DX$63,2,FALSE),"")</f>
        <v/>
      </c>
      <c r="K22" s="8" t="str">
        <f t="shared" si="1"/>
        <v/>
      </c>
      <c r="L22" s="9" t="str">
        <f>IFERROR(VLOOKUP($G22,'GASTOS EJER. 2'!$DW$9:$DX$63,2,FALSE),"")</f>
        <v/>
      </c>
      <c r="N22" s="8" t="str">
        <f t="shared" si="2"/>
        <v/>
      </c>
      <c r="O22" s="9" t="str">
        <f>IFERROR(VLOOKUP($G22,'GASTOS EJER. 3'!$DW$9:$DX$63,2,FALSE),"")</f>
        <v/>
      </c>
      <c r="Q22" s="8" t="str">
        <f t="shared" si="3"/>
        <v/>
      </c>
      <c r="R22" s="9" t="str">
        <f>IFERROR(VLOOKUP($G22,'GASTOS EJER. 4'!$DW$9:$DX$63,2,FALSE),"")</f>
        <v/>
      </c>
    </row>
    <row r="23" spans="2:18" ht="30" customHeight="1" x14ac:dyDescent="0.25">
      <c r="G23" s="8">
        <v>11</v>
      </c>
      <c r="H23" s="8" t="str">
        <f t="shared" si="0"/>
        <v/>
      </c>
      <c r="I23" s="9" t="str">
        <f>IFERROR(VLOOKUP($G23,'GASTOS EJER. 1'!$DW$9:$DX$63,2,FALSE),"")</f>
        <v/>
      </c>
      <c r="K23" s="8" t="str">
        <f t="shared" si="1"/>
        <v/>
      </c>
      <c r="L23" s="9" t="str">
        <f>IFERROR(VLOOKUP($G23,'GASTOS EJER. 2'!$DW$9:$DX$63,2,FALSE),"")</f>
        <v/>
      </c>
      <c r="N23" s="8" t="str">
        <f t="shared" si="2"/>
        <v/>
      </c>
      <c r="O23" s="9" t="str">
        <f>IFERROR(VLOOKUP($G23,'GASTOS EJER. 3'!$DW$9:$DX$63,2,FALSE),"")</f>
        <v/>
      </c>
      <c r="Q23" s="8" t="str">
        <f t="shared" si="3"/>
        <v/>
      </c>
      <c r="R23" s="9" t="str">
        <f>IFERROR(VLOOKUP($G23,'GASTOS EJER. 4'!$DW$9:$DX$63,2,FALSE),"")</f>
        <v/>
      </c>
    </row>
    <row r="24" spans="2:18" ht="30" customHeight="1" x14ac:dyDescent="0.25">
      <c r="G24" s="8">
        <v>12</v>
      </c>
      <c r="H24" s="8" t="str">
        <f t="shared" si="0"/>
        <v/>
      </c>
      <c r="I24" s="9" t="str">
        <f>IFERROR(VLOOKUP($G24,'GASTOS EJER. 1'!$DW$9:$DX$63,2,FALSE),"")</f>
        <v/>
      </c>
      <c r="K24" s="8" t="str">
        <f t="shared" si="1"/>
        <v/>
      </c>
      <c r="L24" s="9" t="str">
        <f>IFERROR(VLOOKUP($G24,'GASTOS EJER. 2'!$DW$9:$DX$63,2,FALSE),"")</f>
        <v/>
      </c>
      <c r="N24" s="8" t="str">
        <f t="shared" si="2"/>
        <v/>
      </c>
      <c r="O24" s="9" t="str">
        <f>IFERROR(VLOOKUP($G24,'GASTOS EJER. 3'!$DW$9:$DX$63,2,FALSE),"")</f>
        <v/>
      </c>
      <c r="Q24" s="8" t="str">
        <f t="shared" si="3"/>
        <v/>
      </c>
      <c r="R24" s="9" t="str">
        <f>IFERROR(VLOOKUP($G24,'GASTOS EJER. 4'!$DW$9:$DX$63,2,FALSE),"")</f>
        <v/>
      </c>
    </row>
    <row r="25" spans="2:18" ht="30" customHeight="1" x14ac:dyDescent="0.25">
      <c r="G25" s="8">
        <v>13</v>
      </c>
      <c r="H25" s="8" t="str">
        <f t="shared" si="0"/>
        <v/>
      </c>
      <c r="I25" s="9" t="str">
        <f>IFERROR(VLOOKUP($G25,'GASTOS EJER. 1'!$DW$9:$DX$63,2,FALSE),"")</f>
        <v/>
      </c>
      <c r="K25" s="8" t="str">
        <f t="shared" si="1"/>
        <v/>
      </c>
      <c r="L25" s="9" t="str">
        <f>IFERROR(VLOOKUP($G25,'GASTOS EJER. 2'!$DW$9:$DX$63,2,FALSE),"")</f>
        <v/>
      </c>
      <c r="N25" s="8" t="str">
        <f t="shared" si="2"/>
        <v/>
      </c>
      <c r="O25" s="9" t="str">
        <f>IFERROR(VLOOKUP($G25,'GASTOS EJER. 3'!$DW$9:$DX$63,2,FALSE),"")</f>
        <v/>
      </c>
      <c r="Q25" s="8" t="str">
        <f t="shared" si="3"/>
        <v/>
      </c>
      <c r="R25" s="9" t="str">
        <f>IFERROR(VLOOKUP($G25,'GASTOS EJER. 4'!$DW$9:$DX$63,2,FALSE),"")</f>
        <v/>
      </c>
    </row>
    <row r="26" spans="2:18" ht="30" customHeight="1" x14ac:dyDescent="0.25">
      <c r="G26" s="8">
        <v>14</v>
      </c>
      <c r="H26" s="8" t="str">
        <f t="shared" si="0"/>
        <v/>
      </c>
      <c r="I26" s="9" t="str">
        <f>IFERROR(VLOOKUP($G26,'GASTOS EJER. 1'!$DW$9:$DX$63,2,FALSE),"")</f>
        <v/>
      </c>
      <c r="K26" s="8" t="str">
        <f t="shared" si="1"/>
        <v/>
      </c>
      <c r="L26" s="9" t="str">
        <f>IFERROR(VLOOKUP($G26,'GASTOS EJER. 2'!$DW$9:$DX$63,2,FALSE),"")</f>
        <v/>
      </c>
      <c r="N26" s="8" t="str">
        <f t="shared" si="2"/>
        <v/>
      </c>
      <c r="O26" s="9" t="str">
        <f>IFERROR(VLOOKUP($G26,'GASTOS EJER. 3'!$DW$9:$DX$63,2,FALSE),"")</f>
        <v/>
      </c>
      <c r="Q26" s="8" t="str">
        <f t="shared" si="3"/>
        <v/>
      </c>
      <c r="R26" s="9" t="str">
        <f>IFERROR(VLOOKUP($G26,'GASTOS EJER. 4'!$DW$9:$DX$63,2,FALSE),"")</f>
        <v/>
      </c>
    </row>
    <row r="27" spans="2:18" ht="30" customHeight="1" x14ac:dyDescent="0.25">
      <c r="G27" s="8">
        <v>15</v>
      </c>
      <c r="H27" s="8" t="str">
        <f t="shared" si="0"/>
        <v/>
      </c>
      <c r="I27" s="9" t="str">
        <f>IFERROR(VLOOKUP($G27,'GASTOS EJER. 1'!$DW$9:$DX$63,2,FALSE),"")</f>
        <v/>
      </c>
      <c r="K27" s="8" t="str">
        <f t="shared" si="1"/>
        <v/>
      </c>
      <c r="L27" s="9" t="str">
        <f>IFERROR(VLOOKUP($G27,'GASTOS EJER. 2'!$DW$9:$DX$63,2,FALSE),"")</f>
        <v/>
      </c>
      <c r="N27" s="8" t="str">
        <f t="shared" si="2"/>
        <v/>
      </c>
      <c r="O27" s="9" t="str">
        <f>IFERROR(VLOOKUP($G27,'GASTOS EJER. 3'!$DW$9:$DX$63,2,FALSE),"")</f>
        <v/>
      </c>
      <c r="Q27" s="8" t="str">
        <f t="shared" si="3"/>
        <v/>
      </c>
      <c r="R27" s="9" t="str">
        <f>IFERROR(VLOOKUP($G27,'GASTOS EJER. 4'!$DW$9:$DX$63,2,FALSE),"")</f>
        <v/>
      </c>
    </row>
    <row r="28" spans="2:18" ht="30" customHeight="1" x14ac:dyDescent="0.25">
      <c r="G28" s="8">
        <v>16</v>
      </c>
      <c r="H28" s="8" t="str">
        <f t="shared" si="0"/>
        <v/>
      </c>
      <c r="I28" s="9" t="str">
        <f>IFERROR(VLOOKUP($G28,'GASTOS EJER. 1'!$DW$9:$DX$63,2,FALSE),"")</f>
        <v/>
      </c>
      <c r="K28" s="8" t="str">
        <f t="shared" si="1"/>
        <v/>
      </c>
      <c r="L28" s="9" t="str">
        <f>IFERROR(VLOOKUP($G28,'GASTOS EJER. 2'!$DW$9:$DX$63,2,FALSE),"")</f>
        <v/>
      </c>
      <c r="N28" s="8" t="str">
        <f t="shared" si="2"/>
        <v/>
      </c>
      <c r="O28" s="9" t="str">
        <f>IFERROR(VLOOKUP($G28,'GASTOS EJER. 3'!$DW$9:$DX$63,2,FALSE),"")</f>
        <v/>
      </c>
      <c r="Q28" s="8" t="str">
        <f t="shared" si="3"/>
        <v/>
      </c>
      <c r="R28" s="9" t="str">
        <f>IFERROR(VLOOKUP($G28,'GASTOS EJER. 4'!$DW$9:$DX$63,2,FALSE),"")</f>
        <v/>
      </c>
    </row>
    <row r="29" spans="2:18" ht="30" customHeight="1" x14ac:dyDescent="0.25">
      <c r="G29" s="8">
        <v>17</v>
      </c>
      <c r="H29" s="8" t="str">
        <f t="shared" si="0"/>
        <v/>
      </c>
      <c r="I29" s="9" t="str">
        <f>IFERROR(VLOOKUP($G29,'GASTOS EJER. 1'!$DW$9:$DX$63,2,FALSE),"")</f>
        <v/>
      </c>
      <c r="K29" s="8" t="str">
        <f t="shared" si="1"/>
        <v/>
      </c>
      <c r="L29" s="9" t="str">
        <f>IFERROR(VLOOKUP($G29,'GASTOS EJER. 2'!$DW$9:$DX$63,2,FALSE),"")</f>
        <v/>
      </c>
      <c r="N29" s="8" t="str">
        <f t="shared" si="2"/>
        <v/>
      </c>
      <c r="O29" s="9" t="str">
        <f>IFERROR(VLOOKUP($G29,'GASTOS EJER. 3'!$DW$9:$DX$63,2,FALSE),"")</f>
        <v/>
      </c>
      <c r="Q29" s="8" t="str">
        <f t="shared" si="3"/>
        <v/>
      </c>
      <c r="R29" s="9" t="str">
        <f>IFERROR(VLOOKUP($G29,'GASTOS EJER. 4'!$DW$9:$DX$63,2,FALSE),"")</f>
        <v/>
      </c>
    </row>
    <row r="30" spans="2:18" ht="30" customHeight="1" x14ac:dyDescent="0.25">
      <c r="G30" s="8">
        <v>18</v>
      </c>
      <c r="H30" s="8" t="str">
        <f t="shared" si="0"/>
        <v/>
      </c>
      <c r="I30" s="9" t="str">
        <f>IFERROR(VLOOKUP($G30,'GASTOS EJER. 1'!$DW$9:$DX$63,2,FALSE),"")</f>
        <v/>
      </c>
      <c r="K30" s="8" t="str">
        <f t="shared" si="1"/>
        <v/>
      </c>
      <c r="L30" s="9" t="str">
        <f>IFERROR(VLOOKUP($G30,'GASTOS EJER. 2'!$DW$9:$DX$63,2,FALSE),"")</f>
        <v/>
      </c>
      <c r="N30" s="8" t="str">
        <f t="shared" si="2"/>
        <v/>
      </c>
      <c r="O30" s="9" t="str">
        <f>IFERROR(VLOOKUP($G30,'GASTOS EJER. 3'!$DW$9:$DX$63,2,FALSE),"")</f>
        <v/>
      </c>
      <c r="Q30" s="8" t="str">
        <f t="shared" si="3"/>
        <v/>
      </c>
      <c r="R30" s="9" t="str">
        <f>IFERROR(VLOOKUP($G30,'GASTOS EJER. 4'!$DW$9:$DX$63,2,FALSE),"")</f>
        <v/>
      </c>
    </row>
    <row r="31" spans="2:18" ht="30" customHeight="1" x14ac:dyDescent="0.25">
      <c r="G31" s="8">
        <v>19</v>
      </c>
      <c r="H31" s="8" t="str">
        <f t="shared" si="0"/>
        <v/>
      </c>
      <c r="I31" s="9" t="str">
        <f>IFERROR(VLOOKUP($G31,'GASTOS EJER. 1'!$DW$9:$DX$63,2,FALSE),"")</f>
        <v/>
      </c>
      <c r="K31" s="8" t="str">
        <f t="shared" si="1"/>
        <v/>
      </c>
      <c r="L31" s="9" t="str">
        <f>IFERROR(VLOOKUP($G31,'GASTOS EJER. 2'!$DW$9:$DX$63,2,FALSE),"")</f>
        <v/>
      </c>
      <c r="N31" s="8" t="str">
        <f t="shared" si="2"/>
        <v/>
      </c>
      <c r="O31" s="9" t="str">
        <f>IFERROR(VLOOKUP($G31,'GASTOS EJER. 3'!$DW$9:$DX$63,2,FALSE),"")</f>
        <v/>
      </c>
      <c r="Q31" s="8" t="str">
        <f t="shared" si="3"/>
        <v/>
      </c>
      <c r="R31" s="9" t="str">
        <f>IFERROR(VLOOKUP($G31,'GASTOS EJER. 4'!$DW$9:$DX$63,2,FALSE),"")</f>
        <v/>
      </c>
    </row>
    <row r="32" spans="2:18" ht="30" customHeight="1" x14ac:dyDescent="0.25">
      <c r="G32" s="8">
        <v>20</v>
      </c>
      <c r="H32" s="8" t="str">
        <f t="shared" si="0"/>
        <v/>
      </c>
      <c r="I32" s="9" t="str">
        <f>IFERROR(VLOOKUP($G32,'GASTOS EJER. 1'!$DW$9:$DX$63,2,FALSE),"")</f>
        <v/>
      </c>
      <c r="K32" s="8" t="str">
        <f t="shared" si="1"/>
        <v/>
      </c>
      <c r="L32" s="9" t="str">
        <f>IFERROR(VLOOKUP($G32,'GASTOS EJER. 2'!$DW$9:$DX$63,2,FALSE),"")</f>
        <v/>
      </c>
      <c r="N32" s="8" t="str">
        <f t="shared" si="2"/>
        <v/>
      </c>
      <c r="O32" s="9" t="str">
        <f>IFERROR(VLOOKUP($G32,'GASTOS EJER. 3'!$DW$9:$DX$63,2,FALSE),"")</f>
        <v/>
      </c>
      <c r="Q32" s="8" t="str">
        <f t="shared" si="3"/>
        <v/>
      </c>
      <c r="R32" s="9" t="str">
        <f>IFERROR(VLOOKUP($G32,'GASTOS EJER. 4'!$DW$9:$DX$63,2,FALSE),"")</f>
        <v/>
      </c>
    </row>
    <row r="33" spans="7:18" ht="30" customHeight="1" x14ac:dyDescent="0.25">
      <c r="G33" s="8">
        <v>21</v>
      </c>
      <c r="H33" s="8" t="str">
        <f t="shared" si="0"/>
        <v/>
      </c>
      <c r="I33" s="9" t="str">
        <f>IFERROR(VLOOKUP($G33,'GASTOS EJER. 1'!$DW$9:$DX$63,2,FALSE),"")</f>
        <v/>
      </c>
      <c r="K33" s="8" t="str">
        <f t="shared" si="1"/>
        <v/>
      </c>
      <c r="L33" s="9" t="str">
        <f>IFERROR(VLOOKUP($G33,'GASTOS EJER. 2'!$DW$9:$DX$63,2,FALSE),"")</f>
        <v/>
      </c>
      <c r="N33" s="8" t="str">
        <f t="shared" si="2"/>
        <v/>
      </c>
      <c r="O33" s="9" t="str">
        <f>IFERROR(VLOOKUP($G33,'GASTOS EJER. 3'!$DW$9:$DX$63,2,FALSE),"")</f>
        <v/>
      </c>
      <c r="Q33" s="8" t="str">
        <f t="shared" si="3"/>
        <v/>
      </c>
      <c r="R33" s="9" t="str">
        <f>IFERROR(VLOOKUP($G33,'GASTOS EJER. 4'!$DW$9:$DX$63,2,FALSE),"")</f>
        <v/>
      </c>
    </row>
    <row r="34" spans="7:18" ht="30" customHeight="1" x14ac:dyDescent="0.25">
      <c r="G34" s="8">
        <v>22</v>
      </c>
      <c r="H34" s="8" t="str">
        <f t="shared" si="0"/>
        <v/>
      </c>
      <c r="I34" s="9" t="str">
        <f>IFERROR(VLOOKUP($G34,'GASTOS EJER. 1'!$DW$9:$DX$63,2,FALSE),"")</f>
        <v/>
      </c>
      <c r="K34" s="8" t="str">
        <f t="shared" si="1"/>
        <v/>
      </c>
      <c r="L34" s="9" t="str">
        <f>IFERROR(VLOOKUP($G34,'GASTOS EJER. 2'!$DW$9:$DX$63,2,FALSE),"")</f>
        <v/>
      </c>
      <c r="N34" s="8" t="str">
        <f t="shared" si="2"/>
        <v/>
      </c>
      <c r="O34" s="9" t="str">
        <f>IFERROR(VLOOKUP($G34,'GASTOS EJER. 3'!$DW$9:$DX$63,2,FALSE),"")</f>
        <v/>
      </c>
      <c r="Q34" s="8" t="str">
        <f t="shared" si="3"/>
        <v/>
      </c>
      <c r="R34" s="9" t="str">
        <f>IFERROR(VLOOKUP($G34,'GASTOS EJER. 4'!$DW$9:$DX$63,2,FALSE),"")</f>
        <v/>
      </c>
    </row>
    <row r="35" spans="7:18" ht="30" customHeight="1" x14ac:dyDescent="0.25">
      <c r="G35" s="8">
        <v>23</v>
      </c>
      <c r="H35" s="8" t="str">
        <f t="shared" si="0"/>
        <v/>
      </c>
      <c r="I35" s="9" t="str">
        <f>IFERROR(VLOOKUP($G35,'GASTOS EJER. 1'!$DW$9:$DX$63,2,FALSE),"")</f>
        <v/>
      </c>
      <c r="K35" s="8" t="str">
        <f t="shared" si="1"/>
        <v/>
      </c>
      <c r="L35" s="9" t="str">
        <f>IFERROR(VLOOKUP($G35,'GASTOS EJER. 2'!$DW$9:$DX$63,2,FALSE),"")</f>
        <v/>
      </c>
      <c r="N35" s="8" t="str">
        <f t="shared" si="2"/>
        <v/>
      </c>
      <c r="O35" s="9" t="str">
        <f>IFERROR(VLOOKUP($G35,'GASTOS EJER. 3'!$DW$9:$DX$63,2,FALSE),"")</f>
        <v/>
      </c>
      <c r="Q35" s="8" t="str">
        <f t="shared" si="3"/>
        <v/>
      </c>
      <c r="R35" s="9" t="str">
        <f>IFERROR(VLOOKUP($G35,'GASTOS EJER. 4'!$DW$9:$DX$63,2,FALSE),"")</f>
        <v/>
      </c>
    </row>
    <row r="36" spans="7:18" ht="30" customHeight="1" x14ac:dyDescent="0.25">
      <c r="G36" s="8">
        <v>24</v>
      </c>
      <c r="H36" s="8" t="str">
        <f t="shared" si="0"/>
        <v/>
      </c>
      <c r="I36" s="9" t="str">
        <f>IFERROR(VLOOKUP($G36,'GASTOS EJER. 1'!$DW$9:$DX$63,2,FALSE),"")</f>
        <v/>
      </c>
      <c r="K36" s="8" t="str">
        <f t="shared" si="1"/>
        <v/>
      </c>
      <c r="L36" s="9" t="str">
        <f>IFERROR(VLOOKUP($G36,'GASTOS EJER. 2'!$DW$9:$DX$63,2,FALSE),"")</f>
        <v/>
      </c>
      <c r="N36" s="8" t="str">
        <f t="shared" si="2"/>
        <v/>
      </c>
      <c r="O36" s="9" t="str">
        <f>IFERROR(VLOOKUP($G36,'GASTOS EJER. 3'!$DW$9:$DX$63,2,FALSE),"")</f>
        <v/>
      </c>
      <c r="Q36" s="8" t="str">
        <f t="shared" si="3"/>
        <v/>
      </c>
      <c r="R36" s="9" t="str">
        <f>IFERROR(VLOOKUP($G36,'GASTOS EJER. 4'!$DW$9:$DX$63,2,FALSE),"")</f>
        <v/>
      </c>
    </row>
    <row r="37" spans="7:18" ht="30" customHeight="1" x14ac:dyDescent="0.25">
      <c r="G37" s="8">
        <v>25</v>
      </c>
      <c r="H37" s="8" t="str">
        <f t="shared" si="0"/>
        <v/>
      </c>
      <c r="I37" s="9" t="str">
        <f>IFERROR(VLOOKUP($G37,'GASTOS EJER. 1'!$DW$9:$DX$63,2,FALSE),"")</f>
        <v/>
      </c>
      <c r="K37" s="8" t="str">
        <f t="shared" si="1"/>
        <v/>
      </c>
      <c r="L37" s="9" t="str">
        <f>IFERROR(VLOOKUP($G37,'GASTOS EJER. 2'!$DW$9:$DX$63,2,FALSE),"")</f>
        <v/>
      </c>
      <c r="N37" s="8" t="str">
        <f t="shared" si="2"/>
        <v/>
      </c>
      <c r="O37" s="9" t="str">
        <f>IFERROR(VLOOKUP($G37,'GASTOS EJER. 3'!$DW$9:$DX$63,2,FALSE),"")</f>
        <v/>
      </c>
      <c r="Q37" s="8" t="str">
        <f t="shared" si="3"/>
        <v/>
      </c>
      <c r="R37" s="9" t="str">
        <f>IFERROR(VLOOKUP($G37,'GASTOS EJER. 4'!$DW$9:$DX$63,2,FALSE),"")</f>
        <v/>
      </c>
    </row>
    <row r="38" spans="7:18" ht="30" customHeight="1" x14ac:dyDescent="0.25">
      <c r="G38" s="8">
        <v>26</v>
      </c>
      <c r="H38" s="8" t="str">
        <f t="shared" si="0"/>
        <v/>
      </c>
      <c r="I38" s="9" t="str">
        <f>IFERROR(VLOOKUP($G38,'GASTOS EJER. 1'!$DW$9:$DX$63,2,FALSE),"")</f>
        <v/>
      </c>
      <c r="K38" s="8" t="str">
        <f t="shared" si="1"/>
        <v/>
      </c>
      <c r="L38" s="9" t="str">
        <f>IFERROR(VLOOKUP($G38,'GASTOS EJER. 2'!$DW$9:$DX$63,2,FALSE),"")</f>
        <v/>
      </c>
      <c r="N38" s="8" t="str">
        <f t="shared" si="2"/>
        <v/>
      </c>
      <c r="O38" s="9" t="str">
        <f>IFERROR(VLOOKUP($G38,'GASTOS EJER. 3'!$DW$9:$DX$63,2,FALSE),"")</f>
        <v/>
      </c>
      <c r="Q38" s="8" t="str">
        <f t="shared" si="3"/>
        <v/>
      </c>
      <c r="R38" s="9" t="str">
        <f>IFERROR(VLOOKUP($G38,'GASTOS EJER. 4'!$DW$9:$DX$63,2,FALSE),"")</f>
        <v/>
      </c>
    </row>
    <row r="39" spans="7:18" ht="30" customHeight="1" x14ac:dyDescent="0.25">
      <c r="G39" s="8">
        <v>27</v>
      </c>
      <c r="H39" s="8" t="str">
        <f t="shared" si="0"/>
        <v/>
      </c>
      <c r="I39" s="9" t="str">
        <f>IFERROR(VLOOKUP($G39,'GASTOS EJER. 1'!$DW$9:$DX$63,2,FALSE),"")</f>
        <v/>
      </c>
      <c r="K39" s="8" t="str">
        <f t="shared" si="1"/>
        <v/>
      </c>
      <c r="L39" s="9" t="str">
        <f>IFERROR(VLOOKUP($G39,'GASTOS EJER. 2'!$DW$9:$DX$63,2,FALSE),"")</f>
        <v/>
      </c>
      <c r="N39" s="8" t="str">
        <f t="shared" si="2"/>
        <v/>
      </c>
      <c r="O39" s="9" t="str">
        <f>IFERROR(VLOOKUP($G39,'GASTOS EJER. 3'!$DW$9:$DX$63,2,FALSE),"")</f>
        <v/>
      </c>
      <c r="Q39" s="8" t="str">
        <f t="shared" si="3"/>
        <v/>
      </c>
      <c r="R39" s="9" t="str">
        <f>IFERROR(VLOOKUP($G39,'GASTOS EJER. 4'!$DW$9:$DX$63,2,FALSE),"")</f>
        <v/>
      </c>
    </row>
    <row r="40" spans="7:18" ht="30" customHeight="1" x14ac:dyDescent="0.25">
      <c r="G40" s="8">
        <v>28</v>
      </c>
      <c r="H40" s="8" t="str">
        <f t="shared" si="0"/>
        <v/>
      </c>
      <c r="I40" s="9" t="str">
        <f>IFERROR(VLOOKUP($G40,'GASTOS EJER. 1'!$DW$9:$DX$63,2,FALSE),"")</f>
        <v/>
      </c>
      <c r="K40" s="8" t="str">
        <f t="shared" si="1"/>
        <v/>
      </c>
      <c r="L40" s="9" t="str">
        <f>IFERROR(VLOOKUP($G40,'GASTOS EJER. 2'!$DW$9:$DX$63,2,FALSE),"")</f>
        <v/>
      </c>
      <c r="N40" s="8" t="str">
        <f t="shared" si="2"/>
        <v/>
      </c>
      <c r="O40" s="9" t="str">
        <f>IFERROR(VLOOKUP($G40,'GASTOS EJER. 3'!$DW$9:$DX$63,2,FALSE),"")</f>
        <v/>
      </c>
      <c r="Q40" s="8" t="str">
        <f t="shared" si="3"/>
        <v/>
      </c>
      <c r="R40" s="9" t="str">
        <f>IFERROR(VLOOKUP($G40,'GASTOS EJER. 4'!$DW$9:$DX$63,2,FALSE),"")</f>
        <v/>
      </c>
    </row>
    <row r="41" spans="7:18" ht="30" customHeight="1" x14ac:dyDescent="0.25">
      <c r="G41" s="8">
        <v>29</v>
      </c>
      <c r="H41" s="8" t="str">
        <f t="shared" si="0"/>
        <v/>
      </c>
      <c r="I41" s="9" t="str">
        <f>IFERROR(VLOOKUP($G41,'GASTOS EJER. 1'!$DW$9:$DX$63,2,FALSE),"")</f>
        <v/>
      </c>
      <c r="K41" s="8" t="str">
        <f t="shared" si="1"/>
        <v/>
      </c>
      <c r="L41" s="9" t="str">
        <f>IFERROR(VLOOKUP($G41,'GASTOS EJER. 2'!$DW$9:$DX$63,2,FALSE),"")</f>
        <v/>
      </c>
      <c r="N41" s="8" t="str">
        <f t="shared" si="2"/>
        <v/>
      </c>
      <c r="O41" s="9" t="str">
        <f>IFERROR(VLOOKUP($G41,'GASTOS EJER. 3'!$DW$9:$DX$63,2,FALSE),"")</f>
        <v/>
      </c>
      <c r="Q41" s="8" t="str">
        <f t="shared" si="3"/>
        <v/>
      </c>
      <c r="R41" s="9" t="str">
        <f>IFERROR(VLOOKUP($G41,'GASTOS EJER. 4'!$DW$9:$DX$63,2,FALSE),"")</f>
        <v/>
      </c>
    </row>
    <row r="42" spans="7:18" ht="30" customHeight="1" x14ac:dyDescent="0.25">
      <c r="G42" s="8">
        <v>30</v>
      </c>
      <c r="H42" s="8" t="str">
        <f t="shared" si="0"/>
        <v/>
      </c>
      <c r="I42" s="9" t="str">
        <f>IFERROR(VLOOKUP($G42,'GASTOS EJER. 1'!$DW$9:$DX$63,2,FALSE),"")</f>
        <v/>
      </c>
      <c r="K42" s="8" t="str">
        <f t="shared" si="1"/>
        <v/>
      </c>
      <c r="L42" s="9" t="str">
        <f>IFERROR(VLOOKUP($G42,'GASTOS EJER. 2'!$DW$9:$DX$63,2,FALSE),"")</f>
        <v/>
      </c>
      <c r="N42" s="8" t="str">
        <f t="shared" si="2"/>
        <v/>
      </c>
      <c r="O42" s="9" t="str">
        <f>IFERROR(VLOOKUP($G42,'GASTOS EJER. 3'!$DW$9:$DX$63,2,FALSE),"")</f>
        <v/>
      </c>
      <c r="Q42" s="8" t="str">
        <f t="shared" si="3"/>
        <v/>
      </c>
      <c r="R42" s="9" t="str">
        <f>IFERROR(VLOOKUP($G42,'GASTOS EJER. 4'!$DW$9:$DX$63,2,FALSE),"")</f>
        <v/>
      </c>
    </row>
    <row r="43" spans="7:18" ht="30" customHeight="1" x14ac:dyDescent="0.25">
      <c r="G43" s="8">
        <v>31</v>
      </c>
      <c r="H43" s="8" t="str">
        <f t="shared" si="0"/>
        <v/>
      </c>
      <c r="I43" s="9" t="str">
        <f>IFERROR(VLOOKUP($G43,'GASTOS EJER. 1'!$DW$9:$DX$63,2,FALSE),"")</f>
        <v/>
      </c>
      <c r="K43" s="8" t="str">
        <f t="shared" si="1"/>
        <v/>
      </c>
      <c r="L43" s="9" t="str">
        <f>IFERROR(VLOOKUP($G43,'GASTOS EJER. 2'!$DW$9:$DX$63,2,FALSE),"")</f>
        <v/>
      </c>
      <c r="N43" s="8" t="str">
        <f t="shared" si="2"/>
        <v/>
      </c>
      <c r="O43" s="9" t="str">
        <f>IFERROR(VLOOKUP($G43,'GASTOS EJER. 3'!$DW$9:$DX$63,2,FALSE),"")</f>
        <v/>
      </c>
      <c r="Q43" s="8" t="str">
        <f t="shared" si="3"/>
        <v/>
      </c>
      <c r="R43" s="9" t="str">
        <f>IFERROR(VLOOKUP($G43,'GASTOS EJER. 4'!$DW$9:$DX$63,2,FALSE),"")</f>
        <v/>
      </c>
    </row>
    <row r="44" spans="7:18" ht="30" customHeight="1" x14ac:dyDescent="0.25">
      <c r="G44" s="8">
        <v>32</v>
      </c>
      <c r="H44" s="8" t="str">
        <f t="shared" si="0"/>
        <v/>
      </c>
      <c r="I44" s="9" t="str">
        <f>IFERROR(VLOOKUP($G44,'GASTOS EJER. 1'!$DW$9:$DX$63,2,FALSE),"")</f>
        <v/>
      </c>
      <c r="K44" s="8" t="str">
        <f t="shared" si="1"/>
        <v/>
      </c>
      <c r="L44" s="9" t="str">
        <f>IFERROR(VLOOKUP($G44,'GASTOS EJER. 2'!$DW$9:$DX$63,2,FALSE),"")</f>
        <v/>
      </c>
      <c r="N44" s="8" t="str">
        <f t="shared" si="2"/>
        <v/>
      </c>
      <c r="O44" s="9" t="str">
        <f>IFERROR(VLOOKUP($G44,'GASTOS EJER. 3'!$DW$9:$DX$63,2,FALSE),"")</f>
        <v/>
      </c>
      <c r="Q44" s="8" t="str">
        <f t="shared" si="3"/>
        <v/>
      </c>
      <c r="R44" s="9" t="str">
        <f>IFERROR(VLOOKUP($G44,'GASTOS EJER. 4'!$DW$9:$DX$63,2,FALSE),"")</f>
        <v/>
      </c>
    </row>
    <row r="45" spans="7:18" ht="30" customHeight="1" x14ac:dyDescent="0.25">
      <c r="G45" s="8">
        <v>33</v>
      </c>
      <c r="H45" s="8" t="str">
        <f t="shared" si="0"/>
        <v/>
      </c>
      <c r="I45" s="9" t="str">
        <f>IFERROR(VLOOKUP($G45,'GASTOS EJER. 1'!$DW$9:$DX$63,2,FALSE),"")</f>
        <v/>
      </c>
      <c r="K45" s="8" t="str">
        <f t="shared" si="1"/>
        <v/>
      </c>
      <c r="L45" s="9" t="str">
        <f>IFERROR(VLOOKUP($G45,'GASTOS EJER. 2'!$DW$9:$DX$63,2,FALSE),"")</f>
        <v/>
      </c>
      <c r="N45" s="8" t="str">
        <f t="shared" si="2"/>
        <v/>
      </c>
      <c r="O45" s="9" t="str">
        <f>IFERROR(VLOOKUP($G45,'GASTOS EJER. 3'!$DW$9:$DX$63,2,FALSE),"")</f>
        <v/>
      </c>
      <c r="Q45" s="8" t="str">
        <f t="shared" si="3"/>
        <v/>
      </c>
      <c r="R45" s="9" t="str">
        <f>IFERROR(VLOOKUP($G45,'GASTOS EJER. 4'!$DW$9:$DX$63,2,FALSE),"")</f>
        <v/>
      </c>
    </row>
    <row r="46" spans="7:18" x14ac:dyDescent="0.25">
      <c r="G46" s="8">
        <v>34</v>
      </c>
      <c r="H46" s="8" t="str">
        <f t="shared" si="0"/>
        <v/>
      </c>
      <c r="I46" s="9" t="str">
        <f>IFERROR(VLOOKUP($G46,'GASTOS EJER. 1'!$DW$9:$DX$63,2,FALSE),"")</f>
        <v/>
      </c>
      <c r="K46" s="8" t="str">
        <f t="shared" si="1"/>
        <v/>
      </c>
      <c r="L46" s="9" t="str">
        <f>IFERROR(VLOOKUP($G46,'GASTOS EJER. 2'!$DW$9:$DX$63,2,FALSE),"")</f>
        <v/>
      </c>
      <c r="N46" s="8" t="str">
        <f t="shared" si="2"/>
        <v/>
      </c>
      <c r="O46" s="9" t="str">
        <f>IFERROR(VLOOKUP($G46,'GASTOS EJER. 3'!$DW$9:$DX$63,2,FALSE),"")</f>
        <v/>
      </c>
      <c r="Q46" s="8" t="str">
        <f t="shared" si="3"/>
        <v/>
      </c>
      <c r="R46" s="9" t="str">
        <f>IFERROR(VLOOKUP($G46,'GASTOS EJER. 4'!$DW$9:$DX$63,2,FALSE),"")</f>
        <v/>
      </c>
    </row>
    <row r="47" spans="7:18" x14ac:dyDescent="0.25">
      <c r="G47" s="8">
        <v>35</v>
      </c>
      <c r="H47" s="8" t="str">
        <f t="shared" si="0"/>
        <v/>
      </c>
      <c r="I47" s="9" t="str">
        <f>IFERROR(VLOOKUP($G47,'GASTOS EJER. 1'!$DW$9:$DX$63,2,FALSE),"")</f>
        <v/>
      </c>
      <c r="K47" s="8" t="str">
        <f t="shared" si="1"/>
        <v/>
      </c>
      <c r="L47" s="9" t="str">
        <f>IFERROR(VLOOKUP($G47,'GASTOS EJER. 2'!$DW$9:$DX$63,2,FALSE),"")</f>
        <v/>
      </c>
      <c r="N47" s="8" t="str">
        <f t="shared" si="2"/>
        <v/>
      </c>
      <c r="O47" s="9" t="str">
        <f>IFERROR(VLOOKUP($G47,'GASTOS EJER. 3'!$DW$9:$DX$63,2,FALSE),"")</f>
        <v/>
      </c>
      <c r="Q47" s="8" t="str">
        <f t="shared" si="3"/>
        <v/>
      </c>
      <c r="R47" s="9" t="str">
        <f>IFERROR(VLOOKUP($G47,'GASTOS EJER. 4'!$DW$9:$DX$63,2,FALSE),"")</f>
        <v/>
      </c>
    </row>
    <row r="48" spans="7:18" x14ac:dyDescent="0.25">
      <c r="G48" s="8">
        <v>36</v>
      </c>
      <c r="H48" s="8" t="str">
        <f t="shared" si="0"/>
        <v/>
      </c>
      <c r="I48" s="9" t="str">
        <f>IFERROR(VLOOKUP($G48,'GASTOS EJER. 1'!$DW$9:$DX$63,2,FALSE),"")</f>
        <v/>
      </c>
      <c r="K48" s="8" t="str">
        <f t="shared" si="1"/>
        <v/>
      </c>
      <c r="L48" s="9" t="str">
        <f>IFERROR(VLOOKUP($G48,'GASTOS EJER. 2'!$DW$9:$DX$63,2,FALSE),"")</f>
        <v/>
      </c>
      <c r="N48" s="8" t="str">
        <f t="shared" si="2"/>
        <v/>
      </c>
      <c r="O48" s="9" t="str">
        <f>IFERROR(VLOOKUP($G48,'GASTOS EJER. 3'!$DW$9:$DX$63,2,FALSE),"")</f>
        <v/>
      </c>
      <c r="Q48" s="8" t="str">
        <f t="shared" si="3"/>
        <v/>
      </c>
      <c r="R48" s="9" t="str">
        <f>IFERROR(VLOOKUP($G48,'GASTOS EJER. 4'!$DW$9:$DX$63,2,FALSE),"")</f>
        <v/>
      </c>
    </row>
    <row r="49" spans="7:18" x14ac:dyDescent="0.25">
      <c r="G49" s="8">
        <v>37</v>
      </c>
      <c r="H49" s="8" t="str">
        <f t="shared" si="0"/>
        <v/>
      </c>
      <c r="I49" s="9" t="str">
        <f>IFERROR(VLOOKUP($G49,'GASTOS EJER. 1'!$DW$9:$DX$63,2,FALSE),"")</f>
        <v/>
      </c>
      <c r="K49" s="8" t="str">
        <f t="shared" si="1"/>
        <v/>
      </c>
      <c r="L49" s="9" t="str">
        <f>IFERROR(VLOOKUP($G49,'GASTOS EJER. 2'!$DW$9:$DX$63,2,FALSE),"")</f>
        <v/>
      </c>
      <c r="N49" s="8" t="str">
        <f t="shared" si="2"/>
        <v/>
      </c>
      <c r="O49" s="9" t="str">
        <f>IFERROR(VLOOKUP($G49,'GASTOS EJER. 3'!$DW$9:$DX$63,2,FALSE),"")</f>
        <v/>
      </c>
      <c r="Q49" s="8" t="str">
        <f t="shared" si="3"/>
        <v/>
      </c>
      <c r="R49" s="9" t="str">
        <f>IFERROR(VLOOKUP($G49,'GASTOS EJER. 4'!$DW$9:$DX$63,2,FALSE),"")</f>
        <v/>
      </c>
    </row>
    <row r="50" spans="7:18" x14ac:dyDescent="0.25">
      <c r="G50" s="8">
        <v>38</v>
      </c>
      <c r="H50" s="8" t="str">
        <f t="shared" si="0"/>
        <v/>
      </c>
      <c r="I50" s="9" t="str">
        <f>IFERROR(VLOOKUP($G50,'GASTOS EJER. 1'!$DW$9:$DX$63,2,FALSE),"")</f>
        <v/>
      </c>
      <c r="K50" s="8" t="str">
        <f t="shared" si="1"/>
        <v/>
      </c>
      <c r="L50" s="9" t="str">
        <f>IFERROR(VLOOKUP($G50,'GASTOS EJER. 2'!$DW$9:$DX$63,2,FALSE),"")</f>
        <v/>
      </c>
      <c r="N50" s="8" t="str">
        <f t="shared" si="2"/>
        <v/>
      </c>
      <c r="O50" s="9" t="str">
        <f>IFERROR(VLOOKUP($G50,'GASTOS EJER. 3'!$DW$9:$DX$63,2,FALSE),"")</f>
        <v/>
      </c>
      <c r="Q50" s="8" t="str">
        <f t="shared" si="3"/>
        <v/>
      </c>
      <c r="R50" s="9" t="str">
        <f>IFERROR(VLOOKUP($G50,'GASTOS EJER. 4'!$DW$9:$DX$63,2,FALSE),"")</f>
        <v/>
      </c>
    </row>
  </sheetData>
  <sheetProtection algorithmName="SHA-512" hashValue="zfeepVCTEax/HjHEcM4bys1ajMpEegwO/9DsUOos5LVRTH2BN1mu7OnRhwyNRDnWqQHinCZfhSnHlCnvA3MzwQ==" saltValue="yArhdrRFY5dQ8gs9hQTzmw==" spinCount="100000" sheet="1" objects="1" scenarios="1"/>
  <mergeCells count="4">
    <mergeCell ref="H11:I11"/>
    <mergeCell ref="K11:L11"/>
    <mergeCell ref="N11:O11"/>
    <mergeCell ref="Q11:R11"/>
  </mergeCells>
  <conditionalFormatting sqref="B14:E14">
    <cfRule type="expression" dxfId="8" priority="3">
      <formula>$B$14&lt;&gt;""</formula>
    </cfRule>
  </conditionalFormatting>
  <conditionalFormatting sqref="B15:E15">
    <cfRule type="expression" dxfId="7" priority="4">
      <formula>$B$15&lt;&gt;""</formula>
    </cfRule>
  </conditionalFormatting>
  <conditionalFormatting sqref="B16:E16">
    <cfRule type="expression" dxfId="6" priority="5">
      <formula>$B$16&lt;&gt;""</formula>
    </cfRule>
  </conditionalFormatting>
  <conditionalFormatting sqref="H13:I50">
    <cfRule type="expression" dxfId="4" priority="6">
      <formula>$I13&lt;&gt;""</formula>
    </cfRule>
  </conditionalFormatting>
  <conditionalFormatting sqref="K13:L50">
    <cfRule type="expression" dxfId="3" priority="8">
      <formula>$L13&lt;&gt;""</formula>
    </cfRule>
  </conditionalFormatting>
  <conditionalFormatting sqref="N13:O50">
    <cfRule type="expression" dxfId="2" priority="9">
      <formula>$O13&lt;&gt;""</formula>
    </cfRule>
  </conditionalFormatting>
  <conditionalFormatting sqref="Q13:R50">
    <cfRule type="expression" dxfId="1" priority="14">
      <formula>$R13&lt;&gt;""</formula>
    </cfRule>
  </conditionalFormatting>
  <printOptions horizontalCentered="1" verticalCentered="1"/>
  <pageMargins left="0.70866141732283472" right="0.70866141732283472" top="0.74803149606299213" bottom="0.74803149606299213" header="0.31496062992125984" footer="0.31496062992125984"/>
  <pageSetup paperSize="9" scale="64" fitToWidth="5" orientation="portrait" r:id="rId1"/>
  <colBreaks count="4" manualBreakCount="4">
    <brk id="5" max="44" man="1"/>
    <brk id="9" max="44" man="1"/>
    <brk id="12" max="44" man="1"/>
    <brk id="15" max="44" man="1"/>
  </colBreaks>
  <drawing r:id="rId2"/>
  <extLst>
    <ext xmlns:x14="http://schemas.microsoft.com/office/spreadsheetml/2009/9/main" uri="{78C0D931-6437-407d-A8EE-F0AAD7539E65}">
      <x14:conditionalFormattings>
        <x14:conditionalFormatting xmlns:xm="http://schemas.microsoft.com/office/excel/2006/main">
          <x14:cfRule type="expression" priority="1" stopIfTrue="1" id="{12A8E648-D213-4D94-9F81-9DF02416BA9E}">
            <xm:f>OR(USUARIO!$C$2="",AUXILIAR!$W$6&lt;&gt;USUARIO!$C$2)</xm:f>
            <x14:dxf>
              <font>
                <color theme="0"/>
              </font>
              <fill>
                <patternFill>
                  <bgColor theme="0"/>
                </patternFill>
              </fill>
              <border>
                <left/>
                <right/>
                <top/>
                <bottom/>
                <vertical/>
                <horizontal/>
              </border>
            </x14:dxf>
          </x14:cfRule>
          <xm:sqref>B1:R1 C2:R3 B4:R4 B5:D5 F5:R5 B6:R6 B7:D7 F7:R7 B8:R11 B13:R1048576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491A1-9D42-46A6-8A0E-54069675B253}">
  <sheetPr>
    <outlinePr summaryRight="0"/>
  </sheetPr>
  <dimension ref="A1:JK104"/>
  <sheetViews>
    <sheetView showGridLines="0" zoomScaleNormal="100" workbookViewId="0"/>
  </sheetViews>
  <sheetFormatPr baseColWidth="10" defaultColWidth="11.42578125" defaultRowHeight="15" outlineLevelCol="1" x14ac:dyDescent="0.3"/>
  <cols>
    <col min="1" max="1" width="5.5703125" style="472" customWidth="1" collapsed="1"/>
    <col min="2" max="2" width="10.7109375" style="8" hidden="1" customWidth="1" outlineLevel="1"/>
    <col min="3" max="3" width="5.7109375" style="8" hidden="1" customWidth="1" outlineLevel="1"/>
    <col min="4" max="4" width="11.42578125" style="8" hidden="1" customWidth="1" outlineLevel="1"/>
    <col min="5" max="5" width="5.7109375" style="8" hidden="1" customWidth="1" outlineLevel="1"/>
    <col min="6" max="6" width="125.7109375" style="6" hidden="1" customWidth="1" outlineLevel="1"/>
    <col min="7" max="9" width="30.7109375" style="6" hidden="1" customWidth="1" outlineLevel="1"/>
    <col min="10" max="12" width="5.7109375" style="8" hidden="1" customWidth="1" outlineLevel="1"/>
    <col min="13" max="13" width="10.7109375" style="8" hidden="1" customWidth="1" outlineLevel="1"/>
    <col min="14" max="14" width="5.7109375" style="6" hidden="1" customWidth="1" outlineLevel="1"/>
    <col min="15" max="15" width="27.85546875" style="6" hidden="1" customWidth="1" outlineLevel="1"/>
    <col min="16" max="16" width="30.7109375" style="6" hidden="1" customWidth="1" outlineLevel="1"/>
    <col min="17" max="17" width="5.7109375" style="6" hidden="1" customWidth="1" outlineLevel="1"/>
    <col min="18" max="18" width="37.7109375" style="6" hidden="1" customWidth="1" outlineLevel="1"/>
    <col min="19" max="19" width="11.28515625" style="6" hidden="1" customWidth="1" outlineLevel="1"/>
    <col min="20" max="20" width="8.7109375" style="6" hidden="1" customWidth="1" outlineLevel="1" collapsed="1"/>
    <col min="21" max="21" width="5.5703125" style="470" hidden="1" customWidth="1" outlineLevel="1"/>
    <col min="22" max="22" width="25.7109375" style="6" hidden="1" customWidth="1" outlineLevel="1"/>
    <col min="23" max="23" width="15.7109375" style="8" hidden="1" customWidth="1" outlineLevel="1"/>
    <col min="24" max="24" width="5.5703125" style="470" hidden="1" customWidth="1" outlineLevel="1"/>
    <col min="25" max="25" width="5.42578125" style="471" hidden="1" customWidth="1" outlineLevel="1"/>
    <col min="26" max="27" width="20.7109375" style="471" hidden="1" customWidth="1" outlineLevel="1"/>
    <col min="28" max="31" width="20.7109375" style="470" hidden="1" customWidth="1" outlineLevel="1"/>
    <col min="32" max="32" width="5.7109375" style="471" hidden="1" customWidth="1" outlineLevel="1" collapsed="1"/>
    <col min="33" max="33" width="10.7109375" style="8" hidden="1" customWidth="1" outlineLevel="1"/>
    <col min="34" max="37" width="15.7109375" style="6" hidden="1" customWidth="1" outlineLevel="1"/>
    <col min="38" max="38" width="5.7109375" style="6" hidden="1" customWidth="1" outlineLevel="1"/>
    <col min="39" max="52" width="11.42578125" style="6" hidden="1" customWidth="1" outlineLevel="1"/>
    <col min="53" max="53" width="5.7109375" style="6" hidden="1" customWidth="1" outlineLevel="1"/>
    <col min="54" max="54" width="5.7109375" style="8" hidden="1" customWidth="1" outlineLevel="1"/>
    <col min="55" max="64" width="11.42578125" style="6" hidden="1" customWidth="1" outlineLevel="1"/>
    <col min="65" max="65" width="5.7109375" style="6" hidden="1" customWidth="1" outlineLevel="1"/>
    <col min="66" max="74" width="11.42578125" style="6" hidden="1" customWidth="1" outlineLevel="1"/>
    <col min="75" max="75" width="5.7109375" style="6" hidden="1" customWidth="1" outlineLevel="1"/>
    <col min="76" max="76" width="11.42578125" style="6" hidden="1" customWidth="1" outlineLevel="1"/>
    <col min="77" max="77" width="5.7109375" style="471" hidden="1" customWidth="1" outlineLevel="1" collapsed="1"/>
    <col min="78" max="78" width="10.7109375" style="8" hidden="1" customWidth="1" outlineLevel="1"/>
    <col min="79" max="82" width="15.7109375" style="6" hidden="1" customWidth="1" outlineLevel="1"/>
    <col min="83" max="83" width="5.7109375" style="6" hidden="1" customWidth="1" outlineLevel="1"/>
    <col min="84" max="97" width="11.42578125" style="6" hidden="1" customWidth="1" outlineLevel="1"/>
    <col min="98" max="98" width="5.7109375" style="6" hidden="1" customWidth="1" outlineLevel="1"/>
    <col min="99" max="99" width="5.7109375" style="8" hidden="1" customWidth="1" outlineLevel="1"/>
    <col min="100" max="109" width="11.42578125" style="6" hidden="1" customWidth="1" outlineLevel="1"/>
    <col min="110" max="110" width="5.7109375" style="6" hidden="1" customWidth="1" outlineLevel="1"/>
    <col min="111" max="119" width="11.42578125" style="6" hidden="1" customWidth="1" outlineLevel="1"/>
    <col min="120" max="120" width="5.7109375" style="6" hidden="1" customWidth="1" outlineLevel="1"/>
    <col min="121" max="121" width="11.42578125" style="6" hidden="1" customWidth="1" outlineLevel="1"/>
    <col min="122" max="122" width="5.7109375" style="6" hidden="1" customWidth="1" outlineLevel="1" collapsed="1"/>
    <col min="123" max="123" width="5.7109375" style="6" hidden="1" customWidth="1" outlineLevel="1"/>
    <col min="124" max="124" width="20.7109375" style="6" hidden="1" customWidth="1" outlineLevel="1"/>
    <col min="125" max="126" width="11.28515625" style="8" hidden="1" customWidth="1" outlineLevel="1"/>
    <col min="127" max="127" width="10.28515625" style="8" hidden="1" customWidth="1" outlineLevel="1"/>
    <col min="128" max="130" width="11.42578125" style="6" hidden="1" customWidth="1" outlineLevel="1"/>
    <col min="131" max="131" width="14.28515625" style="6" hidden="1" customWidth="1" outlineLevel="1"/>
    <col min="132" max="133" width="5.7109375" style="6" hidden="1" customWidth="1" outlineLevel="1"/>
    <col min="134" max="135" width="10.7109375" style="8" hidden="1" customWidth="1" outlineLevel="1"/>
    <col min="136" max="136" width="9.42578125" style="8" hidden="1" customWidth="1" outlineLevel="1"/>
    <col min="137" max="169" width="9.7109375" style="6" hidden="1" customWidth="1" outlineLevel="1"/>
    <col min="170" max="170" width="5.7109375" style="6" hidden="1" customWidth="1" outlineLevel="1"/>
    <col min="171" max="172" width="9.7109375" style="6" hidden="1" customWidth="1" outlineLevel="1"/>
    <col min="173" max="173" width="11.42578125" style="6" hidden="1" customWidth="1" outlineLevel="1"/>
    <col min="174" max="177" width="15.7109375" style="6" hidden="1" customWidth="1" outlineLevel="1"/>
    <col min="178" max="178" width="5.7109375" style="6" hidden="1" customWidth="1" outlineLevel="1" collapsed="1"/>
    <col min="179" max="179" width="5.7109375" style="6" hidden="1" customWidth="1" outlineLevel="1"/>
    <col min="180" max="180" width="20.7109375" style="6" hidden="1" customWidth="1" outlineLevel="1"/>
    <col min="181" max="182" width="11.28515625" style="8" hidden="1" customWidth="1" outlineLevel="1"/>
    <col min="183" max="183" width="10.28515625" style="8" hidden="1" customWidth="1" outlineLevel="1"/>
    <col min="184" max="186" width="11.42578125" style="6" hidden="1" customWidth="1" outlineLevel="1"/>
    <col min="187" max="187" width="14.28515625" style="6" hidden="1" customWidth="1" outlineLevel="1"/>
    <col min="188" max="189" width="5.7109375" style="6" hidden="1" customWidth="1" outlineLevel="1"/>
    <col min="190" max="191" width="10.7109375" style="8" hidden="1" customWidth="1" outlineLevel="1"/>
    <col min="192" max="192" width="9.42578125" style="8" hidden="1" customWidth="1" outlineLevel="1"/>
    <col min="193" max="225" width="9.7109375" style="6" hidden="1" customWidth="1" outlineLevel="1"/>
    <col min="226" max="227" width="5.7109375" style="6" hidden="1" customWidth="1" outlineLevel="1"/>
    <col min="228" max="229" width="9.7109375" style="6" hidden="1" customWidth="1" outlineLevel="1"/>
    <col min="230" max="230" width="11.42578125" style="6" hidden="1" customWidth="1" outlineLevel="1"/>
    <col min="231" max="234" width="15.7109375" style="6" hidden="1" customWidth="1" outlineLevel="1"/>
    <col min="235" max="235" width="5.7109375" style="6" hidden="1" customWidth="1" outlineLevel="1" collapsed="1"/>
    <col min="236" max="236" width="5.7109375" style="470" hidden="1" customWidth="1" outlineLevel="1"/>
    <col min="237" max="238" width="10.7109375" style="471" hidden="1" customWidth="1" outlineLevel="1"/>
    <col min="239" max="239" width="40.7109375" style="470" hidden="1" customWidth="1" outlineLevel="1"/>
    <col min="240" max="240" width="11.42578125" style="470" hidden="1" customWidth="1" outlineLevel="1"/>
    <col min="241" max="241" width="5.7109375" style="471" hidden="1" customWidth="1" outlineLevel="1"/>
    <col min="242" max="243" width="5.7109375" style="470" hidden="1" customWidth="1" outlineLevel="1"/>
    <col min="244" max="245" width="5.7109375" style="471" hidden="1" customWidth="1" outlineLevel="1"/>
    <col min="246" max="247" width="10.7109375" style="471" hidden="1" customWidth="1" outlineLevel="1"/>
    <col min="248" max="248" width="40.7109375" style="470" hidden="1" customWidth="1" outlineLevel="1"/>
    <col min="249" max="249" width="11.42578125" style="470" hidden="1" customWidth="1" outlineLevel="1"/>
    <col min="250" max="250" width="5.7109375" style="470" hidden="1" customWidth="1" outlineLevel="1" collapsed="1"/>
    <col min="251" max="251" width="5.7109375" style="470" hidden="1" customWidth="1" outlineLevel="1"/>
    <col min="252" max="253" width="10.7109375" style="471" hidden="1" customWidth="1" outlineLevel="1"/>
    <col min="254" max="254" width="40.7109375" style="470" hidden="1" customWidth="1" outlineLevel="1"/>
    <col min="255" max="255" width="11.42578125" style="470" hidden="1" customWidth="1" outlineLevel="1"/>
    <col min="256" max="256" width="5.7109375" style="471" hidden="1" customWidth="1" outlineLevel="1"/>
    <col min="257" max="258" width="5.7109375" style="470" hidden="1" customWidth="1" outlineLevel="1"/>
    <col min="259" max="260" width="5.7109375" style="471" hidden="1" customWidth="1" outlineLevel="1"/>
    <col min="261" max="262" width="10.7109375" style="471" hidden="1" customWidth="1" outlineLevel="1"/>
    <col min="263" max="263" width="40.7109375" style="470" hidden="1" customWidth="1" outlineLevel="1"/>
    <col min="264" max="264" width="11.42578125" style="470" hidden="1" customWidth="1" outlineLevel="1"/>
    <col min="265" max="265" width="5.7109375" style="470" hidden="1" customWidth="1" outlineLevel="1" collapsed="1"/>
    <col min="266" max="267" width="11.42578125" style="471" hidden="1" customWidth="1" outlineLevel="1"/>
    <col min="268" max="270" width="11.42578125" style="470" hidden="1" customWidth="1" outlineLevel="1"/>
    <col min="271" max="271" width="11.42578125" style="470" collapsed="1"/>
    <col min="272" max="16384" width="11.42578125" style="470"/>
  </cols>
  <sheetData>
    <row r="1" spans="1:270" s="471" customFormat="1" ht="15.75" thickBot="1" x14ac:dyDescent="0.35">
      <c r="A1" s="626"/>
      <c r="B1" s="623" t="s">
        <v>334</v>
      </c>
      <c r="C1" s="623"/>
      <c r="D1" s="623"/>
      <c r="E1" s="623"/>
      <c r="F1" s="623"/>
      <c r="G1" s="623"/>
      <c r="H1" s="623"/>
      <c r="I1" s="623"/>
      <c r="J1" s="623"/>
      <c r="K1" s="623"/>
      <c r="L1" s="623"/>
      <c r="M1" s="623" t="s">
        <v>334</v>
      </c>
      <c r="N1" s="8"/>
      <c r="O1" s="623" t="s">
        <v>334</v>
      </c>
      <c r="P1" s="623"/>
      <c r="Q1" s="623"/>
      <c r="R1" s="623"/>
      <c r="S1" s="623" t="s">
        <v>334</v>
      </c>
      <c r="T1" s="8"/>
      <c r="V1" s="8"/>
      <c r="W1" s="8"/>
      <c r="Y1" s="624" t="s">
        <v>334</v>
      </c>
      <c r="Z1" s="624"/>
      <c r="AA1" s="624"/>
      <c r="AB1" s="624"/>
      <c r="AC1" s="624"/>
      <c r="AD1" s="624"/>
      <c r="AE1" s="624" t="s">
        <v>334</v>
      </c>
      <c r="AG1" s="623" t="s">
        <v>334</v>
      </c>
      <c r="AH1" s="623"/>
      <c r="AI1" s="623"/>
      <c r="AJ1" s="623"/>
      <c r="AK1" s="623"/>
      <c r="AL1" s="623"/>
      <c r="AM1" s="623"/>
      <c r="AN1" s="623"/>
      <c r="AO1" s="623"/>
      <c r="AP1" s="623"/>
      <c r="AQ1" s="623"/>
      <c r="AR1" s="623"/>
      <c r="AS1" s="623"/>
      <c r="AT1" s="623"/>
      <c r="AU1" s="623"/>
      <c r="AV1" s="623"/>
      <c r="AW1" s="623"/>
      <c r="AX1" s="623"/>
      <c r="AY1" s="623"/>
      <c r="AZ1" s="623"/>
      <c r="BA1" s="623"/>
      <c r="BB1" s="623"/>
      <c r="BC1" s="623"/>
      <c r="BD1" s="623"/>
      <c r="BE1" s="623"/>
      <c r="BF1" s="623"/>
      <c r="BG1" s="623"/>
      <c r="BH1" s="623"/>
      <c r="BI1" s="623"/>
      <c r="BJ1" s="623"/>
      <c r="BK1" s="623"/>
      <c r="BL1" s="623"/>
      <c r="BM1" s="623"/>
      <c r="BN1" s="623"/>
      <c r="BO1" s="623"/>
      <c r="BP1" s="623"/>
      <c r="BQ1" s="623"/>
      <c r="BR1" s="623"/>
      <c r="BS1" s="623"/>
      <c r="BT1" s="623"/>
      <c r="BU1" s="623"/>
      <c r="BV1" s="623"/>
      <c r="BW1" s="623"/>
      <c r="BX1" s="623" t="s">
        <v>334</v>
      </c>
      <c r="BY1" s="624"/>
      <c r="BZ1" s="623" t="s">
        <v>334</v>
      </c>
      <c r="CA1" s="623"/>
      <c r="CB1" s="623"/>
      <c r="CC1" s="623"/>
      <c r="CD1" s="623"/>
      <c r="CE1" s="623"/>
      <c r="CF1" s="623"/>
      <c r="CG1" s="623"/>
      <c r="CH1" s="623"/>
      <c r="CI1" s="623"/>
      <c r="CJ1" s="623"/>
      <c r="CK1" s="623"/>
      <c r="CL1" s="623"/>
      <c r="CM1" s="623"/>
      <c r="CN1" s="623"/>
      <c r="CO1" s="623"/>
      <c r="CP1" s="623"/>
      <c r="CQ1" s="623"/>
      <c r="CR1" s="623"/>
      <c r="CS1" s="623"/>
      <c r="CT1" s="623"/>
      <c r="CU1" s="623"/>
      <c r="CV1" s="623"/>
      <c r="CW1" s="623"/>
      <c r="CX1" s="623"/>
      <c r="CY1" s="623"/>
      <c r="CZ1" s="623"/>
      <c r="DA1" s="623"/>
      <c r="DB1" s="623"/>
      <c r="DC1" s="623"/>
      <c r="DD1" s="623"/>
      <c r="DE1" s="623"/>
      <c r="DF1" s="623"/>
      <c r="DG1" s="623"/>
      <c r="DH1" s="623"/>
      <c r="DI1" s="623"/>
      <c r="DJ1" s="623"/>
      <c r="DK1" s="623"/>
      <c r="DL1" s="623"/>
      <c r="DM1" s="623"/>
      <c r="DN1" s="623"/>
      <c r="DO1" s="623"/>
      <c r="DP1" s="623"/>
      <c r="DQ1" s="623" t="s">
        <v>334</v>
      </c>
      <c r="DR1" s="8"/>
      <c r="DS1" s="623" t="s">
        <v>335</v>
      </c>
      <c r="DT1" s="623"/>
      <c r="DU1" s="623"/>
      <c r="DV1" s="623"/>
      <c r="DW1" s="623"/>
      <c r="DX1" s="623"/>
      <c r="DY1" s="623"/>
      <c r="DZ1" s="623"/>
      <c r="EA1" s="623"/>
      <c r="EB1" s="623"/>
      <c r="EC1" s="623"/>
      <c r="ED1" s="623"/>
      <c r="EE1" s="623"/>
      <c r="EF1" s="623"/>
      <c r="EG1" s="623"/>
      <c r="EH1" s="623"/>
      <c r="EI1" s="623"/>
      <c r="EJ1" s="623"/>
      <c r="EK1" s="623"/>
      <c r="EL1" s="623"/>
      <c r="EM1" s="623"/>
      <c r="EN1" s="623"/>
      <c r="EO1" s="623"/>
      <c r="EP1" s="623"/>
      <c r="EQ1" s="623"/>
      <c r="ER1" s="623"/>
      <c r="ES1" s="623"/>
      <c r="ET1" s="623"/>
      <c r="EU1" s="623"/>
      <c r="EV1" s="623"/>
      <c r="EW1" s="623"/>
      <c r="EX1" s="623"/>
      <c r="EY1" s="623"/>
      <c r="EZ1" s="623"/>
      <c r="FA1" s="623"/>
      <c r="FB1" s="623"/>
      <c r="FC1" s="623"/>
      <c r="FD1" s="623"/>
      <c r="FE1" s="623"/>
      <c r="FF1" s="623"/>
      <c r="FG1" s="623"/>
      <c r="FH1" s="623"/>
      <c r="FI1" s="623"/>
      <c r="FJ1" s="623"/>
      <c r="FK1" s="623"/>
      <c r="FL1" s="623"/>
      <c r="FM1" s="623"/>
      <c r="FN1" s="623"/>
      <c r="FO1" s="623"/>
      <c r="FP1" s="623"/>
      <c r="FQ1" s="623"/>
      <c r="FR1" s="623"/>
      <c r="FS1" s="623"/>
      <c r="FT1" s="623"/>
      <c r="FU1" s="623" t="s">
        <v>334</v>
      </c>
      <c r="FV1" s="623"/>
      <c r="FW1" s="623" t="s">
        <v>334</v>
      </c>
      <c r="FX1" s="623"/>
      <c r="FY1" s="623"/>
      <c r="FZ1" s="623"/>
      <c r="GA1" s="623"/>
      <c r="GB1" s="623"/>
      <c r="GC1" s="623"/>
      <c r="GD1" s="623"/>
      <c r="GE1" s="623"/>
      <c r="GF1" s="623"/>
      <c r="GG1" s="623"/>
      <c r="GH1" s="623"/>
      <c r="GI1" s="623"/>
      <c r="GJ1" s="623"/>
      <c r="GK1" s="623"/>
      <c r="GL1" s="623"/>
      <c r="GM1" s="623"/>
      <c r="GN1" s="623"/>
      <c r="GO1" s="623"/>
      <c r="GP1" s="623"/>
      <c r="GQ1" s="623"/>
      <c r="GR1" s="623"/>
      <c r="GS1" s="623"/>
      <c r="GT1" s="623"/>
      <c r="GU1" s="623"/>
      <c r="GV1" s="623"/>
      <c r="GW1" s="623"/>
      <c r="GX1" s="623"/>
      <c r="GY1" s="623"/>
      <c r="GZ1" s="623"/>
      <c r="HA1" s="623"/>
      <c r="HB1" s="623"/>
      <c r="HC1" s="623"/>
      <c r="HD1" s="623"/>
      <c r="HE1" s="623"/>
      <c r="HF1" s="623"/>
      <c r="HG1" s="623"/>
      <c r="HH1" s="623"/>
      <c r="HI1" s="623"/>
      <c r="HJ1" s="623"/>
      <c r="HK1" s="623"/>
      <c r="HL1" s="623"/>
      <c r="HM1" s="623"/>
      <c r="HN1" s="623"/>
      <c r="HO1" s="623"/>
      <c r="HP1" s="623"/>
      <c r="HQ1" s="623"/>
      <c r="HR1" s="623"/>
      <c r="HS1" s="623"/>
      <c r="HT1" s="623"/>
      <c r="HU1" s="623"/>
      <c r="HV1" s="623"/>
      <c r="HW1" s="623"/>
      <c r="HX1" s="623"/>
      <c r="HY1" s="623"/>
      <c r="HZ1" s="623" t="s">
        <v>334</v>
      </c>
      <c r="IA1" s="8"/>
      <c r="IB1" s="624" t="s">
        <v>335</v>
      </c>
      <c r="IC1" s="624"/>
      <c r="ID1" s="624"/>
      <c r="IE1" s="624"/>
      <c r="IF1" s="624"/>
      <c r="IG1" s="624"/>
      <c r="IH1" s="624"/>
      <c r="II1" s="624"/>
      <c r="IJ1" s="624"/>
      <c r="IK1" s="624"/>
      <c r="IL1" s="624"/>
      <c r="IM1" s="624"/>
      <c r="IN1" s="624"/>
      <c r="IO1" s="624"/>
      <c r="IP1" s="624"/>
      <c r="IQ1" s="624"/>
      <c r="IR1" s="624"/>
      <c r="IS1" s="624"/>
      <c r="IT1" s="624"/>
      <c r="IU1" s="624"/>
      <c r="IV1" s="624"/>
      <c r="IW1" s="624"/>
      <c r="IX1" s="624"/>
      <c r="IY1" s="624"/>
      <c r="IZ1" s="624"/>
      <c r="JA1" s="624"/>
      <c r="JB1" s="624"/>
      <c r="JC1" s="624"/>
      <c r="JD1" s="624" t="s">
        <v>334</v>
      </c>
      <c r="JF1" s="624" t="s">
        <v>334</v>
      </c>
      <c r="JG1" s="624"/>
      <c r="JH1" s="624"/>
      <c r="JI1" s="624"/>
      <c r="JJ1" s="624" t="s">
        <v>334</v>
      </c>
    </row>
    <row r="2" spans="1:270" ht="15.75" thickBot="1" x14ac:dyDescent="0.35">
      <c r="DS2" s="1154" t="s">
        <v>336</v>
      </c>
      <c r="DT2" s="1154"/>
      <c r="DU2" s="1154"/>
      <c r="DV2" s="1154"/>
      <c r="DW2" s="1154"/>
      <c r="DX2" s="1154"/>
      <c r="DY2" s="1154"/>
      <c r="DZ2" s="1154"/>
      <c r="EA2" s="1154"/>
      <c r="EB2" s="1154"/>
      <c r="EC2" s="1154"/>
      <c r="ED2" s="1154"/>
      <c r="EE2" s="1154"/>
      <c r="EF2" s="1154"/>
      <c r="EG2" s="1154"/>
      <c r="EH2" s="1154"/>
      <c r="EI2" s="1154"/>
      <c r="EJ2" s="1154"/>
      <c r="EK2" s="1154"/>
      <c r="EL2" s="1154"/>
      <c r="EM2" s="1154"/>
      <c r="EN2" s="1154"/>
      <c r="EO2" s="1154"/>
      <c r="EP2" s="1154"/>
      <c r="EQ2" s="1154"/>
      <c r="ER2" s="1154"/>
      <c r="ES2" s="1154"/>
      <c r="ET2" s="1154"/>
      <c r="EU2" s="1154"/>
      <c r="EV2" s="1154"/>
      <c r="EW2" s="1154"/>
      <c r="EX2" s="1154"/>
      <c r="EY2" s="1154"/>
      <c r="EZ2" s="1154"/>
      <c r="FA2" s="1154"/>
      <c r="FB2" s="1154"/>
      <c r="FC2" s="1154"/>
      <c r="FD2" s="1154"/>
      <c r="FE2" s="1154"/>
      <c r="FF2" s="1154"/>
      <c r="FG2" s="1154"/>
      <c r="FH2" s="1154"/>
      <c r="FI2" s="1154"/>
      <c r="FJ2" s="1154"/>
      <c r="FK2" s="1154"/>
      <c r="FL2" s="1154"/>
      <c r="FM2" s="1154"/>
      <c r="FN2" s="1154"/>
      <c r="FO2" s="1154"/>
      <c r="FP2" s="1154"/>
      <c r="FQ2" s="1154"/>
      <c r="FR2" s="1154"/>
      <c r="FS2" s="1154"/>
      <c r="FT2" s="1154"/>
      <c r="FU2" s="1154"/>
      <c r="FW2" s="1153" t="s">
        <v>336</v>
      </c>
      <c r="FX2" s="1153"/>
      <c r="FY2" s="1153"/>
      <c r="FZ2" s="1153"/>
      <c r="GA2" s="1153"/>
      <c r="GB2" s="1153"/>
      <c r="GC2" s="1153"/>
      <c r="GD2" s="1153"/>
      <c r="GE2" s="1153"/>
      <c r="GF2" s="1153"/>
      <c r="GG2" s="1153"/>
      <c r="GH2" s="1153"/>
      <c r="GI2" s="1153"/>
      <c r="GJ2" s="1153"/>
      <c r="GK2" s="1153"/>
      <c r="GL2" s="1153"/>
      <c r="GM2" s="1153"/>
      <c r="GN2" s="1153"/>
      <c r="GO2" s="1153"/>
      <c r="GP2" s="1153"/>
      <c r="GQ2" s="1153"/>
      <c r="GR2" s="1153"/>
      <c r="GS2" s="1153"/>
      <c r="GT2" s="1153"/>
      <c r="GU2" s="1153"/>
      <c r="GV2" s="1153"/>
      <c r="GW2" s="1153"/>
      <c r="GX2" s="1153"/>
      <c r="GY2" s="1153"/>
      <c r="GZ2" s="1153"/>
      <c r="HA2" s="1153"/>
      <c r="HB2" s="1153"/>
      <c r="HC2" s="1153"/>
      <c r="HD2" s="1153"/>
      <c r="HE2" s="1153"/>
      <c r="HF2" s="1153"/>
      <c r="HG2" s="1153"/>
      <c r="HH2" s="1153"/>
      <c r="HI2" s="1153"/>
      <c r="HJ2" s="1153"/>
      <c r="HK2" s="1153"/>
      <c r="HL2" s="1153"/>
      <c r="HM2" s="1153"/>
      <c r="HN2" s="1153"/>
      <c r="HO2" s="1153"/>
      <c r="HP2" s="1153"/>
      <c r="HQ2" s="1153"/>
      <c r="HR2" s="1153"/>
      <c r="HS2" s="1153"/>
      <c r="HT2" s="1153"/>
      <c r="HU2" s="1153"/>
      <c r="HV2" s="1153"/>
      <c r="HW2" s="1153"/>
      <c r="HX2" s="1153"/>
      <c r="HY2" s="1153"/>
      <c r="HZ2" s="1153"/>
      <c r="IB2" s="1150" t="s">
        <v>337</v>
      </c>
      <c r="IC2" s="1151"/>
      <c r="ID2" s="1151"/>
      <c r="IE2" s="1151"/>
      <c r="IF2" s="1151"/>
      <c r="IG2" s="1151"/>
      <c r="IH2" s="1151"/>
      <c r="II2" s="1151"/>
      <c r="IJ2" s="1151"/>
      <c r="IK2" s="1151"/>
      <c r="IL2" s="1151"/>
      <c r="IM2" s="1151"/>
      <c r="IN2" s="1151"/>
      <c r="IO2" s="1152"/>
      <c r="IQ2" s="1215" t="s">
        <v>337</v>
      </c>
      <c r="IR2" s="1216"/>
      <c r="IS2" s="1216"/>
      <c r="IT2" s="1216"/>
      <c r="IU2" s="1216"/>
      <c r="IV2" s="1216"/>
      <c r="IW2" s="1216"/>
      <c r="IX2" s="1216"/>
      <c r="IY2" s="1216"/>
      <c r="IZ2" s="1216"/>
      <c r="JA2" s="1216"/>
      <c r="JB2" s="1216"/>
      <c r="JC2" s="1216"/>
      <c r="JD2" s="1217"/>
      <c r="JF2" s="1219" t="s">
        <v>338</v>
      </c>
      <c r="JG2" s="1220"/>
      <c r="JH2" s="1220"/>
      <c r="JI2" s="1220"/>
      <c r="JJ2" s="1221"/>
    </row>
    <row r="3" spans="1:270" ht="16.5" thickTop="1" thickBot="1" x14ac:dyDescent="0.35">
      <c r="B3" s="1117" t="s">
        <v>339</v>
      </c>
      <c r="C3" s="1118"/>
      <c r="D3" s="1118"/>
      <c r="E3" s="1118"/>
      <c r="F3" s="1118"/>
      <c r="G3" s="1118"/>
      <c r="H3" s="1118"/>
      <c r="I3" s="1118"/>
      <c r="J3" s="1118"/>
      <c r="K3" s="1118"/>
      <c r="L3" s="1118"/>
      <c r="M3" s="1119"/>
      <c r="O3" s="1117" t="s">
        <v>340</v>
      </c>
      <c r="P3" s="1119"/>
      <c r="R3" s="1117" t="s">
        <v>341</v>
      </c>
      <c r="S3" s="1119"/>
      <c r="V3" s="1117" t="s">
        <v>342</v>
      </c>
      <c r="W3" s="1119"/>
      <c r="Y3" s="1138" t="s">
        <v>343</v>
      </c>
      <c r="Z3" s="1139"/>
      <c r="AA3" s="1139"/>
      <c r="AB3" s="1139"/>
      <c r="AC3" s="1139"/>
      <c r="AD3" s="1139"/>
      <c r="AE3" s="1140"/>
      <c r="AG3" s="1144" t="s">
        <v>344</v>
      </c>
      <c r="AH3" s="1145"/>
      <c r="AI3" s="1145"/>
      <c r="AJ3" s="1145"/>
      <c r="AK3" s="1145"/>
      <c r="AL3" s="1145"/>
      <c r="AM3" s="1145"/>
      <c r="AN3" s="1145"/>
      <c r="AO3" s="1145"/>
      <c r="AP3" s="1145"/>
      <c r="AQ3" s="1145"/>
      <c r="AR3" s="1145"/>
      <c r="AS3" s="1145"/>
      <c r="AT3" s="1145"/>
      <c r="AU3" s="1145"/>
      <c r="AV3" s="1145"/>
      <c r="AW3" s="1145"/>
      <c r="AX3" s="1145"/>
      <c r="AY3" s="1145"/>
      <c r="AZ3" s="1145"/>
      <c r="BA3" s="1145"/>
      <c r="BB3" s="1145"/>
      <c r="BC3" s="1145"/>
      <c r="BD3" s="1145"/>
      <c r="BE3" s="1145"/>
      <c r="BF3" s="1145"/>
      <c r="BG3" s="1145"/>
      <c r="BH3" s="1145"/>
      <c r="BI3" s="1145"/>
      <c r="BJ3" s="1145"/>
      <c r="BK3" s="1145"/>
      <c r="BL3" s="1145"/>
      <c r="BM3" s="1145"/>
      <c r="BN3" s="1145"/>
      <c r="BO3" s="1145"/>
      <c r="BP3" s="1145"/>
      <c r="BQ3" s="1145"/>
      <c r="BR3" s="1145"/>
      <c r="BS3" s="1145"/>
      <c r="BT3" s="1145"/>
      <c r="BU3" s="1145"/>
      <c r="BV3" s="1145"/>
      <c r="BW3" s="1145"/>
      <c r="BX3" s="1146"/>
      <c r="BZ3" s="1231" t="s">
        <v>345</v>
      </c>
      <c r="CA3" s="1232"/>
      <c r="CB3" s="1232"/>
      <c r="CC3" s="1232"/>
      <c r="CD3" s="1232"/>
      <c r="CE3" s="1232"/>
      <c r="CF3" s="1232"/>
      <c r="CG3" s="1232"/>
      <c r="CH3" s="1232"/>
      <c r="CI3" s="1232"/>
      <c r="CJ3" s="1232"/>
      <c r="CK3" s="1232"/>
      <c r="CL3" s="1232"/>
      <c r="CM3" s="1232"/>
      <c r="CN3" s="1232"/>
      <c r="CO3" s="1232"/>
      <c r="CP3" s="1232"/>
      <c r="CQ3" s="1232"/>
      <c r="CR3" s="1232"/>
      <c r="CS3" s="1232"/>
      <c r="CT3" s="1232"/>
      <c r="CU3" s="1232"/>
      <c r="CV3" s="1232"/>
      <c r="CW3" s="1232"/>
      <c r="CX3" s="1232"/>
      <c r="CY3" s="1232"/>
      <c r="CZ3" s="1232"/>
      <c r="DA3" s="1232"/>
      <c r="DB3" s="1232"/>
      <c r="DC3" s="1232"/>
      <c r="DD3" s="1232"/>
      <c r="DE3" s="1232"/>
      <c r="DF3" s="1232"/>
      <c r="DG3" s="1232"/>
      <c r="DH3" s="1232"/>
      <c r="DI3" s="1232"/>
      <c r="DJ3" s="1232"/>
      <c r="DK3" s="1232"/>
      <c r="DL3" s="1232"/>
      <c r="DM3" s="1232"/>
      <c r="DN3" s="1232"/>
      <c r="DO3" s="1232"/>
      <c r="DP3" s="1232"/>
      <c r="DQ3" s="1233"/>
      <c r="ED3" s="473" t="s">
        <v>346</v>
      </c>
      <c r="GH3" s="473" t="s">
        <v>346</v>
      </c>
    </row>
    <row r="4" spans="1:270" ht="16.5" thickTop="1" thickBot="1" x14ac:dyDescent="0.35">
      <c r="AB4" s="471"/>
      <c r="AC4" s="471"/>
      <c r="AD4" s="471"/>
      <c r="AE4" s="471"/>
      <c r="DS4" s="470"/>
      <c r="ED4" s="1113" t="s">
        <v>347</v>
      </c>
      <c r="EE4" s="1113" t="s">
        <v>348</v>
      </c>
      <c r="EF4" s="1113" t="s">
        <v>349</v>
      </c>
      <c r="EG4" s="1110" t="s">
        <v>350</v>
      </c>
      <c r="EH4" s="1110" t="s">
        <v>351</v>
      </c>
      <c r="EI4" s="1110" t="s">
        <v>352</v>
      </c>
      <c r="EJ4" s="1110" t="s">
        <v>353</v>
      </c>
      <c r="EK4" s="1110" t="s">
        <v>354</v>
      </c>
      <c r="EL4" s="1110" t="s">
        <v>355</v>
      </c>
      <c r="EM4" s="1110" t="s">
        <v>356</v>
      </c>
      <c r="EN4" s="1110" t="s">
        <v>357</v>
      </c>
      <c r="EO4" s="1110" t="s">
        <v>358</v>
      </c>
      <c r="EP4" s="1110" t="s">
        <v>359</v>
      </c>
      <c r="EQ4" s="1110" t="s">
        <v>360</v>
      </c>
      <c r="ER4" s="1110" t="s">
        <v>361</v>
      </c>
      <c r="ES4" s="1110" t="s">
        <v>362</v>
      </c>
      <c r="ET4" s="1110" t="s">
        <v>363</v>
      </c>
      <c r="EU4" s="1110" t="s">
        <v>364</v>
      </c>
      <c r="EV4" s="1110" t="s">
        <v>365</v>
      </c>
      <c r="EW4" s="1110" t="s">
        <v>366</v>
      </c>
      <c r="EX4" s="1110" t="s">
        <v>367</v>
      </c>
      <c r="EY4" s="1110" t="s">
        <v>368</v>
      </c>
      <c r="EZ4" s="1110" t="s">
        <v>369</v>
      </c>
      <c r="FA4" s="1110" t="s">
        <v>370</v>
      </c>
      <c r="FB4" s="1110" t="s">
        <v>371</v>
      </c>
      <c r="FC4" s="1110" t="s">
        <v>372</v>
      </c>
      <c r="FD4" s="1110" t="s">
        <v>373</v>
      </c>
      <c r="FE4" s="1110" t="s">
        <v>374</v>
      </c>
      <c r="FF4" s="1110" t="s">
        <v>375</v>
      </c>
      <c r="FG4" s="1110" t="s">
        <v>376</v>
      </c>
      <c r="FH4" s="1110" t="s">
        <v>377</v>
      </c>
      <c r="FI4" s="1110" t="s">
        <v>378</v>
      </c>
      <c r="FJ4" s="1110" t="s">
        <v>379</v>
      </c>
      <c r="FK4" s="1110" t="s">
        <v>380</v>
      </c>
      <c r="FL4" s="1110" t="s">
        <v>381</v>
      </c>
      <c r="FM4" s="1112" t="s">
        <v>382</v>
      </c>
      <c r="FW4" s="470"/>
      <c r="GH4" s="1113" t="s">
        <v>347</v>
      </c>
      <c r="GI4" s="1113" t="s">
        <v>348</v>
      </c>
      <c r="GJ4" s="1113" t="s">
        <v>349</v>
      </c>
      <c r="GK4" s="1110" t="s">
        <v>350</v>
      </c>
      <c r="GL4" s="1110" t="s">
        <v>351</v>
      </c>
      <c r="GM4" s="1110" t="s">
        <v>352</v>
      </c>
      <c r="GN4" s="1110" t="s">
        <v>353</v>
      </c>
      <c r="GO4" s="1110" t="s">
        <v>354</v>
      </c>
      <c r="GP4" s="1110" t="s">
        <v>355</v>
      </c>
      <c r="GQ4" s="1110" t="s">
        <v>356</v>
      </c>
      <c r="GR4" s="1110" t="s">
        <v>357</v>
      </c>
      <c r="GS4" s="1110" t="s">
        <v>358</v>
      </c>
      <c r="GT4" s="1110" t="s">
        <v>359</v>
      </c>
      <c r="GU4" s="1110" t="s">
        <v>360</v>
      </c>
      <c r="GV4" s="1110" t="s">
        <v>361</v>
      </c>
      <c r="GW4" s="1110" t="s">
        <v>362</v>
      </c>
      <c r="GX4" s="1110" t="s">
        <v>363</v>
      </c>
      <c r="GY4" s="1110" t="s">
        <v>364</v>
      </c>
      <c r="GZ4" s="1110" t="s">
        <v>365</v>
      </c>
      <c r="HA4" s="1110" t="s">
        <v>366</v>
      </c>
      <c r="HB4" s="1110" t="s">
        <v>367</v>
      </c>
      <c r="HC4" s="1110" t="s">
        <v>368</v>
      </c>
      <c r="HD4" s="1110" t="s">
        <v>369</v>
      </c>
      <c r="HE4" s="1110" t="s">
        <v>370</v>
      </c>
      <c r="HF4" s="1110" t="s">
        <v>371</v>
      </c>
      <c r="HG4" s="1110" t="s">
        <v>372</v>
      </c>
      <c r="HH4" s="1110" t="s">
        <v>373</v>
      </c>
      <c r="HI4" s="1110" t="s">
        <v>374</v>
      </c>
      <c r="HJ4" s="1110" t="s">
        <v>375</v>
      </c>
      <c r="HK4" s="1110" t="s">
        <v>376</v>
      </c>
      <c r="HL4" s="1110" t="s">
        <v>377</v>
      </c>
      <c r="HM4" s="1110" t="s">
        <v>378</v>
      </c>
      <c r="HN4" s="1110" t="s">
        <v>379</v>
      </c>
      <c r="HO4" s="1110" t="s">
        <v>380</v>
      </c>
      <c r="HP4" s="1110" t="s">
        <v>381</v>
      </c>
      <c r="HQ4" s="1112" t="s">
        <v>382</v>
      </c>
      <c r="IH4" s="81" t="s">
        <v>328</v>
      </c>
      <c r="IW4" s="81" t="s">
        <v>328</v>
      </c>
      <c r="JF4" s="474">
        <v>0</v>
      </c>
      <c r="JG4" s="474">
        <v>0</v>
      </c>
    </row>
    <row r="5" spans="1:270" ht="15.75" thickBot="1" x14ac:dyDescent="0.35">
      <c r="D5" s="1120" t="s">
        <v>331</v>
      </c>
      <c r="E5" s="1120" t="s">
        <v>383</v>
      </c>
      <c r="F5" s="1120" t="s">
        <v>384</v>
      </c>
      <c r="G5" s="1120" t="s">
        <v>385</v>
      </c>
      <c r="H5" s="1120"/>
      <c r="I5" s="1120"/>
      <c r="J5" s="1120" t="s">
        <v>386</v>
      </c>
      <c r="K5" s="1120"/>
      <c r="L5" s="1120"/>
      <c r="M5" s="1120"/>
      <c r="O5" s="1121" t="s">
        <v>387</v>
      </c>
      <c r="P5" s="11" t="str">
        <f>VLOOKUP(AUXILIAR!$B$7,AUXILIAR!$D$7:$I$81,4,FALSE)</f>
        <v>nº 100, de 2 de mayo de 2024</v>
      </c>
      <c r="R5" s="6" t="s">
        <v>388</v>
      </c>
      <c r="S5" s="12" t="s">
        <v>86</v>
      </c>
      <c r="V5" s="610" t="s">
        <v>389</v>
      </c>
      <c r="W5" s="13" t="s">
        <v>390</v>
      </c>
      <c r="Z5" s="613" t="str">
        <f>IF(YEAR(EXPEDIENTE!F27)=YEAR(EXPEDIENTE!F25),MONTH(EXPEDIENTE!F27)-MONTH(EXPEDIENTE!F25)+1,IF(YEAR(EXPEDIENTE!F27)=YEAR(EXPEDIENTE!F25)+1,MONTH(EXPEDIENTE!F27)-MONTH(EXPEDIENTE!F25)+13,IF(YEAR(EXPEDIENTE!F27)=YEAR(EXPEDIENTE!F25)+2,MONTH(EXPEDIENTE!F27)-MONTH(EXPEDIENTE!F25)+25,IF(YEAR(EXPEDIENTE!F27)=YEAR(EXPEDIENTE!F25)+3,MONTH(EXPEDIENTE!F27)-MONTH(EXPEDIENTE!F25)+37,""))))</f>
        <v/>
      </c>
      <c r="AA5" s="613" t="s">
        <v>476</v>
      </c>
      <c r="AB5" s="613" t="s">
        <v>391</v>
      </c>
      <c r="AC5" s="613" t="s">
        <v>392</v>
      </c>
      <c r="AD5" s="613" t="s">
        <v>393</v>
      </c>
      <c r="AE5" s="613" t="s">
        <v>394</v>
      </c>
      <c r="AG5" s="471"/>
      <c r="AH5" s="470"/>
      <c r="AI5" s="470"/>
      <c r="AJ5" s="470"/>
      <c r="AK5" s="470"/>
      <c r="AL5" s="470"/>
      <c r="AM5" s="470"/>
      <c r="AN5" s="470"/>
      <c r="AO5" s="470"/>
      <c r="AP5" s="470"/>
      <c r="AQ5" s="470"/>
      <c r="AR5" s="470"/>
      <c r="AS5" s="470"/>
      <c r="AT5" s="470"/>
      <c r="AU5" s="470"/>
      <c r="AV5" s="470"/>
      <c r="AW5" s="470"/>
      <c r="AX5" s="470"/>
      <c r="AY5" s="470"/>
      <c r="AZ5" s="470"/>
      <c r="BN5" s="1103" t="str">
        <f>CONCATENATE("P.P. OTRAS NÓMINAS ABONADAS EN ",BC21)</f>
        <v>P.P. OTRAS NÓMINAS ABONADAS EN 2025</v>
      </c>
      <c r="BO5" s="1104"/>
      <c r="BP5" s="1104"/>
      <c r="BQ5" s="1104"/>
      <c r="BR5" s="1104"/>
      <c r="BS5" s="1104"/>
      <c r="BT5" s="1104"/>
      <c r="BU5" s="1104"/>
      <c r="BV5" s="1105"/>
      <c r="BZ5" s="471"/>
      <c r="CA5" s="470"/>
      <c r="CB5" s="470"/>
      <c r="CC5" s="470"/>
      <c r="CD5" s="470"/>
      <c r="CE5" s="470"/>
      <c r="CF5" s="470"/>
      <c r="CG5" s="470"/>
      <c r="CH5" s="470"/>
      <c r="CI5" s="470"/>
      <c r="CJ5" s="470"/>
      <c r="CK5" s="470"/>
      <c r="CL5" s="470"/>
      <c r="CM5" s="470"/>
      <c r="CN5" s="470"/>
      <c r="CO5" s="470"/>
      <c r="CP5" s="470"/>
      <c r="CQ5" s="470"/>
      <c r="CR5" s="470"/>
      <c r="CS5" s="470"/>
      <c r="DG5" s="1147" t="str">
        <f>CONCATENATE("P.P. OTRAS NÓMINAS ABONADAS EN ",CV21)</f>
        <v>P.P. OTRAS NÓMINAS ABONADAS EN 2025</v>
      </c>
      <c r="DH5" s="1148"/>
      <c r="DI5" s="1148"/>
      <c r="DJ5" s="1148"/>
      <c r="DK5" s="1148"/>
      <c r="DL5" s="1148"/>
      <c r="DM5" s="1148"/>
      <c r="DN5" s="1148"/>
      <c r="DO5" s="1149"/>
      <c r="DS5" s="470"/>
      <c r="ED5" s="1112"/>
      <c r="EE5" s="1112"/>
      <c r="EF5" s="1112"/>
      <c r="EG5" s="1111"/>
      <c r="EH5" s="1111"/>
      <c r="EI5" s="1111"/>
      <c r="EJ5" s="1111"/>
      <c r="EK5" s="1111"/>
      <c r="EL5" s="1111"/>
      <c r="EM5" s="1111"/>
      <c r="EN5" s="1111"/>
      <c r="EO5" s="1111"/>
      <c r="EP5" s="1111"/>
      <c r="EQ5" s="1111"/>
      <c r="ER5" s="1111"/>
      <c r="ES5" s="1111"/>
      <c r="ET5" s="1111"/>
      <c r="EU5" s="1111"/>
      <c r="EV5" s="1111"/>
      <c r="EW5" s="1111"/>
      <c r="EX5" s="1111"/>
      <c r="EY5" s="1111"/>
      <c r="EZ5" s="1111"/>
      <c r="FA5" s="1111"/>
      <c r="FB5" s="1111"/>
      <c r="FC5" s="1111"/>
      <c r="FD5" s="1111"/>
      <c r="FE5" s="1111"/>
      <c r="FF5" s="1111"/>
      <c r="FG5" s="1111"/>
      <c r="FH5" s="1111"/>
      <c r="FI5" s="1111"/>
      <c r="FJ5" s="1111"/>
      <c r="FK5" s="1111"/>
      <c r="FL5" s="1111"/>
      <c r="FM5" s="1112"/>
      <c r="FW5" s="470"/>
      <c r="GH5" s="1112"/>
      <c r="GI5" s="1112"/>
      <c r="GJ5" s="1112"/>
      <c r="GK5" s="1111"/>
      <c r="GL5" s="1111"/>
      <c r="GM5" s="1111"/>
      <c r="GN5" s="1111"/>
      <c r="GO5" s="1111"/>
      <c r="GP5" s="1111"/>
      <c r="GQ5" s="1111"/>
      <c r="GR5" s="1111"/>
      <c r="GS5" s="1111"/>
      <c r="GT5" s="1111"/>
      <c r="GU5" s="1111"/>
      <c r="GV5" s="1111"/>
      <c r="GW5" s="1111"/>
      <c r="GX5" s="1111"/>
      <c r="GY5" s="1111"/>
      <c r="GZ5" s="1111"/>
      <c r="HA5" s="1111"/>
      <c r="HB5" s="1111"/>
      <c r="HC5" s="1111"/>
      <c r="HD5" s="1111"/>
      <c r="HE5" s="1111"/>
      <c r="HF5" s="1111"/>
      <c r="HG5" s="1111"/>
      <c r="HH5" s="1111"/>
      <c r="HI5" s="1111"/>
      <c r="HJ5" s="1111"/>
      <c r="HK5" s="1111"/>
      <c r="HL5" s="1111"/>
      <c r="HM5" s="1111"/>
      <c r="HN5" s="1111"/>
      <c r="HO5" s="1111"/>
      <c r="HP5" s="1111"/>
      <c r="HQ5" s="1112"/>
      <c r="IH5" s="471">
        <f>SUM(IH6:IH9)</f>
        <v>0</v>
      </c>
      <c r="IW5" s="471">
        <f>SUM(IW6:IW9)</f>
        <v>0</v>
      </c>
      <c r="JF5" s="477">
        <v>1</v>
      </c>
      <c r="JG5" s="474">
        <v>0</v>
      </c>
    </row>
    <row r="6" spans="1:270" x14ac:dyDescent="0.3">
      <c r="D6" s="1120"/>
      <c r="E6" s="1120"/>
      <c r="F6" s="1120"/>
      <c r="G6" s="609" t="s">
        <v>395</v>
      </c>
      <c r="H6" s="609" t="s">
        <v>396</v>
      </c>
      <c r="I6" s="609" t="s">
        <v>397</v>
      </c>
      <c r="J6" s="1112" t="str">
        <f>IF(COUNTIF($J$7:$J$81,"SÍ")=0,"",IF(COUNTIF($J$7:$J$81,"SÍ")=1,"SÍ",IF(COUNTIF($J$7:$J$81,"SÍ")&gt;1,"NO")))</f>
        <v>SÍ</v>
      </c>
      <c r="K6" s="1112"/>
      <c r="L6" s="1112"/>
      <c r="M6" s="1112"/>
      <c r="O6" s="1122"/>
      <c r="P6" s="11">
        <f>VLOOKUP(AUXILIAR!$B$7,AUXILIAR!$D$7:$I$81,5,FALSE)</f>
        <v>0</v>
      </c>
      <c r="S6" s="15" t="str">
        <f>IF($S$5="SÍ","Insertar fecha y bloquear celda F25 de EXPEDIENTE","")</f>
        <v>Insertar fecha y bloquear celda F25 de EXPEDIENTE</v>
      </c>
      <c r="V6" s="611" t="s">
        <v>398</v>
      </c>
      <c r="W6" s="16">
        <v>2130</v>
      </c>
      <c r="Z6" s="475" t="str">
        <f>CONCATENATE(TEXT(MONTH(EXPEDIENTE!$F$25),"mmm"),"-",RIGHT(YEAR(EXPEDIENTE!$F$25),2))</f>
        <v>ene-25</v>
      </c>
      <c r="AA6" s="476" t="str">
        <f t="shared" ref="AA6:AA28" si="0">IF(Z6="","",TEXT(Z6,"mmm-aa"))</f>
        <v>ene-25</v>
      </c>
      <c r="AB6" s="476" t="str">
        <f>IF(AA6="","",IF(YEAR(EXPEDIENTE!$F$25)=YEAR(AA6),AA6,""))</f>
        <v>ene-25</v>
      </c>
      <c r="AC6" s="476" t="str">
        <f>IF(AA6="","",IF(YEAR(EXPEDIENTE!$F$25)+1=YEAR(AA6),AA6,""))</f>
        <v/>
      </c>
      <c r="AD6" s="476" t="str">
        <f>IF(AA6="","",IF(YEAR(EXPEDIENTE!$F$25)+2=YEAR(AA6),AA6,""))</f>
        <v/>
      </c>
      <c r="AE6" s="476" t="str">
        <f>IF(AA6="","",IF(YEAR(EXPEDIENTE!$F$25)+3=YEAR(AA6),AA6,""))</f>
        <v/>
      </c>
      <c r="AG6" s="471"/>
      <c r="AH6" s="470"/>
      <c r="AI6" s="470"/>
      <c r="AJ6" s="470"/>
      <c r="AK6" s="470"/>
      <c r="AL6" s="470"/>
      <c r="AM6" s="470"/>
      <c r="AN6" s="470"/>
      <c r="AO6" s="470"/>
      <c r="AP6" s="470"/>
      <c r="AQ6" s="470"/>
      <c r="AR6" s="470"/>
      <c r="AS6" s="470"/>
      <c r="AT6" s="470"/>
      <c r="AU6" s="470"/>
      <c r="AV6" s="470"/>
      <c r="AW6" s="470"/>
      <c r="AX6" s="639"/>
      <c r="AY6" s="470"/>
      <c r="AZ6" s="470"/>
      <c r="BN6" s="1106">
        <f>'GASTOS EJER. 1'!$C$38</f>
        <v>0</v>
      </c>
      <c r="BO6" s="1108">
        <f>'GASTOS EJER. 1'!$C$39</f>
        <v>0</v>
      </c>
      <c r="BP6" s="1108">
        <f>'GASTOS EJER. 1'!$C$40</f>
        <v>0</v>
      </c>
      <c r="BQ6" s="1108">
        <f>'GASTOS EJER. 1'!$C$41</f>
        <v>0</v>
      </c>
      <c r="BR6" s="1108">
        <f>'GASTOS EJER. 1'!$C$42</f>
        <v>0</v>
      </c>
      <c r="BS6" s="1108">
        <f>'GASTOS EJER. 1'!$C$43</f>
        <v>0</v>
      </c>
      <c r="BT6" s="1108">
        <f>'GASTOS EJER. 1'!$C$44</f>
        <v>0</v>
      </c>
      <c r="BU6" s="1136">
        <f>'GASTOS EJER. 1'!$C$45</f>
        <v>0</v>
      </c>
      <c r="BV6" s="1131" t="s">
        <v>382</v>
      </c>
      <c r="BZ6" s="471"/>
      <c r="CA6" s="470"/>
      <c r="CB6" s="470"/>
      <c r="CC6" s="470"/>
      <c r="CD6" s="470"/>
      <c r="CE6" s="470"/>
      <c r="CF6" s="470"/>
      <c r="CG6" s="470"/>
      <c r="CH6" s="470"/>
      <c r="CI6" s="470"/>
      <c r="CJ6" s="470"/>
      <c r="CK6" s="470"/>
      <c r="CL6" s="470"/>
      <c r="CM6" s="470"/>
      <c r="CN6" s="470"/>
      <c r="CO6" s="470"/>
      <c r="CP6" s="470"/>
      <c r="CQ6" s="470"/>
      <c r="CR6" s="470"/>
      <c r="CS6" s="470"/>
      <c r="DG6" s="1155">
        <f>'GASTOS EJER. 1'!$C$38</f>
        <v>0</v>
      </c>
      <c r="DH6" s="1157">
        <f>'GASTOS EJER. 1'!$C$39</f>
        <v>0</v>
      </c>
      <c r="DI6" s="1157">
        <f>'GASTOS EJER. 1'!$C$40</f>
        <v>0</v>
      </c>
      <c r="DJ6" s="1157">
        <f>'GASTOS EJER. 1'!$C$41</f>
        <v>0</v>
      </c>
      <c r="DK6" s="1157">
        <f>'GASTOS EJER. 1'!$C$42</f>
        <v>0</v>
      </c>
      <c r="DL6" s="1157">
        <f>'GASTOS EJER. 1'!$C$43</f>
        <v>0</v>
      </c>
      <c r="DM6" s="1157">
        <f>'GASTOS EJER. 1'!$C$44</f>
        <v>0</v>
      </c>
      <c r="DN6" s="1173">
        <f>'GASTOS EJER. 1'!$C$45</f>
        <v>0</v>
      </c>
      <c r="DO6" s="1159" t="s">
        <v>382</v>
      </c>
      <c r="DS6" s="470"/>
      <c r="ED6" s="1112"/>
      <c r="EE6" s="1112"/>
      <c r="EF6" s="1112"/>
      <c r="EG6" s="1111"/>
      <c r="EH6" s="1111"/>
      <c r="EI6" s="1111"/>
      <c r="EJ6" s="1111"/>
      <c r="EK6" s="1111"/>
      <c r="EL6" s="1111"/>
      <c r="EM6" s="1111"/>
      <c r="EN6" s="1111"/>
      <c r="EO6" s="1111"/>
      <c r="EP6" s="1111"/>
      <c r="EQ6" s="1111"/>
      <c r="ER6" s="1111"/>
      <c r="ES6" s="1111"/>
      <c r="ET6" s="1111"/>
      <c r="EU6" s="1111"/>
      <c r="EV6" s="1111"/>
      <c r="EW6" s="1111"/>
      <c r="EX6" s="1111"/>
      <c r="EY6" s="1111"/>
      <c r="EZ6" s="1111"/>
      <c r="FA6" s="1111"/>
      <c r="FB6" s="1111"/>
      <c r="FC6" s="1111"/>
      <c r="FD6" s="1111"/>
      <c r="FE6" s="1111"/>
      <c r="FF6" s="1111"/>
      <c r="FG6" s="1111"/>
      <c r="FH6" s="1111"/>
      <c r="FI6" s="1111"/>
      <c r="FJ6" s="1111"/>
      <c r="FK6" s="1111"/>
      <c r="FL6" s="1111"/>
      <c r="FM6" s="1112"/>
      <c r="FN6" s="8"/>
      <c r="FO6" s="8"/>
      <c r="FP6" s="8"/>
      <c r="FW6" s="470"/>
      <c r="GH6" s="1112"/>
      <c r="GI6" s="1112"/>
      <c r="GJ6" s="1112"/>
      <c r="GK6" s="1111"/>
      <c r="GL6" s="1111"/>
      <c r="GM6" s="1111"/>
      <c r="GN6" s="1111"/>
      <c r="GO6" s="1111"/>
      <c r="GP6" s="1111"/>
      <c r="GQ6" s="1111"/>
      <c r="GR6" s="1111"/>
      <c r="GS6" s="1111"/>
      <c r="GT6" s="1111"/>
      <c r="GU6" s="1111"/>
      <c r="GV6" s="1111"/>
      <c r="GW6" s="1111"/>
      <c r="GX6" s="1111"/>
      <c r="GY6" s="1111"/>
      <c r="GZ6" s="1111"/>
      <c r="HA6" s="1111"/>
      <c r="HB6" s="1111"/>
      <c r="HC6" s="1111"/>
      <c r="HD6" s="1111"/>
      <c r="HE6" s="1111"/>
      <c r="HF6" s="1111"/>
      <c r="HG6" s="1111"/>
      <c r="HH6" s="1111"/>
      <c r="HI6" s="1111"/>
      <c r="HJ6" s="1111"/>
      <c r="HK6" s="1111"/>
      <c r="HL6" s="1111"/>
      <c r="HM6" s="1111"/>
      <c r="HN6" s="1111"/>
      <c r="HO6" s="1111"/>
      <c r="HP6" s="1111"/>
      <c r="HQ6" s="1112"/>
      <c r="HR6" s="8"/>
      <c r="HS6" s="8"/>
      <c r="HT6" s="8"/>
      <c r="HU6" s="8"/>
      <c r="IB6" s="479">
        <v>1</v>
      </c>
      <c r="IC6" s="474">
        <f>YEAR(EXPEDIENTE!F25)</f>
        <v>2025</v>
      </c>
      <c r="ID6" s="474" t="str">
        <f>IF(IC6="","",'IDENTIFICACIÓN TRABAJADOR'!$D$14)</f>
        <v/>
      </c>
      <c r="IE6" s="479" t="str">
        <f>CONCATENATE(UPPER('IDENTIFICACIÓN TRABAJADOR'!$D$11)," ",UPPER('IDENTIFICACIÓN TRABAJADOR'!$D$12)," ",UPPER('IDENTIFICACIÓN TRABAJADOR'!$D$13)," (EJERCICIO ",IC6,")")</f>
        <v xml:space="preserve">   (EJERCICIO 2025)</v>
      </c>
      <c r="IF6" s="479">
        <f>IF($IH6&gt;0,"",'RESUMEN TRABAJADOR '!P24)</f>
        <v>0</v>
      </c>
      <c r="IH6" s="474">
        <f>'% DEDICACIÓN TRABAJADOR'!$B$39</f>
        <v>0</v>
      </c>
      <c r="IJ6" s="474">
        <f>IF(IF6=0,MAX(IC6:IC9)+1,IB6)</f>
        <v>2026</v>
      </c>
      <c r="IK6" s="474">
        <f>IFERROR(VLOOKUP(SMALL($IJ$6:$IJ$9,IB6),$IB$6:$IF$9,1,FALSE),"X")</f>
        <v>1</v>
      </c>
      <c r="IL6" s="474" t="str">
        <f>IF(ID6="","",IF(IK6&gt;MAX($IC$6:$IC$9),"",VLOOKUP(IK6,$IB$6:$IF$9,2,FALSE)))</f>
        <v/>
      </c>
      <c r="IM6" s="474" t="str">
        <f>IF(IK6&gt;MAX($IC$6:$IC$9),"",VLOOKUP(IK6,$IB$6:$IF$9,3,FALSE))</f>
        <v/>
      </c>
      <c r="IN6" s="479" t="str">
        <f>IF(ID6="","",IF(IK6&gt;MAX($IC$6:$IC$9),"",VLOOKUP(IK6,$IB$6:$IF$9,4,FALSE)))</f>
        <v/>
      </c>
      <c r="IO6" s="479" t="str">
        <f>IF(ID6="","",IF(IK6&gt;MAX($IC$6:$IC$9),"",VLOOKUP(IK6,$IB$6:$IF$9,5,FALSE)))</f>
        <v/>
      </c>
      <c r="IQ6" s="479">
        <v>1</v>
      </c>
      <c r="IR6" s="474">
        <f>YEAR(EXPEDIENTE!$I$25)</f>
        <v>2025</v>
      </c>
      <c r="IS6" s="474" t="str">
        <f>IF(IR6="","",'IDENTIFICACIÓN TRABAJADOR'!$D$14)</f>
        <v/>
      </c>
      <c r="IT6" s="479" t="str">
        <f>CONCATENATE(UPPER('IDENTIFICACIÓN TRABAJADOR'!$D$11)," ",UPPER('IDENTIFICACIÓN TRABAJADOR'!$D$12)," ",UPPER('IDENTIFICACIÓN TRABAJADOR'!$D$13)," (EJERCICIO ",IR6,")")</f>
        <v xml:space="preserve">   (EJERCICIO 2025)</v>
      </c>
      <c r="IU6" s="479">
        <f>IF($IH6&gt;0,"",'RESUMEN TRABAJADOR '!AL24)</f>
        <v>0</v>
      </c>
      <c r="IW6" s="474">
        <f>'% DEDICACIÓN TRABAJADOR'!$B$39</f>
        <v>0</v>
      </c>
      <c r="IY6" s="474">
        <f>IF(IU6=0,MAX(IR6:IR9)+1,IQ6)</f>
        <v>2026</v>
      </c>
      <c r="IZ6" s="474">
        <f>IFERROR(VLOOKUP(SMALL($IY$6:$IY$9,IQ6),$IQ$6:$IU$9,1,FALSE),"X")</f>
        <v>1</v>
      </c>
      <c r="JA6" s="474" t="str">
        <f>IF(IS6="","",IF(IZ6&gt;MAX($IC$6:$IC$9),"",VLOOKUP(IZ6,$IB$6:$IF$9,2,FALSE)))</f>
        <v/>
      </c>
      <c r="JB6" s="474" t="str">
        <f>IF(IZ6&gt;MAX($IR$6:$IR$9),"",VLOOKUP(IZ6,$IQ$6:$IU$9,3,FALSE))</f>
        <v/>
      </c>
      <c r="JC6" s="479" t="str">
        <f>IF(IS6="","",IF(IZ6&gt;MAX($IR$6:$IR$9),"",VLOOKUP(IZ6,$IQ$6:$IU$9,4,FALSE)))</f>
        <v/>
      </c>
      <c r="JD6" s="479" t="str">
        <f>IF(IS6="","",IF(IZ6&gt;MAX($IR$6:$IR$9),"",VLOOKUP(IZ6,$IQ$6:$IU$9,5,FALSE)))</f>
        <v/>
      </c>
      <c r="JF6" s="480">
        <v>2</v>
      </c>
      <c r="JG6" s="474">
        <v>0</v>
      </c>
    </row>
    <row r="7" spans="1:270" ht="15.75" thickBot="1" x14ac:dyDescent="0.35">
      <c r="B7" s="14" t="str">
        <f>M7</f>
        <v>EPTE</v>
      </c>
      <c r="C7" s="8">
        <v>1</v>
      </c>
      <c r="D7" s="12" t="s">
        <v>64</v>
      </c>
      <c r="E7" s="17">
        <v>8</v>
      </c>
      <c r="F7" s="18" t="s">
        <v>399</v>
      </c>
      <c r="G7" s="19" t="s">
        <v>400</v>
      </c>
      <c r="H7" s="19"/>
      <c r="I7" s="19"/>
      <c r="J7" s="12"/>
      <c r="K7" s="14">
        <f>IF(J7="",76,C7)</f>
        <v>76</v>
      </c>
      <c r="L7" s="14">
        <f>IF(K7&lt;&gt;76,C7,76)</f>
        <v>76</v>
      </c>
      <c r="M7" s="14" t="str">
        <f>IFERROR(VLOOKUP(SMALL($L$7:$L$81,C7),$C$7:$D$81,2,FALSE),"X")</f>
        <v>EPTE</v>
      </c>
      <c r="O7" s="1122"/>
      <c r="P7" s="11">
        <f>VLOOKUP(AUXILIAR!$B$7,AUXILIAR!$D$7:$I$81,6,FALSE)</f>
        <v>0</v>
      </c>
      <c r="V7" s="612" t="s">
        <v>401</v>
      </c>
      <c r="W7" s="20">
        <v>2130</v>
      </c>
      <c r="Y7" s="546">
        <v>1</v>
      </c>
      <c r="Z7" s="478" t="str">
        <f>IF(Y7="","",IF(EDATE($Z$6,Y7)&gt;EXPEDIENTE!$F$27,"",CONCATENATE(TEXT(EDATE($Z$6,Y7),"mmm"),"-",RIGHT(YEAR(EXPEDIENTE!$F$25),2))))</f>
        <v/>
      </c>
      <c r="AA7" s="478" t="str">
        <f t="shared" si="0"/>
        <v/>
      </c>
      <c r="AB7" s="478" t="str">
        <f>IF(AA7="","",IF(YEAR(EXPEDIENTE!$F$25)=YEAR(AA7),AA7,""))</f>
        <v/>
      </c>
      <c r="AC7" s="478" t="str">
        <f>IF(AA7="","",IF(YEAR(EXPEDIENTE!$F$25)+1=YEAR(AA7),AA7,""))</f>
        <v/>
      </c>
      <c r="AD7" s="478" t="str">
        <f>IF(AA7="","",IF(YEAR(EXPEDIENTE!$F$25)+2=YEAR(AA7),AA7,""))</f>
        <v/>
      </c>
      <c r="AE7" s="478" t="str">
        <f>IF(AA7="","",IF(YEAR(EXPEDIENTE!$F$25)+3=YEAR(AA7),AA7,""))</f>
        <v/>
      </c>
      <c r="AG7" s="471"/>
      <c r="AH7" s="470"/>
      <c r="AI7" s="470"/>
      <c r="AJ7" s="470"/>
      <c r="AK7" s="470"/>
      <c r="AL7" s="470"/>
      <c r="AM7" s="470"/>
      <c r="AN7" s="470"/>
      <c r="AO7" s="470"/>
      <c r="AP7" s="470"/>
      <c r="AQ7" s="470"/>
      <c r="AR7" s="470"/>
      <c r="AS7" s="470"/>
      <c r="AT7" s="470"/>
      <c r="AU7" s="470"/>
      <c r="AV7" s="470"/>
      <c r="AW7" s="470"/>
      <c r="AX7" s="470"/>
      <c r="AY7" s="470"/>
      <c r="AZ7" s="470"/>
      <c r="BC7" s="618">
        <f>AX23-1</f>
        <v>2024</v>
      </c>
      <c r="BN7" s="1107"/>
      <c r="BO7" s="1109"/>
      <c r="BP7" s="1109"/>
      <c r="BQ7" s="1109"/>
      <c r="BR7" s="1109"/>
      <c r="BS7" s="1109"/>
      <c r="BT7" s="1109"/>
      <c r="BU7" s="1137"/>
      <c r="BV7" s="1132"/>
      <c r="BZ7" s="471"/>
      <c r="CA7" s="470"/>
      <c r="CB7" s="470"/>
      <c r="CC7" s="470"/>
      <c r="CD7" s="470"/>
      <c r="CE7" s="470"/>
      <c r="CF7" s="470"/>
      <c r="CG7" s="470"/>
      <c r="CH7" s="470"/>
      <c r="CI7" s="470"/>
      <c r="CJ7" s="470"/>
      <c r="CK7" s="470"/>
      <c r="CL7" s="470"/>
      <c r="CM7" s="470"/>
      <c r="CN7" s="470"/>
      <c r="CO7" s="470"/>
      <c r="CP7" s="470"/>
      <c r="CQ7" s="470"/>
      <c r="CR7" s="470"/>
      <c r="CS7" s="470"/>
      <c r="CV7" s="619">
        <f>CQ23-1</f>
        <v>2024</v>
      </c>
      <c r="DG7" s="1156"/>
      <c r="DH7" s="1158"/>
      <c r="DI7" s="1158"/>
      <c r="DJ7" s="1158"/>
      <c r="DK7" s="1158"/>
      <c r="DL7" s="1158"/>
      <c r="DM7" s="1158"/>
      <c r="DN7" s="1174"/>
      <c r="DO7" s="1160"/>
      <c r="DS7" s="470"/>
      <c r="ED7" s="482">
        <f t="shared" ref="ED7:ED18" si="1">DATE(YEAR(ED8),MONTH(ED8)-1,1)</f>
        <v>45261</v>
      </c>
      <c r="EE7" s="482">
        <f t="shared" ref="EE7:EE18" si="2">DATE(YEAR(EE8),MONTH(EE8),1)-1</f>
        <v>45291</v>
      </c>
      <c r="EF7" s="14" t="str">
        <f>IF(AND(EE7&gt;=EXPEDIENTE!$F$25,ED7&lt;=EXPEDIENTE!$F$29),"SI","NO")</f>
        <v>NO</v>
      </c>
      <c r="EG7" s="11">
        <f t="shared" ref="EG7:EG38" si="3">IF(AND($ED7&gt;=$DU$23,$EE7&lt;=$DV$23),$EA$23,0)</f>
        <v>0</v>
      </c>
      <c r="EH7" s="11">
        <f t="shared" ref="EH7:EH38" si="4">IF(AND($ED7&gt;=$DU$24,$EE7&lt;=$DV$24),$EA$24,0)</f>
        <v>0</v>
      </c>
      <c r="EI7" s="11">
        <f t="shared" ref="EI7:EI38" si="5">IF(AND($ED7&gt;=$DU$25,$EE7&lt;=$DV$25),$EA$25,0)</f>
        <v>0</v>
      </c>
      <c r="EJ7" s="11">
        <f t="shared" ref="EJ7:EJ38" si="6">IF(AND($ED7&gt;=$DU$26,$EE7&lt;=$DV$26),$EA$26,0)</f>
        <v>0</v>
      </c>
      <c r="EK7" s="11">
        <f t="shared" ref="EK7:EK38" si="7">IF(AND($ED7&gt;=$DU$27,$EE7&lt;=$DV$27),$EA$27,0)</f>
        <v>0</v>
      </c>
      <c r="EL7" s="11">
        <f t="shared" ref="EL7:EL38" si="8">IF(AND($ED7&gt;=$DU$28,$EE7&lt;=$DV$28),$EA$28,0)</f>
        <v>0</v>
      </c>
      <c r="EM7" s="11">
        <f t="shared" ref="EM7:EM38" si="9">IF(AND($ED7&gt;=$DU$29,$EE7&lt;=$DV$29),$EA$29,0)</f>
        <v>0</v>
      </c>
      <c r="EN7" s="11">
        <f t="shared" ref="EN7:EN38" si="10">IF(AND($ED7&gt;=$DU$30,$EE7&lt;=$DV$30),$EA$30,0)</f>
        <v>0</v>
      </c>
      <c r="EO7" s="11">
        <f t="shared" ref="EO7:EO38" si="11">IF(AND($ED7&gt;=$DU$39,$EE7&lt;=$DV$39),$EA$39,0)</f>
        <v>0</v>
      </c>
      <c r="EP7" s="11">
        <f t="shared" ref="EP7:EP38" si="12">IF(AND($ED7&gt;=$DU$40,$EE7&lt;=$DV$40),$EA$40,0)</f>
        <v>0</v>
      </c>
      <c r="EQ7" s="11">
        <f t="shared" ref="EQ7:EQ38" si="13">IF(AND($ED7&gt;=$DU$41,$EE7&lt;=$DV$41),$EA$41,0)</f>
        <v>0</v>
      </c>
      <c r="ER7" s="11">
        <f t="shared" ref="ER7:ER38" si="14">IF(AND($ED7&gt;=$DU$42,$EE7&lt;=$DV$42),$EA$42,0)</f>
        <v>0</v>
      </c>
      <c r="ES7" s="11">
        <f t="shared" ref="ES7:ES38" si="15">IF(AND($ED7&gt;=$DU$43,$EE7&lt;=$DV$43),$EA$43,0)</f>
        <v>0</v>
      </c>
      <c r="ET7" s="11">
        <f t="shared" ref="ET7:ET38" si="16">IF(AND($ED7&gt;=$DU$44,$EE7&lt;=$DV$44),$EA$44,0)</f>
        <v>0</v>
      </c>
      <c r="EU7" s="11">
        <f t="shared" ref="EU7:EU38" si="17">IF(AND($ED7&gt;=$DU$45,$EE7&lt;=$DV$45),$EA$45,0)</f>
        <v>0</v>
      </c>
      <c r="EV7" s="11">
        <f t="shared" ref="EV7:EV38" si="18">IF(AND($ED7&gt;=$DU$46,$EE7&lt;=$DV$46),$EA$46,0)</f>
        <v>0</v>
      </c>
      <c r="EW7" s="11">
        <f t="shared" ref="EW7:EW38" si="19">IF(AND($ED7&gt;=$DU$55,$EE7&lt;=$DV$55),$EA$55,0)</f>
        <v>0</v>
      </c>
      <c r="EX7" s="11">
        <f t="shared" ref="EX7:EX38" si="20">IF(AND($ED7&gt;=$DU$56,$EE7&lt;=$DV$56),$EA$56,0)</f>
        <v>0</v>
      </c>
      <c r="EY7" s="11">
        <f t="shared" ref="EY7:EY38" si="21">IF(AND($ED7&gt;=$DU$57,$EE7&lt;=$DV$57),$EA$57,0)</f>
        <v>0</v>
      </c>
      <c r="EZ7" s="11">
        <f t="shared" ref="EZ7:EZ38" si="22">IF(AND($ED7&gt;=$DU$58,$EE7&lt;=$DV$58),$EA$58,0)</f>
        <v>0</v>
      </c>
      <c r="FA7" s="11">
        <f t="shared" ref="FA7:FA38" si="23">IF(AND($ED7&gt;=$DU$59,$EE7&lt;=$DV$59),$EA$59,0)</f>
        <v>0</v>
      </c>
      <c r="FB7" s="11">
        <f t="shared" ref="FB7:FB38" si="24">IF(AND($ED7&gt;=$DU$60,$EE7&lt;=$DV$60),$EA$60,0)</f>
        <v>0</v>
      </c>
      <c r="FC7" s="11">
        <f t="shared" ref="FC7:FC38" si="25">IF(AND($ED7&gt;=$DU$61,$EE7&lt;=$DV$61),$EA$61,0)</f>
        <v>0</v>
      </c>
      <c r="FD7" s="11">
        <f t="shared" ref="FD7:FD38" si="26">IF(AND($ED7&gt;=$DU$62,$EE7&lt;=$DV$62),$EA$62,0)</f>
        <v>0</v>
      </c>
      <c r="FE7" s="11">
        <f t="shared" ref="FE7:FE38" si="27">IF(AND($ED7&gt;=$DU$71,$EE7&lt;=$DV$71),$EA$71,0)</f>
        <v>0</v>
      </c>
      <c r="FF7" s="11">
        <f t="shared" ref="FF7:FF38" si="28">IF(AND($ED7&gt;=$DU$72,$EE7&lt;=$DV$72),$EA$72,0)</f>
        <v>0</v>
      </c>
      <c r="FG7" s="11">
        <f t="shared" ref="FG7:FG38" si="29">IF(AND($ED7&gt;=$DU$73,$EE7&lt;=$DV$73),$EA$73,0)</f>
        <v>0</v>
      </c>
      <c r="FH7" s="11">
        <f t="shared" ref="FH7:FH38" si="30">IF(AND($ED7&gt;=$DU$74,$EE7&lt;=$DV$74),$EA$74,0)</f>
        <v>0</v>
      </c>
      <c r="FI7" s="11">
        <f t="shared" ref="FI7:FI38" si="31">IF(AND($ED7&gt;=$DU$75,$EE7&lt;=$DV$75),$EA$75,0)</f>
        <v>0</v>
      </c>
      <c r="FJ7" s="11">
        <f t="shared" ref="FJ7:FJ38" si="32">IF(AND($ED7&gt;=$DU$76,$EE7&lt;=$DV$76),$EA$76,0)</f>
        <v>0</v>
      </c>
      <c r="FK7" s="11">
        <f t="shared" ref="FK7:FK38" si="33">IF(AND($ED7&gt;=$DU$77,$EE7&lt;=$DV$77),$EA$77,0)</f>
        <v>0</v>
      </c>
      <c r="FL7" s="11">
        <f t="shared" ref="FL7:FL38" si="34">IF(AND($ED7&gt;=$DU$78,$EE7&lt;=$DV$78),$EA$78,0)</f>
        <v>0</v>
      </c>
      <c r="FM7" s="11">
        <f>IF(EF7="SI",SUM(EG7:FL7),0)</f>
        <v>0</v>
      </c>
      <c r="FW7" s="470"/>
      <c r="GH7" s="482">
        <f t="shared" ref="GH7:GH18" si="35">DATE(YEAR(GH8),MONTH(GH8)-1,1)</f>
        <v>45261</v>
      </c>
      <c r="GI7" s="482">
        <f t="shared" ref="GI7:GI18" si="36">DATE(YEAR(GI8),MONTH(GI8),1)-1</f>
        <v>45291</v>
      </c>
      <c r="GJ7" s="14" t="str">
        <f>IF(AND(GI7&gt;=EXPEDIENTE!$F$25,GH7&lt;=EXPEDIENTE!$F$29),"SI","NO")</f>
        <v>NO</v>
      </c>
      <c r="GK7" s="11">
        <f>IF(AND($GH7&gt;=$FY$23,$GI7&lt;=$FZ$23),$GE$23,0)</f>
        <v>0</v>
      </c>
      <c r="GL7" s="11">
        <f>IF(AND($GH7&gt;=$FY$24,$GI7&lt;=$FZ$24),$GE$24,0)</f>
        <v>0</v>
      </c>
      <c r="GM7" s="11">
        <f>IF(AND($GH7&gt;=$FY$25,$GI7&lt;=$FZ$25),$GE$25,0)</f>
        <v>0</v>
      </c>
      <c r="GN7" s="11">
        <f>IF(AND($GH7&gt;=$FY$26,$GI7&lt;=$FZ$26),$GE$26,0)</f>
        <v>0</v>
      </c>
      <c r="GO7" s="11">
        <f>IF(AND($GH7&gt;=$FY$27,$GI7&lt;=$FZ$27),$GE$27,0)</f>
        <v>0</v>
      </c>
      <c r="GP7" s="11">
        <f>IF(AND($GH7&gt;=$FY$28,$GI7&lt;=$FZ$28),$GE$28,0)</f>
        <v>0</v>
      </c>
      <c r="GQ7" s="11">
        <f>IF(AND($GH7&gt;=$FY$29,$GI7&lt;=$FZ$29),$GE$29,0)</f>
        <v>0</v>
      </c>
      <c r="GR7" s="11">
        <f>IF(AND($GH7&gt;=$FY$30,$GI7&lt;=$FZ$30),$GE$30,0)</f>
        <v>0</v>
      </c>
      <c r="GS7" s="11">
        <f>IF(AND($GH7&gt;=$FY$39,$GI7&lt;=$FZ$39),$GE$39,0)</f>
        <v>0</v>
      </c>
      <c r="GT7" s="11">
        <f>IF(AND($GH7&gt;=$FY$40,$GI7&lt;=$FZ$40),$GE$40,0)</f>
        <v>0</v>
      </c>
      <c r="GU7" s="11">
        <f>IF(AND($GH7&gt;=$FY$41,$GI7&lt;=$FZ$41),$GE$41,0)</f>
        <v>0</v>
      </c>
      <c r="GV7" s="11">
        <f>IF(AND($GH7&gt;=$FY$42,$GI7&lt;=$FZ$42),$GE$42,0)</f>
        <v>0</v>
      </c>
      <c r="GW7" s="11">
        <f>IF(AND($GH7&gt;=$FY$43,$GI7&lt;=$FZ$43),$GE$43,0)</f>
        <v>0</v>
      </c>
      <c r="GX7" s="11">
        <f>IF(AND($GH7&gt;=$FY$44,$GI7&lt;=$FZ$44),$GE$44,0)</f>
        <v>0</v>
      </c>
      <c r="GY7" s="11">
        <f>IF(AND($GH7&gt;=$FY$45,$GI7&lt;=$FZ$45),$GE$45,0)</f>
        <v>0</v>
      </c>
      <c r="GZ7" s="11">
        <f>IF(AND($GH7&gt;=$FY$46,$GI7&lt;=$FZ$46),$GE$46,0)</f>
        <v>0</v>
      </c>
      <c r="HA7" s="11">
        <f>IF(AND($GH7&gt;=$FY$55,$GI7&lt;=$FZ$55),$GE$55,0)</f>
        <v>0</v>
      </c>
      <c r="HB7" s="11">
        <f>IF(AND($GH7&gt;=$FY$56,$GI7&lt;=$FZ$56),$GE$56,0)</f>
        <v>0</v>
      </c>
      <c r="HC7" s="11">
        <f>IF(AND($GH7&gt;=$FY$57,$GI7&lt;=$FZ$57),$GE$57,0)</f>
        <v>0</v>
      </c>
      <c r="HD7" s="11">
        <f>IF(AND($GH7&gt;=$FY$58,$GI7&lt;=$FZ$58),$GE$58,0)</f>
        <v>0</v>
      </c>
      <c r="HE7" s="11">
        <f>IF(AND($GH7&gt;=$FY$59,$GI7&lt;=$FZ$59),$GE$59,0)</f>
        <v>0</v>
      </c>
      <c r="HF7" s="11">
        <f>IF(AND($GH7&gt;=$FY$60,$GI7&lt;=$FZ$60),$GE$60,0)</f>
        <v>0</v>
      </c>
      <c r="HG7" s="11">
        <f>IF(AND($GH7&gt;=$FY$61,$GI7&lt;=$FZ$61),$GE$61,0)</f>
        <v>0</v>
      </c>
      <c r="HH7" s="11">
        <f>IF(AND($GH7&gt;=$FY$62,$GI7&lt;=$FZ$62),$GE$62,0)</f>
        <v>0</v>
      </c>
      <c r="HI7" s="11">
        <f>IF(AND($GH7&gt;=$FY$71,$GI7&lt;=$FZ$71),$GE$71,0)</f>
        <v>0</v>
      </c>
      <c r="HJ7" s="11">
        <f>IF(AND($GH7&gt;=$FY$72,$GI7&lt;=$FZ$72),$GE$72,0)</f>
        <v>0</v>
      </c>
      <c r="HK7" s="11">
        <f>IF(AND($GH7&gt;=$FY$73,$GI7&lt;=$FZ$73),$GE$73,0)</f>
        <v>0</v>
      </c>
      <c r="HL7" s="11">
        <f>IF(AND($GH7&gt;=$FY$74,$GI7&lt;=$FZ$74),$GE$74,0)</f>
        <v>0</v>
      </c>
      <c r="HM7" s="11">
        <f>IF(AND($GH7&gt;=$FY$75,$GI7&lt;=$FZ$75),$GE$75,0)</f>
        <v>0</v>
      </c>
      <c r="HN7" s="11">
        <f>IF(AND($GH7&gt;=$FY$76,$GI7&lt;=$FZ$76),$GE$76,0)</f>
        <v>0</v>
      </c>
      <c r="HO7" s="11">
        <f>IF(AND($GH7&gt;=$FY$77,$GI7&lt;=$FZ$77),$GE$77,0)</f>
        <v>0</v>
      </c>
      <c r="HP7" s="11">
        <f>IF(AND($GH7&gt;=$FY$78,$GI7&lt;=$FZ$78),$GE$78,0)</f>
        <v>0</v>
      </c>
      <c r="HQ7" s="11">
        <f>IF(GJ7="SI",SUM(GK7:HP7),0)</f>
        <v>0</v>
      </c>
      <c r="IB7" s="479">
        <v>2</v>
      </c>
      <c r="IC7" s="474" t="str">
        <f>IF(EXPEDIENTE!F27="","",IF(YEAR(EXPEDIENTE!$F$27)&gt;=YEAR(EXPEDIENTE!$F$25),YEAR(EXPEDIENTE!$F$25)+1,""))</f>
        <v/>
      </c>
      <c r="ID7" s="474" t="str">
        <f>IF(IC7="","",'IDENTIFICACIÓN TRABAJADOR'!$D$14)</f>
        <v/>
      </c>
      <c r="IE7" s="479" t="str">
        <f>CONCATENATE(UPPER('IDENTIFICACIÓN TRABAJADOR'!$D$11)," ",UPPER('IDENTIFICACIÓN TRABAJADOR'!$D$12)," ",UPPER('IDENTIFICACIÓN TRABAJADOR'!$D$13)," (EJERCICIO ",IC7,")")</f>
        <v xml:space="preserve">   (EJERCICIO )</v>
      </c>
      <c r="IF7" s="479">
        <f>IF($IH7&gt;0,"",'RESUMEN TRABAJADOR '!P48)</f>
        <v>0</v>
      </c>
      <c r="IH7" s="474">
        <f>'% DEDICACIÓN TRABAJADOR'!$B$41</f>
        <v>0</v>
      </c>
      <c r="IJ7" s="474">
        <f t="shared" ref="IJ7:IJ9" si="37">IF(IF7=0,MAX(IC7:IC10)+1,IB7)</f>
        <v>1</v>
      </c>
      <c r="IK7" s="474">
        <f>SMALL($IJ$6:$IJ$9,2)</f>
        <v>1</v>
      </c>
      <c r="IL7" s="474" t="str">
        <f>IF(ID7="","",IF(IK7&gt;MAX($IC$6:$IC$9),"",VLOOKUP(IK7,$IB$6:$IF$9,2,FALSE)))</f>
        <v/>
      </c>
      <c r="IM7" s="474" t="str">
        <f t="shared" ref="IM7:IM9" si="38">IF(IK7&gt;MAX($IC$6:$IC$9),"",VLOOKUP(IK7,$IB$6:$IF$9,3,FALSE))</f>
        <v/>
      </c>
      <c r="IN7" s="479" t="str">
        <f>IF(ID7="","",IF(IK7&gt;MAX($IC$6:$IC$9),"",VLOOKUP(IK7,$IB$6:$IF$9,4,FALSE)))</f>
        <v/>
      </c>
      <c r="IO7" s="479" t="str">
        <f>IF(ID7="","",IF(IK7&gt;MAX($IC$6:$IC$9),"",VLOOKUP(IK7,$IB$6:$IF$9,5,FALSE)))</f>
        <v/>
      </c>
      <c r="IQ7" s="479">
        <v>2</v>
      </c>
      <c r="IR7" s="474" t="str">
        <f>IF(EXPEDIENTE!I27="","",IF(YEAR(EXPEDIENTE!$I$27)&gt;=YEAR(EXPEDIENTE!$I$25),YEAR(EXPEDIENTE!$I$25)+1,""))</f>
        <v/>
      </c>
      <c r="IS7" s="474" t="str">
        <f>IF(IR7="","",'IDENTIFICACIÓN TRABAJADOR'!$D$14)</f>
        <v/>
      </c>
      <c r="IT7" s="479" t="str">
        <f>CONCATENATE(UPPER('IDENTIFICACIÓN TRABAJADOR'!$D$11)," ",UPPER('IDENTIFICACIÓN TRABAJADOR'!$D$12)," ",UPPER('IDENTIFICACIÓN TRABAJADOR'!$D$13)," (EJERCICIO ",IR7,")")</f>
        <v xml:space="preserve">   (EJERCICIO )</v>
      </c>
      <c r="IU7" s="479">
        <f>IF($IH7&gt;0,"",'RESUMEN TRABAJADOR '!AL48)</f>
        <v>0</v>
      </c>
      <c r="IW7" s="474">
        <f>'% DEDICACIÓN TRABAJADOR'!$B$41</f>
        <v>0</v>
      </c>
      <c r="IY7" s="474">
        <f t="shared" ref="IY7:IY9" si="39">IF(IU7=0,MAX(IR7:IR10)+1,IQ7)</f>
        <v>1</v>
      </c>
      <c r="IZ7" s="474">
        <f>SMALL($IY$6:$IY$9,2)</f>
        <v>1</v>
      </c>
      <c r="JA7" s="474" t="str">
        <f>IF(IS7="","",IF(IZ7&gt;MAX($IC$6:$IC$9),"",VLOOKUP(IZ7,$IB$6:$IF$9,2,FALSE)))</f>
        <v/>
      </c>
      <c r="JB7" s="474" t="str">
        <f t="shared" ref="JB7:JB9" si="40">IF(IZ7&gt;MAX($IR$6:$IR$9),"",VLOOKUP(IZ7,$IQ$6:$IU$9,3,FALSE))</f>
        <v/>
      </c>
      <c r="JC7" s="479" t="str">
        <f t="shared" ref="JC7:JC9" si="41">IF(IS7="","",IF(IZ7&gt;MAX($IR$6:$IR$9),"",VLOOKUP(IZ7,$IQ$6:$IU$9,4,FALSE)))</f>
        <v/>
      </c>
      <c r="JD7" s="479" t="str">
        <f t="shared" ref="JD7:JD9" si="42">IF(IS7="","",IF(IZ7&gt;MAX($IR$6:$IR$9),"",VLOOKUP(IZ7,$IQ$6:$IU$9,5,FALSE)))</f>
        <v/>
      </c>
      <c r="JF7" s="480">
        <v>3</v>
      </c>
      <c r="JG7" s="474">
        <v>0</v>
      </c>
    </row>
    <row r="8" spans="1:270" x14ac:dyDescent="0.3">
      <c r="C8" s="8">
        <v>2</v>
      </c>
      <c r="D8" s="12" t="s">
        <v>402</v>
      </c>
      <c r="E8" s="17">
        <v>8</v>
      </c>
      <c r="F8" s="18" t="s">
        <v>399</v>
      </c>
      <c r="G8" s="19" t="s">
        <v>400</v>
      </c>
      <c r="H8" s="19"/>
      <c r="I8" s="19"/>
      <c r="J8" s="12"/>
      <c r="K8" s="14">
        <f t="shared" ref="K8:K71" si="43">IF(J8="",76,C8)</f>
        <v>76</v>
      </c>
      <c r="L8" s="14">
        <f t="shared" ref="L8:L71" si="44">IF(K8&lt;&gt;76,C8,76)</f>
        <v>76</v>
      </c>
      <c r="M8" s="14" t="str">
        <f t="shared" ref="M8:M71" si="45">IFERROR(VLOOKUP(SMALL($L$7:$L$81,C8),$C$7:$D$81,2,FALSE),"X")</f>
        <v>X</v>
      </c>
      <c r="R8" s="6" t="s">
        <v>403</v>
      </c>
      <c r="S8" s="21">
        <v>45658</v>
      </c>
      <c r="V8" s="1133" t="s">
        <v>404</v>
      </c>
      <c r="W8" s="22" t="s">
        <v>390</v>
      </c>
      <c r="Y8" s="547">
        <f t="shared" ref="Y8:Y54" si="46">IF(Y7="","",IF(Y7+1&lt;=$Z$5,Y7+1,""))</f>
        <v>2</v>
      </c>
      <c r="Z8" s="478" t="str">
        <f>IF(Y8="","",IF(EDATE($Z$6,Y8)&gt;EXPEDIENTE!$F$27,"",CONCATENATE(TEXT(EDATE($Z$6,Y8),"mmm"),"-",RIGHT(YEAR(EXPEDIENTE!$F$25),2))))</f>
        <v/>
      </c>
      <c r="AA8" s="478" t="str">
        <f t="shared" si="0"/>
        <v/>
      </c>
      <c r="AB8" s="478" t="str">
        <f>IF(AA8="","",IF(YEAR(EXPEDIENTE!$F$25)=YEAR(AA8),AA8,""))</f>
        <v/>
      </c>
      <c r="AC8" s="478" t="str">
        <f>IF(AA8="","",IF(YEAR(EXPEDIENTE!$F$25)+1=YEAR(AA8),AA8,""))</f>
        <v/>
      </c>
      <c r="AD8" s="478" t="str">
        <f>IF(AA8="","",IF(YEAR(EXPEDIENTE!$F$25)+2=YEAR(AA8),AA8,""))</f>
        <v/>
      </c>
      <c r="AE8" s="478" t="str">
        <f>IF(AA8="","",IF(YEAR(EXPEDIENTE!$F$25)+3=YEAR(AA8),AA8,""))</f>
        <v/>
      </c>
      <c r="AG8" s="471"/>
      <c r="AH8" s="470"/>
      <c r="AI8" s="470"/>
      <c r="AJ8" s="470"/>
      <c r="AK8" s="470"/>
      <c r="AL8" s="470"/>
      <c r="AM8" s="470"/>
      <c r="AN8" s="470"/>
      <c r="AO8" s="470"/>
      <c r="AP8" s="470"/>
      <c r="AQ8" s="470"/>
      <c r="AR8" s="470"/>
      <c r="AS8" s="470"/>
      <c r="AT8" s="470"/>
      <c r="AU8" s="470"/>
      <c r="AV8" s="470"/>
      <c r="AW8" s="470"/>
      <c r="AX8" s="470"/>
      <c r="AY8" s="470"/>
      <c r="AZ8" s="470"/>
      <c r="BB8" s="596">
        <v>1</v>
      </c>
      <c r="BC8" s="597">
        <f t="shared" ref="BC8:BC19" si="47">DATE($BC$7,BB8,1)</f>
        <v>45292</v>
      </c>
      <c r="BN8" s="600">
        <f t="shared" ref="BN8:BN19" si="48">IF($AH$24="",0,IF($BN$6=0,0,IF(EOMONTH($BC8,0)&lt;$AT$24,0,IF($AU$24&lt;$BC8,0,IF(AND($AT$24&lt;=$BC8,$AU$24&gt;= EOMONTH($BC8,0)),ROUND(30*$AY$24,2),IF(AND($BC8&lt;=$AT$24, EOMONTH($BC8,0)&gt;$AT$24, EOMONTH($BC8,0)&lt;=$AU$24),ROUND($AY$24*DAYS360($AT$24, EOMONTH($BC8,0),TRUE),2),IF(AND($BC8&gt;=$AT$24,$BC8&lt;=$AU$24, EOMONTH($BC8,0)&gt;$AU$24),ROUND($AY$24*(DAYS360($BC8,$AU$24,TRUE)+1),2))))))))</f>
        <v>0</v>
      </c>
      <c r="BO8" s="640">
        <f t="shared" ref="BO8:BO19" si="49">IF($AH$25="",0,IF($BO$6=0,0,IF(EOMONTH($BC8,0)&lt;$AT$25,0,IF($AU$25&lt;$BC8,0,IF(AND($AT$25&lt;=$BC8,$AU$25&gt;= EOMONTH($BC8,0)),ROUND(30*$AY$25,2),IF(AND($BC8&lt;=$AT$25, EOMONTH($BC8,0)&gt;$AT$25, EOMONTH($BC8,0)&lt;=$AU$25),ROUND($AY$25*DAYS360($AT$25, EOMONTH($BC8,0),TRUE),2),IF(AND($BC8&gt;=$AT$25,$BC8&lt;=$AU$25, EOMONTH($BC8,0)&gt;$AU$25),ROUND($AY$25*(DAYS360($BC8,$AU$25,TRUE)+1),2))))))))</f>
        <v>0</v>
      </c>
      <c r="BP8" s="640">
        <f t="shared" ref="BP8:BP19" si="50">IF($AH$26="",0,IF($BP$6=0,0,IF(EOMONTH($BC8,0)&lt;$AT$26,0,IF($AU$26&lt;$BC8,0,IF(AND($AT$26&lt;=$BC8,$AU$26&gt;= EOMONTH($BC8,0)),ROUND(30*$AY$26,2),IF(AND($BC8&lt;=$AT$26, EOMONTH($BC8,0)&gt;$AT$26, EOMONTH($BC8,0)&lt;=$AU$26),ROUND($AY$26*DAYS360($AT$26, EOMONTH($BC8,0),TRUE),2),IF(AND($BC8&gt;=$AT$26,$BC8&lt;=$AU$26, EOMONTH($BC8,0)&gt;$AU$26),ROUND($AY$26*(DAYS360($BC8,$AU$26,TRUE)+1),2))))))))</f>
        <v>0</v>
      </c>
      <c r="BQ8" s="640">
        <f t="shared" ref="BQ8:BQ19" si="51">IF($AH$27="",0,IF($BQ$6=0,0,IF(EOMONTH($BC8,0)&lt;$AT$27,0,IF($AU$27&lt;$BC8,0,IF(AND($AT$27&lt;=$BC8,$AU$27&gt;= EOMONTH($BC8,0)),ROUND(30*$AY$27,2),IF(AND($BC8&lt;=$AT$27, EOMONTH($BC8,0)&gt;$AT$27, EOMONTH($BC8,0)&lt;=$AU$27),ROUND($AY$27*DAYS360($AT$27, EOMONTH($BC8,0),TRUE),2),IF(AND($BC8&gt;=$AT$27,$BC8&lt;=$AU$27, EOMONTH($BC8,0)&gt;$AU$27),ROUND($AY$27*(DAYS360($BC8,$AU$27,TRUE)+1),2))))))))</f>
        <v>0</v>
      </c>
      <c r="BR8" s="640">
        <f t="shared" ref="BR8:BR19" si="52">IF($AH$28="",0,IF($BR$6=0,0,IF(EOMONTH($BC8,0)&lt;$AT$28,0,IF($AU$28&lt;$BC8,0,IF(AND($AT$28&lt;=$BC8,$AU$28&gt;= EOMONTH($BC8,0)),ROUND(30*$AY$28,2),IF(AND($BC8&lt;=$AT$28, EOMONTH($BC8,0)&gt;$AT$28, EOMONTH($BC8,0)&lt;=$AU$28),ROUND($AY$28*DAYS360($AT$28, EOMONTH($BC8,0),TRUE),2),IF(AND($BC8&gt;=$AT$28,$BC8&lt;=$AU$28, EOMONTH($BC8,0)&gt;$AU$28),ROUND($AY$28*(DAYS360($BC8,$AU$28,TRUE)+1),2))))))))</f>
        <v>0</v>
      </c>
      <c r="BS8" s="640">
        <f t="shared" ref="BS8:BS19" si="53">IF($AH$29="",0,IF($BS$6=0,0,IF(EOMONTH($BC8,0)&lt;$AT$29,0,IF($AU$29&lt;$BC8,0,IF(AND($AT$29&lt;=$BC8,$AU$29&gt;= EOMONTH($BC8,0)),ROUND(30*$AY$29,2),IF(AND($BC8&lt;=$AT$29, EOMONTH($BC8,0)&gt;$AT$29, EOMONTH($BC8,0)&lt;=$AU$29),ROUND($AY$29*DAYS360($AT$29, EOMONTH($BC8,0),TRUE),2),IF(AND($BC8&gt;=$AT$29,$BC8&lt;=$AU$29, EOMONTH($BC8,0)&gt;$AU$29),ROUND($AY$29*(DAYS360($BC8,$AU$29,TRUE)+1),2))))))))</f>
        <v>0</v>
      </c>
      <c r="BT8" s="640">
        <f t="shared" ref="BT8:BT19" si="54">IF($AH$30="",0,IF($BT$6=0,0,IF(EOMONTH($BC8,0)&lt;$AT$30,0,IF($AU$30&lt;$BC8,0,IF(AND($AT$30&lt;=$BC8,$AU$30&gt;= EOMONTH($BC8,0)),ROUND(30*$AY$30,2),IF(AND($BC8&lt;=$AT$30, EOMONTH($BC8,0)&gt;$AT$30, EOMONTH($BC8,0)&lt;=$AU$30),ROUND($AY$30*DAYS360($AT$30, EOMONTH($BC8,0),TRUE),2),IF(AND($BC8&gt;=$AT$30,$BC8&lt;=$AU$30, EOMONTH($BC8,0)&gt;$AU$30),ROUND($AY$30*(DAYS360($BC8,$AU$30,TRUE)+1),2))))))))</f>
        <v>0</v>
      </c>
      <c r="BU8" s="641">
        <f t="shared" ref="BU8:BU19" si="55">IF($AH$31="",0,IF($BU$6=0,0,IF(EOMONTH($BC8,0)&lt;$AT$31,0,IF($AU$31&lt;$BC8,0,IF(AND($AT$31&lt;=$BC8,$AU$31&gt;= EOMONTH($BC8,0)),ROUND(30*$AY$31,2),IF(AND($BC8&lt;=$AT$31, EOMONTH($BC8,0)&gt;$AT$31, EOMONTH($BC8,0)&lt;=$AU$31),ROUND($AY$31*DAYS360($AT$31, EOMONTH($BC8,0),TRUE),2),IF(AND($BC8&gt;=$AT$31,$BC8&lt;=$AU$31, EOMONTH($BC8,0)&gt;$AU$31),ROUND($AY$31*(DAYS360($BC8,$AU$31,TRUE)+1),2))))))))</f>
        <v>0</v>
      </c>
      <c r="BV8" s="642">
        <f>SUM(BN8:BU8)</f>
        <v>0</v>
      </c>
      <c r="BZ8" s="471"/>
      <c r="CA8" s="470"/>
      <c r="CB8" s="470"/>
      <c r="CC8" s="470"/>
      <c r="CD8" s="470"/>
      <c r="CE8" s="470"/>
      <c r="CF8" s="470"/>
      <c r="CG8" s="470"/>
      <c r="CH8" s="470"/>
      <c r="CI8" s="470"/>
      <c r="CJ8" s="470"/>
      <c r="CK8" s="470"/>
      <c r="CL8" s="470"/>
      <c r="CM8" s="470"/>
      <c r="CN8" s="470"/>
      <c r="CO8" s="470"/>
      <c r="CP8" s="470"/>
      <c r="CQ8" s="470"/>
      <c r="CR8" s="470"/>
      <c r="CS8" s="470"/>
      <c r="CU8" s="620">
        <v>1</v>
      </c>
      <c r="CV8" s="597">
        <f t="shared" ref="CV8:CV19" si="56">DATE($BC$7,CU8,1)</f>
        <v>45292</v>
      </c>
      <c r="DG8" s="600">
        <f t="shared" ref="DG8:DG19" si="57">IF($CA$24="",0,IF($DG$6=0,0,IF(EOMONTH($CV8,0)&lt;$CM$24,0,IF($CN$24&lt;$CV8,0,IF(AND($CM$24&lt;=$CV8,$CN$24&gt;= EOMONTH($CV8,0)),ROUND(30*$CR$24,2),IF(AND($CV8&lt;=$CM$24, EOMONTH($CV8,0)&gt;$CM$24, EOMONTH($CV8,0)&lt;=$CN$24),ROUND($CR$24*DAYS360($CM$24, EOMONTH($CV8,0),TRUE),2),IF(AND($CV8&gt;=$CM$24,$CV8&lt;=$CN$24, EOMONTH($CV8,0)&gt;$CN$24),ROUND($CR$24*(DAYS360($CV8,$CN$24,TRUE)+1),2))))))))</f>
        <v>0</v>
      </c>
      <c r="DH8" s="640">
        <f t="shared" ref="DH8:DH19" si="58">IF($CA$25="",0,IF($DH$6=0,0,IF(EOMONTH($CV8,0)&lt;$CM$25,0,IF($CN$25&lt;$CV8,0,IF(AND($CM$25&lt;=$CV8,$CN$25&gt;= EOMONTH($CV8,0)),ROUND(30*$CR$25,2),IF(AND($CV8&lt;=$CM$25, EOMONTH($CV8,0)&gt;$CM$25, EOMONTH($CV8,0)&lt;=$CN$25),ROUND($CR$25*DAYS360($CM$25, EOMONTH($CV8,0),TRUE),2),IF(AND($CV8&gt;=$CM$25,$CV8&lt;=$CN$25, EOMONTH($CV8,0)&gt;$CN$25),ROUND($CR$25*(DAYS360($CV8,$CN$25,TRUE)+1),2))))))))</f>
        <v>0</v>
      </c>
      <c r="DI8" s="640">
        <f t="shared" ref="DI8:DI19" si="59">IF($CA$26="",0,IF($DI$6=0,0,IF(EOMONTH($CV8,0)&lt;$CM$26,0,IF($CN$26&lt;$CV8,0,IF(AND($CM$26&lt;=$CV8,$CN$26&gt;= EOMONTH($CV8,0)),ROUND(30*$CR$26,2),IF(AND($CV8&lt;=$CM$26, EOMONTH($CV8,0)&gt;$CM$26, EOMONTH($CV8,0)&lt;=$CN$26),ROUND($CR$26*DAYS360($CM$26, EOMONTH($CV8,0),TRUE),2),IF(AND($CV8&gt;=$CM$26,$CV8&lt;=$CN$26, EOMONTH($CV8,0)&gt;$CN$26),ROUND($CR$26*(DAYS360($CV8,$CN$26,TRUE)+1),2))))))))</f>
        <v>0</v>
      </c>
      <c r="DJ8" s="640">
        <f t="shared" ref="DJ8:DJ19" si="60">IF($CA$27="",0,IF($DJ$6=0,0,IF(EOMONTH($CV8,0)&lt;$CM$27,0,IF($CN$27&lt;$CV8,0,IF(AND($CM$27&lt;=$CV8,$CN$27&gt;= EOMONTH($CV8,0)),ROUND(30*$CR$27,2),IF(AND($CV8&lt;=$CM$27, EOMONTH($CV8,0)&gt;$CM$27, EOMONTH($CV8,0)&lt;=$CN$27),ROUND($CR$27*DAYS360($CM$27, EOMONTH($CV8,0),TRUE),2),IF(AND($CV8&gt;=$CM$27,$CV8&lt;=$CN$27, EOMONTH($CV8,0)&gt;$CN$27),ROUND($CR$27*(DAYS360($CV8,$CN$27,TRUE)+1),2))))))))</f>
        <v>0</v>
      </c>
      <c r="DK8" s="640">
        <f t="shared" ref="DK8:DK19" si="61">IF($CA$28="",0,IF($DK$6=0,0,IF(EOMONTH($CV8,0)&lt;$CM$28,0,IF($CN$28&lt;$CV8,0,IF(AND($CM$28&lt;=$CV8,$CN$28&gt;= EOMONTH($CV8,0)),ROUND(30*$CR$28,2),IF(AND($CV8&lt;=$CM$28, EOMONTH($CV8,0)&gt;$CM$28, EOMONTH($CV8,0)&lt;=$CN$28),ROUND($CR$28*DAYS360($CM$28, EOMONTH($CV8,0),TRUE),2),IF(AND($CV8&gt;=$CM$28,$CV8&lt;=$CN$28, EOMONTH($CV8,0)&gt;$CN$28),ROUND($CR$28*(DAYS360($CV8,$CN$28,TRUE)+1),2))))))))</f>
        <v>0</v>
      </c>
      <c r="DL8" s="640">
        <f t="shared" ref="DL8:DL19" si="62">IF($CA$29="",0,IF($DL$6=0,0,IF(EOMONTH($CV8,0)&lt;$CM$29,0,IF($CN$29&lt;$CV8,0,IF(AND($CM$29&lt;=$CV8,$CN$29&gt;= EOMONTH($CV8,0)),ROUND(30*$CR$29,2),IF(AND($CV8&lt;=$CM$29, EOMONTH($CV8,0)&gt;$CM$29, EOMONTH($CV8,0)&lt;=$CN$29),ROUND($CR$29*DAYS360($CM$29, EOMONTH($CV8,0),TRUE),2),IF(AND($CV8&gt;=$CM$29,$CV8&lt;=$CN$29, EOMONTH($CV8,0)&gt;$CN$29),ROUND($CR$29*(DAYS360($CV8,$CN$29,TRUE)+1),2))))))))</f>
        <v>0</v>
      </c>
      <c r="DM8" s="640">
        <f t="shared" ref="DM8:DM19" si="63">IF($CA$30="",0,IF($DM$6=0,0,IF(EOMONTH($CV8,0)&lt;$CM$30,0,IF($CN$30&lt;$CV8,0,IF(AND($CM$30&lt;=$CV8,$CN$30&gt;= EOMONTH($CV8,0)),ROUND(30*$CR$30,2),IF(AND($CV8&lt;=$CM$30, EOMONTH($CV8,0)&gt;$CM$30, EOMONTH($CV8,0)&lt;=$CN$30),ROUND($CR$30*DAYS360($CM$30, EOMONTH($CV8,0),TRUE),2),IF(AND($CV8&gt;=$CM$30,$CV8&lt;=$CN$30, EOMONTH($CV8,0)&gt;$CN$30),ROUND($CR$30*(DAYS360($CV8,$CN$30,TRUE)+1),2))))))))</f>
        <v>0</v>
      </c>
      <c r="DN8" s="641">
        <f t="shared" ref="DN8:DN19" si="64">IF($CA$31="",0,IF($DN$6=0,0,IF(EOMONTH($CV8,0)&lt;$CM$31,0,IF($CN$31&lt;$CV8,0,IF(AND($CM$31&lt;=$CV8,$CN$31&gt;= EOMONTH($CV8,0)),ROUND(30*$CR$31,2),IF(AND($CV8&lt;=$CM$31, EOMONTH($CV8,0)&gt;$CM$31, EOMONTH($CV8,0)&lt;=$CN$31),ROUND($CR$31*DAYS360($CM$31, EOMONTH($CV8,0),TRUE),2),IF(AND($CV8&gt;=$CM$31,$CV8&lt;=$CN$31, EOMONTH($CV8,0)&gt;$CN$31),ROUND($CR$31*(DAYS360($CV8,$CN$31,TRUE)+1),2))))))))</f>
        <v>0</v>
      </c>
      <c r="DO8" s="658">
        <f>SUM(DG8:DN8)</f>
        <v>0</v>
      </c>
      <c r="DS8" s="470"/>
      <c r="ED8" s="482">
        <f t="shared" si="1"/>
        <v>45292</v>
      </c>
      <c r="EE8" s="482">
        <f t="shared" si="2"/>
        <v>45322</v>
      </c>
      <c r="EF8" s="14" t="str">
        <f>IF(AND(EE8&gt;=EXPEDIENTE!$F$25,ED8&lt;=EXPEDIENTE!$F$29),"SI","NO")</f>
        <v>NO</v>
      </c>
      <c r="EG8" s="11">
        <f t="shared" si="3"/>
        <v>0</v>
      </c>
      <c r="EH8" s="11">
        <f t="shared" si="4"/>
        <v>0</v>
      </c>
      <c r="EI8" s="11">
        <f t="shared" si="5"/>
        <v>0</v>
      </c>
      <c r="EJ8" s="11">
        <f t="shared" si="6"/>
        <v>0</v>
      </c>
      <c r="EK8" s="11">
        <f t="shared" si="7"/>
        <v>0</v>
      </c>
      <c r="EL8" s="11">
        <f t="shared" si="8"/>
        <v>0</v>
      </c>
      <c r="EM8" s="11">
        <f t="shared" si="9"/>
        <v>0</v>
      </c>
      <c r="EN8" s="11">
        <f t="shared" si="10"/>
        <v>0</v>
      </c>
      <c r="EO8" s="11">
        <f t="shared" si="11"/>
        <v>0</v>
      </c>
      <c r="EP8" s="11">
        <f t="shared" si="12"/>
        <v>0</v>
      </c>
      <c r="EQ8" s="11">
        <f t="shared" si="13"/>
        <v>0</v>
      </c>
      <c r="ER8" s="11">
        <f t="shared" si="14"/>
        <v>0</v>
      </c>
      <c r="ES8" s="11">
        <f t="shared" si="15"/>
        <v>0</v>
      </c>
      <c r="ET8" s="11">
        <f t="shared" si="16"/>
        <v>0</v>
      </c>
      <c r="EU8" s="11">
        <f t="shared" si="17"/>
        <v>0</v>
      </c>
      <c r="EV8" s="11">
        <f t="shared" si="18"/>
        <v>0</v>
      </c>
      <c r="EW8" s="11">
        <f t="shared" si="19"/>
        <v>0</v>
      </c>
      <c r="EX8" s="11">
        <f t="shared" si="20"/>
        <v>0</v>
      </c>
      <c r="EY8" s="11">
        <f t="shared" si="21"/>
        <v>0</v>
      </c>
      <c r="EZ8" s="11">
        <f t="shared" si="22"/>
        <v>0</v>
      </c>
      <c r="FA8" s="11">
        <f t="shared" si="23"/>
        <v>0</v>
      </c>
      <c r="FB8" s="11">
        <f t="shared" si="24"/>
        <v>0</v>
      </c>
      <c r="FC8" s="11">
        <f t="shared" si="25"/>
        <v>0</v>
      </c>
      <c r="FD8" s="11">
        <f t="shared" si="26"/>
        <v>0</v>
      </c>
      <c r="FE8" s="11">
        <f t="shared" si="27"/>
        <v>0</v>
      </c>
      <c r="FF8" s="11">
        <f t="shared" si="28"/>
        <v>0</v>
      </c>
      <c r="FG8" s="11">
        <f t="shared" si="29"/>
        <v>0</v>
      </c>
      <c r="FH8" s="11">
        <f t="shared" si="30"/>
        <v>0</v>
      </c>
      <c r="FI8" s="11">
        <f t="shared" si="31"/>
        <v>0</v>
      </c>
      <c r="FJ8" s="11">
        <f t="shared" si="32"/>
        <v>0</v>
      </c>
      <c r="FK8" s="11">
        <f t="shared" si="33"/>
        <v>0</v>
      </c>
      <c r="FL8" s="11">
        <f t="shared" si="34"/>
        <v>0</v>
      </c>
      <c r="FM8" s="11">
        <f t="shared" ref="FM8:FM69" si="65">IF(EF8="SI",SUM(EG8:FL8),0)</f>
        <v>0</v>
      </c>
      <c r="FW8" s="470"/>
      <c r="GH8" s="482">
        <f t="shared" si="35"/>
        <v>45292</v>
      </c>
      <c r="GI8" s="482">
        <f t="shared" si="36"/>
        <v>45322</v>
      </c>
      <c r="GJ8" s="14" t="str">
        <f>IF(AND(GI8&gt;=EXPEDIENTE!$F$25,GH8&lt;=EXPEDIENTE!$F$29),"SI","NO")</f>
        <v>NO</v>
      </c>
      <c r="GK8" s="11">
        <f t="shared" ref="GK8:GK69" si="66">IF(AND($GH8&gt;=$FY$23,$GI8&lt;=$FZ$23),$GE$23,0)</f>
        <v>0</v>
      </c>
      <c r="GL8" s="11">
        <f t="shared" ref="GL8:GL69" si="67">IF(AND($GH8&gt;=$FY$24,$GI8&lt;=$FZ$24),$GE$24,0)</f>
        <v>0</v>
      </c>
      <c r="GM8" s="11">
        <f t="shared" ref="GM8:GM69" si="68">IF(AND($GH8&gt;=$FY$25,$GI8&lt;=$FZ$25),$GE$25,0)</f>
        <v>0</v>
      </c>
      <c r="GN8" s="11">
        <f t="shared" ref="GN8:GN69" si="69">IF(AND($GH8&gt;=$FY$26,$GI8&lt;=$FZ$26),$GE$26,0)</f>
        <v>0</v>
      </c>
      <c r="GO8" s="11">
        <f t="shared" ref="GO8:GO69" si="70">IF(AND($GH8&gt;=$FY$27,$GI8&lt;=$FZ$27),$GE$27,0)</f>
        <v>0</v>
      </c>
      <c r="GP8" s="11">
        <f t="shared" ref="GP8:GP69" si="71">IF(AND($GH8&gt;=$FY$28,$GI8&lt;=$FZ$28),$GE$28,0)</f>
        <v>0</v>
      </c>
      <c r="GQ8" s="11">
        <f t="shared" ref="GQ8:GQ69" si="72">IF(AND($GH8&gt;=$FY$29,$GI8&lt;=$FZ$29),$GE$29,0)</f>
        <v>0</v>
      </c>
      <c r="GR8" s="11">
        <f t="shared" ref="GR8:GR69" si="73">IF(AND($GH8&gt;=$FY$30,$GI8&lt;=$FZ$30),$GE$30,0)</f>
        <v>0</v>
      </c>
      <c r="GS8" s="11">
        <f t="shared" ref="GS8:GS69" si="74">IF(AND($GH8&gt;=$FY$39,$GI8&lt;=$FZ$39),$GE$39,0)</f>
        <v>0</v>
      </c>
      <c r="GT8" s="11">
        <f t="shared" ref="GT8:GT69" si="75">IF(AND($GH8&gt;=$FY$40,$GI8&lt;=$FZ$40),$GE$40,0)</f>
        <v>0</v>
      </c>
      <c r="GU8" s="11">
        <f t="shared" ref="GU8:GU69" si="76">IF(AND($GH8&gt;=$FY$41,$GI8&lt;=$FZ$41),$GE$41,0)</f>
        <v>0</v>
      </c>
      <c r="GV8" s="11">
        <f t="shared" ref="GV8:GV69" si="77">IF(AND($GH8&gt;=$FY$42,$GI8&lt;=$FZ$42),$GE$42,0)</f>
        <v>0</v>
      </c>
      <c r="GW8" s="11">
        <f t="shared" ref="GW8:GW69" si="78">IF(AND($GH8&gt;=$FY$43,$GI8&lt;=$FZ$43),$GE$43,0)</f>
        <v>0</v>
      </c>
      <c r="GX8" s="11">
        <f t="shared" ref="GX8:GX69" si="79">IF(AND($GH8&gt;=$FY$44,$GI8&lt;=$FZ$44),$GE$44,0)</f>
        <v>0</v>
      </c>
      <c r="GY8" s="11">
        <f t="shared" ref="GY8:GY69" si="80">IF(AND($GH8&gt;=$FY$45,$GI8&lt;=$FZ$45),$GE$45,0)</f>
        <v>0</v>
      </c>
      <c r="GZ8" s="11">
        <f t="shared" ref="GZ8:GZ69" si="81">IF(AND($GH8&gt;=$FY$46,$GI8&lt;=$FZ$46),$GE$46,0)</f>
        <v>0</v>
      </c>
      <c r="HA8" s="11">
        <f t="shared" ref="HA8:HA69" si="82">IF(AND($GH8&gt;=$FY$55,$GI8&lt;=$FZ$55),$GE$55,0)</f>
        <v>0</v>
      </c>
      <c r="HB8" s="11">
        <f t="shared" ref="HB8:HB69" si="83">IF(AND($GH8&gt;=$FY$56,$GI8&lt;=$FZ$56),$GE$56,0)</f>
        <v>0</v>
      </c>
      <c r="HC8" s="11">
        <f t="shared" ref="HC8:HC69" si="84">IF(AND($GH8&gt;=$FY$57,$GI8&lt;=$FZ$57),$GE$57,0)</f>
        <v>0</v>
      </c>
      <c r="HD8" s="11">
        <f t="shared" ref="HD8:HD69" si="85">IF(AND($GH8&gt;=$FY$58,$GI8&lt;=$FZ$58),$GE$58,0)</f>
        <v>0</v>
      </c>
      <c r="HE8" s="11">
        <f t="shared" ref="HE8:HE69" si="86">IF(AND($GH8&gt;=$FY$59,$GI8&lt;=$FZ$59),$GE$59,0)</f>
        <v>0</v>
      </c>
      <c r="HF8" s="11">
        <f t="shared" ref="HF8:HF69" si="87">IF(AND($GH8&gt;=$FY$60,$GI8&lt;=$FZ$60),$GE$60,0)</f>
        <v>0</v>
      </c>
      <c r="HG8" s="11">
        <f t="shared" ref="HG8:HG69" si="88">IF(AND($GH8&gt;=$FY$61,$GI8&lt;=$FZ$61),$GE$61,0)</f>
        <v>0</v>
      </c>
      <c r="HH8" s="11">
        <f t="shared" ref="HH8:HH69" si="89">IF(AND($GH8&gt;=$FY$62,$GI8&lt;=$FZ$62),$GE$62,0)</f>
        <v>0</v>
      </c>
      <c r="HI8" s="11">
        <f t="shared" ref="HI8:HI69" si="90">IF(AND($GH8&gt;=$FY$71,$GI8&lt;=$FZ$71),$GE$71,0)</f>
        <v>0</v>
      </c>
      <c r="HJ8" s="11">
        <f t="shared" ref="HJ8:HJ69" si="91">IF(AND($GH8&gt;=$FY$72,$GI8&lt;=$FZ$72),$GE$72,0)</f>
        <v>0</v>
      </c>
      <c r="HK8" s="11">
        <f t="shared" ref="HK8:HK69" si="92">IF(AND($GH8&gt;=$FY$73,$GI8&lt;=$FZ$73),$GE$73,0)</f>
        <v>0</v>
      </c>
      <c r="HL8" s="11">
        <f t="shared" ref="HL8:HL69" si="93">IF(AND($GH8&gt;=$FY$74,$GI8&lt;=$FZ$74),$GE$74,0)</f>
        <v>0</v>
      </c>
      <c r="HM8" s="11">
        <f t="shared" ref="HM8:HM69" si="94">IF(AND($GH8&gt;=$FY$75,$GI8&lt;=$FZ$75),$GE$75,0)</f>
        <v>0</v>
      </c>
      <c r="HN8" s="11">
        <f t="shared" ref="HN8:HN69" si="95">IF(AND($GH8&gt;=$FY$76,$GI8&lt;=$FZ$76),$GE$76,0)</f>
        <v>0</v>
      </c>
      <c r="HO8" s="11">
        <f t="shared" ref="HO8:HO69" si="96">IF(AND($GH8&gt;=$FY$77,$GI8&lt;=$FZ$77),$GE$77,0)</f>
        <v>0</v>
      </c>
      <c r="HP8" s="11">
        <f t="shared" ref="HP8:HP69" si="97">IF(AND($GH8&gt;=$FY$78,$GI8&lt;=$FZ$78),$GE$78,0)</f>
        <v>0</v>
      </c>
      <c r="HQ8" s="11">
        <f t="shared" ref="HQ8:HQ69" si="98">IF(GJ8="SI",SUM(GK8:HP8),0)</f>
        <v>0</v>
      </c>
      <c r="IB8" s="479">
        <v>3</v>
      </c>
      <c r="IC8" s="474" t="str">
        <f>IF(EXPEDIENTE!F27="","",IF(YEAR(EXPEDIENTE!$F$27)&gt;=YEAR(EXPEDIENTE!$F$25),YEAR(EXPEDIENTE!$F$25)+2,""))</f>
        <v/>
      </c>
      <c r="ID8" s="474" t="str">
        <f>IF(IC8="","",'IDENTIFICACIÓN TRABAJADOR'!$D$14)</f>
        <v/>
      </c>
      <c r="IE8" s="479" t="str">
        <f>CONCATENATE(UPPER('IDENTIFICACIÓN TRABAJADOR'!$D$11)," ",UPPER('IDENTIFICACIÓN TRABAJADOR'!$D$12)," ",UPPER('IDENTIFICACIÓN TRABAJADOR'!$D$13)," (EJERCICIO ",IC8,")")</f>
        <v xml:space="preserve">   (EJERCICIO )</v>
      </c>
      <c r="IF8" s="479">
        <f>IF($IH8&gt;0,"",'RESUMEN TRABAJADOR '!P72)</f>
        <v>0</v>
      </c>
      <c r="IH8" s="474">
        <f>'% DEDICACIÓN TRABAJADOR'!$B$43</f>
        <v>0</v>
      </c>
      <c r="IJ8" s="474">
        <f t="shared" si="37"/>
        <v>1</v>
      </c>
      <c r="IK8" s="474">
        <f>SMALL($IJ$6:$IJ$9,3)</f>
        <v>1</v>
      </c>
      <c r="IL8" s="474" t="str">
        <f>IF(ID8="","",IF(IK8&gt;MAX($IC$6:$IC$9),"",VLOOKUP(IK8,$IB$6:$IF$9,2,FALSE)))</f>
        <v/>
      </c>
      <c r="IM8" s="474" t="str">
        <f t="shared" si="38"/>
        <v/>
      </c>
      <c r="IN8" s="479" t="str">
        <f>IF(ID8="","",IF(IK8&gt;MAX($IC$6:$IC$9),"",VLOOKUP(IK8,$IB$6:$IF$9,4,FALSE)))</f>
        <v/>
      </c>
      <c r="IO8" s="479" t="str">
        <f>IF(ID8="","",IF(IK8&gt;MAX($IC$6:$IC$9),"",VLOOKUP(IK8,$IB$6:$IF$9,5,FALSE)))</f>
        <v/>
      </c>
      <c r="IQ8" s="479">
        <v>3</v>
      </c>
      <c r="IR8" s="474" t="str">
        <f>IF(EXPEDIENTE!I27="","",IF(YEAR(EXPEDIENTE!$I$27)&gt;=YEAR(EXPEDIENTE!$I$25),YEAR(EXPEDIENTE!$I$25)+2,""))</f>
        <v/>
      </c>
      <c r="IS8" s="474" t="str">
        <f>IF(IR8="","",'IDENTIFICACIÓN TRABAJADOR'!$D$14)</f>
        <v/>
      </c>
      <c r="IT8" s="479" t="str">
        <f>CONCATENATE(UPPER('IDENTIFICACIÓN TRABAJADOR'!$D$11)," ",UPPER('IDENTIFICACIÓN TRABAJADOR'!$D$12)," ",UPPER('IDENTIFICACIÓN TRABAJADOR'!$D$13)," (EJERCICIO ",IR8,")")</f>
        <v xml:space="preserve">   (EJERCICIO )</v>
      </c>
      <c r="IU8" s="479">
        <f>IF($IH8&gt;0,"",'RESUMEN TRABAJADOR '!AL72)</f>
        <v>0</v>
      </c>
      <c r="IW8" s="474">
        <f>'% DEDICACIÓN TRABAJADOR'!$B$43</f>
        <v>0</v>
      </c>
      <c r="IY8" s="474">
        <f t="shared" si="39"/>
        <v>1</v>
      </c>
      <c r="IZ8" s="474">
        <f>SMALL($IY$6:$IY$9,3)</f>
        <v>1</v>
      </c>
      <c r="JA8" s="474" t="str">
        <f>IF(IS8="","",IF(IZ8&gt;MAX($IC$6:$IC$9),"",VLOOKUP(IZ8,$IB$6:$IF$9,2,FALSE)))</f>
        <v/>
      </c>
      <c r="JB8" s="474" t="str">
        <f t="shared" si="40"/>
        <v/>
      </c>
      <c r="JC8" s="479" t="str">
        <f t="shared" si="41"/>
        <v/>
      </c>
      <c r="JD8" s="479" t="str">
        <f t="shared" si="42"/>
        <v/>
      </c>
      <c r="JF8" s="480">
        <v>4</v>
      </c>
      <c r="JG8" s="474">
        <v>0</v>
      </c>
    </row>
    <row r="9" spans="1:270" x14ac:dyDescent="0.3">
      <c r="C9" s="8">
        <v>3</v>
      </c>
      <c r="D9" s="12" t="s">
        <v>477</v>
      </c>
      <c r="E9" s="17">
        <v>8</v>
      </c>
      <c r="F9" s="18" t="s">
        <v>478</v>
      </c>
      <c r="G9" s="19" t="s">
        <v>479</v>
      </c>
      <c r="H9" s="19"/>
      <c r="I9" s="19"/>
      <c r="J9" s="12" t="s">
        <v>86</v>
      </c>
      <c r="K9" s="14">
        <f t="shared" si="43"/>
        <v>3</v>
      </c>
      <c r="L9" s="14">
        <f t="shared" si="44"/>
        <v>3</v>
      </c>
      <c r="M9" s="14" t="str">
        <f t="shared" si="45"/>
        <v>X</v>
      </c>
      <c r="O9" s="23" t="s">
        <v>60</v>
      </c>
      <c r="P9" s="19">
        <v>2025</v>
      </c>
      <c r="V9" s="1134"/>
      <c r="W9" s="24" t="s">
        <v>405</v>
      </c>
      <c r="Y9" s="547">
        <f t="shared" si="46"/>
        <v>3</v>
      </c>
      <c r="Z9" s="478" t="str">
        <f>IF(Y9="","",IF(EDATE($Z$6,Y9)&gt;EXPEDIENTE!$F$27,"",CONCATENATE(TEXT(EDATE($Z$6,Y9),"mmm"),"-",RIGHT(YEAR(EXPEDIENTE!$F$25),2))))</f>
        <v/>
      </c>
      <c r="AA9" s="478" t="str">
        <f t="shared" si="0"/>
        <v/>
      </c>
      <c r="AB9" s="478" t="str">
        <f>IF(AA9="","",IF(YEAR(EXPEDIENTE!$F$25)=YEAR(AA9),AA9,""))</f>
        <v/>
      </c>
      <c r="AC9" s="478" t="str">
        <f>IF(AA9="","",IF(YEAR(EXPEDIENTE!$F$25)+1=YEAR(AA9),AA9,""))</f>
        <v/>
      </c>
      <c r="AD9" s="478" t="str">
        <f>IF(AA9="","",IF(YEAR(EXPEDIENTE!$F$25)+2=YEAR(AA9),AA9,""))</f>
        <v/>
      </c>
      <c r="AE9" s="478" t="str">
        <f>IF(AA9="","",IF(YEAR(EXPEDIENTE!$F$25)+3=YEAR(AA9),AA9,""))</f>
        <v/>
      </c>
      <c r="AG9" s="471"/>
      <c r="AH9" s="470"/>
      <c r="AI9" s="470"/>
      <c r="AJ9" s="470"/>
      <c r="AK9" s="470"/>
      <c r="AL9" s="470"/>
      <c r="AM9" s="470"/>
      <c r="AN9" s="470"/>
      <c r="AO9" s="470"/>
      <c r="AP9" s="470"/>
      <c r="AQ9" s="470"/>
      <c r="AR9" s="470"/>
      <c r="AS9" s="470"/>
      <c r="AT9" s="639"/>
      <c r="AU9" s="639"/>
      <c r="AV9" s="470"/>
      <c r="AW9" s="470"/>
      <c r="AX9" s="470"/>
      <c r="AY9" s="470"/>
      <c r="AZ9" s="470"/>
      <c r="BB9" s="596">
        <v>2</v>
      </c>
      <c r="BC9" s="598">
        <f t="shared" si="47"/>
        <v>45323</v>
      </c>
      <c r="BN9" s="601">
        <f t="shared" si="48"/>
        <v>0</v>
      </c>
      <c r="BO9" s="643">
        <f t="shared" si="49"/>
        <v>0</v>
      </c>
      <c r="BP9" s="643">
        <f t="shared" si="50"/>
        <v>0</v>
      </c>
      <c r="BQ9" s="643">
        <f t="shared" si="51"/>
        <v>0</v>
      </c>
      <c r="BR9" s="643">
        <f t="shared" si="52"/>
        <v>0</v>
      </c>
      <c r="BS9" s="643">
        <f t="shared" si="53"/>
        <v>0</v>
      </c>
      <c r="BT9" s="643">
        <f t="shared" si="54"/>
        <v>0</v>
      </c>
      <c r="BU9" s="644">
        <f t="shared" si="55"/>
        <v>0</v>
      </c>
      <c r="BV9" s="645">
        <f t="shared" ref="BV9:BV19" si="99">SUM(BN9:BU9)</f>
        <v>0</v>
      </c>
      <c r="BZ9" s="471"/>
      <c r="CA9" s="470"/>
      <c r="CB9" s="470"/>
      <c r="CC9" s="470"/>
      <c r="CD9" s="470"/>
      <c r="CE9" s="470"/>
      <c r="CF9" s="470"/>
      <c r="CG9" s="470"/>
      <c r="CH9" s="470"/>
      <c r="CI9" s="470"/>
      <c r="CJ9" s="470"/>
      <c r="CK9" s="470"/>
      <c r="CL9" s="470"/>
      <c r="CM9" s="470"/>
      <c r="CN9" s="470"/>
      <c r="CO9" s="470"/>
      <c r="CP9" s="470"/>
      <c r="CQ9" s="470"/>
      <c r="CR9" s="470"/>
      <c r="CS9" s="470"/>
      <c r="CU9" s="620">
        <v>2</v>
      </c>
      <c r="CV9" s="598">
        <f t="shared" si="56"/>
        <v>45323</v>
      </c>
      <c r="DG9" s="621">
        <f t="shared" si="57"/>
        <v>0</v>
      </c>
      <c r="DH9" s="649">
        <f t="shared" si="58"/>
        <v>0</v>
      </c>
      <c r="DI9" s="649">
        <f t="shared" si="59"/>
        <v>0</v>
      </c>
      <c r="DJ9" s="649">
        <f t="shared" si="60"/>
        <v>0</v>
      </c>
      <c r="DK9" s="649">
        <f t="shared" si="61"/>
        <v>0</v>
      </c>
      <c r="DL9" s="649">
        <f t="shared" si="62"/>
        <v>0</v>
      </c>
      <c r="DM9" s="649">
        <f t="shared" si="63"/>
        <v>0</v>
      </c>
      <c r="DN9" s="650">
        <f t="shared" si="64"/>
        <v>0</v>
      </c>
      <c r="DO9" s="607">
        <f t="shared" ref="DO9:DO19" si="100">SUM(DG9:DN9)</f>
        <v>0</v>
      </c>
      <c r="DS9" s="470"/>
      <c r="ED9" s="482">
        <f t="shared" si="1"/>
        <v>45323</v>
      </c>
      <c r="EE9" s="482">
        <f t="shared" si="2"/>
        <v>45351</v>
      </c>
      <c r="EF9" s="14" t="str">
        <f>IF(AND(EE9&gt;=EXPEDIENTE!$F$25,ED9&lt;=EXPEDIENTE!$F$29),"SI","NO")</f>
        <v>NO</v>
      </c>
      <c r="EG9" s="11">
        <f t="shared" si="3"/>
        <v>0</v>
      </c>
      <c r="EH9" s="11">
        <f t="shared" si="4"/>
        <v>0</v>
      </c>
      <c r="EI9" s="11">
        <f t="shared" si="5"/>
        <v>0</v>
      </c>
      <c r="EJ9" s="11">
        <f t="shared" si="6"/>
        <v>0</v>
      </c>
      <c r="EK9" s="11">
        <f t="shared" si="7"/>
        <v>0</v>
      </c>
      <c r="EL9" s="11">
        <f t="shared" si="8"/>
        <v>0</v>
      </c>
      <c r="EM9" s="11">
        <f t="shared" si="9"/>
        <v>0</v>
      </c>
      <c r="EN9" s="11">
        <f t="shared" si="10"/>
        <v>0</v>
      </c>
      <c r="EO9" s="11">
        <f t="shared" si="11"/>
        <v>0</v>
      </c>
      <c r="EP9" s="11">
        <f t="shared" si="12"/>
        <v>0</v>
      </c>
      <c r="EQ9" s="11">
        <f t="shared" si="13"/>
        <v>0</v>
      </c>
      <c r="ER9" s="11">
        <f t="shared" si="14"/>
        <v>0</v>
      </c>
      <c r="ES9" s="11">
        <f t="shared" si="15"/>
        <v>0</v>
      </c>
      <c r="ET9" s="11">
        <f t="shared" si="16"/>
        <v>0</v>
      </c>
      <c r="EU9" s="11">
        <f t="shared" si="17"/>
        <v>0</v>
      </c>
      <c r="EV9" s="11">
        <f t="shared" si="18"/>
        <v>0</v>
      </c>
      <c r="EW9" s="11">
        <f t="shared" si="19"/>
        <v>0</v>
      </c>
      <c r="EX9" s="11">
        <f t="shared" si="20"/>
        <v>0</v>
      </c>
      <c r="EY9" s="11">
        <f t="shared" si="21"/>
        <v>0</v>
      </c>
      <c r="EZ9" s="11">
        <f t="shared" si="22"/>
        <v>0</v>
      </c>
      <c r="FA9" s="11">
        <f t="shared" si="23"/>
        <v>0</v>
      </c>
      <c r="FB9" s="11">
        <f t="shared" si="24"/>
        <v>0</v>
      </c>
      <c r="FC9" s="11">
        <f t="shared" si="25"/>
        <v>0</v>
      </c>
      <c r="FD9" s="11">
        <f t="shared" si="26"/>
        <v>0</v>
      </c>
      <c r="FE9" s="11">
        <f t="shared" si="27"/>
        <v>0</v>
      </c>
      <c r="FF9" s="11">
        <f t="shared" si="28"/>
        <v>0</v>
      </c>
      <c r="FG9" s="11">
        <f t="shared" si="29"/>
        <v>0</v>
      </c>
      <c r="FH9" s="11">
        <f t="shared" si="30"/>
        <v>0</v>
      </c>
      <c r="FI9" s="11">
        <f t="shared" si="31"/>
        <v>0</v>
      </c>
      <c r="FJ9" s="11">
        <f t="shared" si="32"/>
        <v>0</v>
      </c>
      <c r="FK9" s="11">
        <f t="shared" si="33"/>
        <v>0</v>
      </c>
      <c r="FL9" s="11">
        <f t="shared" si="34"/>
        <v>0</v>
      </c>
      <c r="FM9" s="11">
        <f t="shared" si="65"/>
        <v>0</v>
      </c>
      <c r="FW9" s="470"/>
      <c r="GH9" s="482">
        <f t="shared" si="35"/>
        <v>45323</v>
      </c>
      <c r="GI9" s="482">
        <f t="shared" si="36"/>
        <v>45351</v>
      </c>
      <c r="GJ9" s="14" t="str">
        <f>IF(AND(GI9&gt;=EXPEDIENTE!$F$25,GH9&lt;=EXPEDIENTE!$F$29),"SI","NO")</f>
        <v>NO</v>
      </c>
      <c r="GK9" s="11">
        <f t="shared" si="66"/>
        <v>0</v>
      </c>
      <c r="GL9" s="11">
        <f t="shared" si="67"/>
        <v>0</v>
      </c>
      <c r="GM9" s="11">
        <f t="shared" si="68"/>
        <v>0</v>
      </c>
      <c r="GN9" s="11">
        <f t="shared" si="69"/>
        <v>0</v>
      </c>
      <c r="GO9" s="11">
        <f t="shared" si="70"/>
        <v>0</v>
      </c>
      <c r="GP9" s="11">
        <f t="shared" si="71"/>
        <v>0</v>
      </c>
      <c r="GQ9" s="11">
        <f t="shared" si="72"/>
        <v>0</v>
      </c>
      <c r="GR9" s="11">
        <f t="shared" si="73"/>
        <v>0</v>
      </c>
      <c r="GS9" s="11">
        <f t="shared" si="74"/>
        <v>0</v>
      </c>
      <c r="GT9" s="11">
        <f t="shared" si="75"/>
        <v>0</v>
      </c>
      <c r="GU9" s="11">
        <f t="shared" si="76"/>
        <v>0</v>
      </c>
      <c r="GV9" s="11">
        <f t="shared" si="77"/>
        <v>0</v>
      </c>
      <c r="GW9" s="11">
        <f t="shared" si="78"/>
        <v>0</v>
      </c>
      <c r="GX9" s="11">
        <f t="shared" si="79"/>
        <v>0</v>
      </c>
      <c r="GY9" s="11">
        <f t="shared" si="80"/>
        <v>0</v>
      </c>
      <c r="GZ9" s="11">
        <f t="shared" si="81"/>
        <v>0</v>
      </c>
      <c r="HA9" s="11">
        <f t="shared" si="82"/>
        <v>0</v>
      </c>
      <c r="HB9" s="11">
        <f t="shared" si="83"/>
        <v>0</v>
      </c>
      <c r="HC9" s="11">
        <f t="shared" si="84"/>
        <v>0</v>
      </c>
      <c r="HD9" s="11">
        <f t="shared" si="85"/>
        <v>0</v>
      </c>
      <c r="HE9" s="11">
        <f t="shared" si="86"/>
        <v>0</v>
      </c>
      <c r="HF9" s="11">
        <f t="shared" si="87"/>
        <v>0</v>
      </c>
      <c r="HG9" s="11">
        <f t="shared" si="88"/>
        <v>0</v>
      </c>
      <c r="HH9" s="11">
        <f t="shared" si="89"/>
        <v>0</v>
      </c>
      <c r="HI9" s="11">
        <f t="shared" si="90"/>
        <v>0</v>
      </c>
      <c r="HJ9" s="11">
        <f t="shared" si="91"/>
        <v>0</v>
      </c>
      <c r="HK9" s="11">
        <f t="shared" si="92"/>
        <v>0</v>
      </c>
      <c r="HL9" s="11">
        <f t="shared" si="93"/>
        <v>0</v>
      </c>
      <c r="HM9" s="11">
        <f t="shared" si="94"/>
        <v>0</v>
      </c>
      <c r="HN9" s="11">
        <f t="shared" si="95"/>
        <v>0</v>
      </c>
      <c r="HO9" s="11">
        <f t="shared" si="96"/>
        <v>0</v>
      </c>
      <c r="HP9" s="11">
        <f t="shared" si="97"/>
        <v>0</v>
      </c>
      <c r="HQ9" s="11">
        <f t="shared" si="98"/>
        <v>0</v>
      </c>
      <c r="IB9" s="479">
        <v>4</v>
      </c>
      <c r="IC9" s="474" t="str">
        <f>IF(EXPEDIENTE!F27="","",IF(YEAR(EXPEDIENTE!$F$27)&gt;=YEAR(EXPEDIENTE!$F$25),YEAR(EXPEDIENTE!$F$25)+3,""))</f>
        <v/>
      </c>
      <c r="ID9" s="474" t="str">
        <f>IF(IC9="","",'IDENTIFICACIÓN TRABAJADOR'!$D$14)</f>
        <v/>
      </c>
      <c r="IE9" s="479" t="str">
        <f>CONCATENATE(UPPER('IDENTIFICACIÓN TRABAJADOR'!$D$11)," ",UPPER('IDENTIFICACIÓN TRABAJADOR'!$D$12)," ",UPPER('IDENTIFICACIÓN TRABAJADOR'!$D$13)," (EJERCICIO ",IC9,")")</f>
        <v xml:space="preserve">   (EJERCICIO )</v>
      </c>
      <c r="IF9" s="479">
        <f>IF($IH9&gt;0,"",'RESUMEN TRABAJADOR '!P96)</f>
        <v>0</v>
      </c>
      <c r="IH9" s="474">
        <f>'% DEDICACIÓN TRABAJADOR'!$B$45</f>
        <v>0</v>
      </c>
      <c r="IJ9" s="474">
        <f t="shared" si="37"/>
        <v>1</v>
      </c>
      <c r="IK9" s="474">
        <f>SMALL($IJ$6:$IJ$9,4)</f>
        <v>2026</v>
      </c>
      <c r="IL9" s="474" t="str">
        <f>IF(ID9="","",IF(IK9&gt;MAX($IC$6:$IC$9),"",VLOOKUP(IK9,$IB$6:$IF$9,2,FALSE)))</f>
        <v/>
      </c>
      <c r="IM9" s="474" t="str">
        <f t="shared" si="38"/>
        <v/>
      </c>
      <c r="IN9" s="479" t="str">
        <f>IF(ID9="","",IF(IK9&gt;MAX($IC$6:$IC$9),"",VLOOKUP(IK9,$IB$6:$IF$9,4,FALSE)))</f>
        <v/>
      </c>
      <c r="IO9" s="479" t="str">
        <f>IF(ID9="","",IF(IK9&gt;MAX($IC$6:$IC$9),"",VLOOKUP(IK9,$IB$6:$IF$9,5,FALSE)))</f>
        <v/>
      </c>
      <c r="IQ9" s="479">
        <v>4</v>
      </c>
      <c r="IR9" s="474" t="str">
        <f>IF(EXPEDIENTE!I27="","",IF(YEAR(EXPEDIENTE!$I$27)&gt;=YEAR(EXPEDIENTE!$I$25),YEAR(EXPEDIENTE!$I$25)+3,""))</f>
        <v/>
      </c>
      <c r="IS9" s="474" t="str">
        <f>IF(IR9="","",'IDENTIFICACIÓN TRABAJADOR'!$D$14)</f>
        <v/>
      </c>
      <c r="IT9" s="479" t="str">
        <f>CONCATENATE(UPPER('IDENTIFICACIÓN TRABAJADOR'!$D$11)," ",UPPER('IDENTIFICACIÓN TRABAJADOR'!$D$12)," ",UPPER('IDENTIFICACIÓN TRABAJADOR'!$D$13)," (EJERCICIO ",IR9,")")</f>
        <v xml:space="preserve">   (EJERCICIO )</v>
      </c>
      <c r="IU9" s="479">
        <f>IF($IH9&gt;0,"",'RESUMEN TRABAJADOR '!AL96)</f>
        <v>0</v>
      </c>
      <c r="IW9" s="474">
        <f>'% DEDICACIÓN TRABAJADOR'!$B$45</f>
        <v>0</v>
      </c>
      <c r="IY9" s="474">
        <f t="shared" si="39"/>
        <v>1</v>
      </c>
      <c r="IZ9" s="474">
        <f>SMALL($IY$6:$IY$9,4)</f>
        <v>2026</v>
      </c>
      <c r="JA9" s="474" t="str">
        <f>IF(IS9="","",IF(IZ9&gt;MAX($IC$6:$IC$9),"",VLOOKUP(IZ9,$IB$6:$IF$9,2,FALSE)))</f>
        <v/>
      </c>
      <c r="JB9" s="474" t="str">
        <f t="shared" si="40"/>
        <v/>
      </c>
      <c r="JC9" s="479" t="str">
        <f t="shared" si="41"/>
        <v/>
      </c>
      <c r="JD9" s="479" t="str">
        <f t="shared" si="42"/>
        <v/>
      </c>
      <c r="JF9" s="485">
        <v>5</v>
      </c>
      <c r="JG9" s="474">
        <v>0</v>
      </c>
    </row>
    <row r="10" spans="1:270" x14ac:dyDescent="0.3">
      <c r="C10" s="8">
        <v>4</v>
      </c>
      <c r="D10" s="12"/>
      <c r="E10" s="17"/>
      <c r="F10" s="18"/>
      <c r="G10" s="19"/>
      <c r="H10" s="469"/>
      <c r="I10" s="19"/>
      <c r="J10" s="12"/>
      <c r="K10" s="14">
        <f t="shared" si="43"/>
        <v>76</v>
      </c>
      <c r="L10" s="14">
        <f t="shared" si="44"/>
        <v>76</v>
      </c>
      <c r="M10" s="14" t="str">
        <f t="shared" si="45"/>
        <v>X</v>
      </c>
      <c r="R10" s="6" t="s">
        <v>406</v>
      </c>
      <c r="S10" s="25">
        <v>2</v>
      </c>
      <c r="T10" s="6" t="s">
        <v>407</v>
      </c>
      <c r="V10" s="1134"/>
      <c r="W10" s="24" t="s">
        <v>408</v>
      </c>
      <c r="Y10" s="547">
        <f t="shared" si="46"/>
        <v>4</v>
      </c>
      <c r="Z10" s="478" t="str">
        <f>IF(Y10="","",IF(EDATE($Z$6,Y10)&gt;EXPEDIENTE!$F$27,"",EDATE($Z$6,Y10)))</f>
        <v/>
      </c>
      <c r="AA10" s="478" t="str">
        <f t="shared" si="0"/>
        <v/>
      </c>
      <c r="AB10" s="478" t="str">
        <f>IF(AA10="","",IF(YEAR(EXPEDIENTE!$F$25)=YEAR(AA10),AA10,""))</f>
        <v/>
      </c>
      <c r="AC10" s="478" t="str">
        <f>IF(AA10="","",IF(YEAR(EXPEDIENTE!$F$25)+1=YEAR(AA10),AA10,""))</f>
        <v/>
      </c>
      <c r="AD10" s="478" t="str">
        <f>IF(AA10="","",IF(YEAR(EXPEDIENTE!$F$25)+2=YEAR(AA10),AA10,""))</f>
        <v/>
      </c>
      <c r="AE10" s="478" t="str">
        <f>IF(AA10="","",IF(YEAR(EXPEDIENTE!$F$25)+3=YEAR(AA10),AA10,""))</f>
        <v/>
      </c>
      <c r="AG10" s="471"/>
      <c r="AH10" s="470"/>
      <c r="AI10" s="470"/>
      <c r="AJ10" s="470"/>
      <c r="AK10" s="470"/>
      <c r="AL10" s="470"/>
      <c r="AM10" s="470"/>
      <c r="AN10" s="470"/>
      <c r="AO10" s="470"/>
      <c r="AP10" s="470"/>
      <c r="AQ10" s="470"/>
      <c r="AR10" s="470"/>
      <c r="AS10" s="470"/>
      <c r="AT10" s="639"/>
      <c r="AU10" s="639"/>
      <c r="AV10" s="470"/>
      <c r="AW10" s="470"/>
      <c r="AX10" s="470"/>
      <c r="AY10" s="470"/>
      <c r="AZ10" s="470"/>
      <c r="BB10" s="596">
        <v>3</v>
      </c>
      <c r="BC10" s="598">
        <f t="shared" si="47"/>
        <v>45352</v>
      </c>
      <c r="BN10" s="601">
        <f t="shared" si="48"/>
        <v>0</v>
      </c>
      <c r="BO10" s="643">
        <f t="shared" si="49"/>
        <v>0</v>
      </c>
      <c r="BP10" s="643">
        <f t="shared" si="50"/>
        <v>0</v>
      </c>
      <c r="BQ10" s="643">
        <f t="shared" si="51"/>
        <v>0</v>
      </c>
      <c r="BR10" s="643">
        <f t="shared" si="52"/>
        <v>0</v>
      </c>
      <c r="BS10" s="643">
        <f t="shared" si="53"/>
        <v>0</v>
      </c>
      <c r="BT10" s="643">
        <f t="shared" si="54"/>
        <v>0</v>
      </c>
      <c r="BU10" s="644">
        <f t="shared" si="55"/>
        <v>0</v>
      </c>
      <c r="BV10" s="645">
        <f t="shared" si="99"/>
        <v>0</v>
      </c>
      <c r="BZ10" s="471"/>
      <c r="CA10" s="470"/>
      <c r="CB10" s="470"/>
      <c r="CC10" s="470"/>
      <c r="CD10" s="470"/>
      <c r="CE10" s="470"/>
      <c r="CF10" s="470"/>
      <c r="CG10" s="470"/>
      <c r="CH10" s="470"/>
      <c r="CI10" s="470"/>
      <c r="CJ10" s="470"/>
      <c r="CK10" s="470"/>
      <c r="CL10" s="470"/>
      <c r="CM10" s="470"/>
      <c r="CN10" s="470"/>
      <c r="CO10" s="470"/>
      <c r="CP10" s="470"/>
      <c r="CQ10" s="470"/>
      <c r="CR10" s="470"/>
      <c r="CS10" s="470"/>
      <c r="CU10" s="620">
        <v>3</v>
      </c>
      <c r="CV10" s="598">
        <f t="shared" si="56"/>
        <v>45352</v>
      </c>
      <c r="DG10" s="621">
        <f t="shared" si="57"/>
        <v>0</v>
      </c>
      <c r="DH10" s="649">
        <f t="shared" si="58"/>
        <v>0</v>
      </c>
      <c r="DI10" s="649">
        <f t="shared" si="59"/>
        <v>0</v>
      </c>
      <c r="DJ10" s="649">
        <f t="shared" si="60"/>
        <v>0</v>
      </c>
      <c r="DK10" s="649">
        <f t="shared" si="61"/>
        <v>0</v>
      </c>
      <c r="DL10" s="649">
        <f t="shared" si="62"/>
        <v>0</v>
      </c>
      <c r="DM10" s="649">
        <f t="shared" si="63"/>
        <v>0</v>
      </c>
      <c r="DN10" s="650">
        <f t="shared" si="64"/>
        <v>0</v>
      </c>
      <c r="DO10" s="607">
        <f t="shared" si="100"/>
        <v>0</v>
      </c>
      <c r="DS10" s="470"/>
      <c r="ED10" s="482">
        <f t="shared" si="1"/>
        <v>45352</v>
      </c>
      <c r="EE10" s="482">
        <f t="shared" si="2"/>
        <v>45382</v>
      </c>
      <c r="EF10" s="14" t="str">
        <f>IF(AND(EE10&gt;=EXPEDIENTE!$F$25,ED10&lt;=EXPEDIENTE!$F$29),"SI","NO")</f>
        <v>NO</v>
      </c>
      <c r="EG10" s="11">
        <f t="shared" si="3"/>
        <v>0</v>
      </c>
      <c r="EH10" s="11">
        <f t="shared" si="4"/>
        <v>0</v>
      </c>
      <c r="EI10" s="11">
        <f t="shared" si="5"/>
        <v>0</v>
      </c>
      <c r="EJ10" s="11">
        <f t="shared" si="6"/>
        <v>0</v>
      </c>
      <c r="EK10" s="11">
        <f t="shared" si="7"/>
        <v>0</v>
      </c>
      <c r="EL10" s="11">
        <f t="shared" si="8"/>
        <v>0</v>
      </c>
      <c r="EM10" s="11">
        <f t="shared" si="9"/>
        <v>0</v>
      </c>
      <c r="EN10" s="11">
        <f t="shared" si="10"/>
        <v>0</v>
      </c>
      <c r="EO10" s="11">
        <f t="shared" si="11"/>
        <v>0</v>
      </c>
      <c r="EP10" s="11">
        <f t="shared" si="12"/>
        <v>0</v>
      </c>
      <c r="EQ10" s="11">
        <f t="shared" si="13"/>
        <v>0</v>
      </c>
      <c r="ER10" s="11">
        <f t="shared" si="14"/>
        <v>0</v>
      </c>
      <c r="ES10" s="11">
        <f t="shared" si="15"/>
        <v>0</v>
      </c>
      <c r="ET10" s="11">
        <f t="shared" si="16"/>
        <v>0</v>
      </c>
      <c r="EU10" s="11">
        <f t="shared" si="17"/>
        <v>0</v>
      </c>
      <c r="EV10" s="11">
        <f t="shared" si="18"/>
        <v>0</v>
      </c>
      <c r="EW10" s="11">
        <f t="shared" si="19"/>
        <v>0</v>
      </c>
      <c r="EX10" s="11">
        <f t="shared" si="20"/>
        <v>0</v>
      </c>
      <c r="EY10" s="11">
        <f t="shared" si="21"/>
        <v>0</v>
      </c>
      <c r="EZ10" s="11">
        <f t="shared" si="22"/>
        <v>0</v>
      </c>
      <c r="FA10" s="11">
        <f t="shared" si="23"/>
        <v>0</v>
      </c>
      <c r="FB10" s="11">
        <f t="shared" si="24"/>
        <v>0</v>
      </c>
      <c r="FC10" s="11">
        <f t="shared" si="25"/>
        <v>0</v>
      </c>
      <c r="FD10" s="11">
        <f t="shared" si="26"/>
        <v>0</v>
      </c>
      <c r="FE10" s="11">
        <f t="shared" si="27"/>
        <v>0</v>
      </c>
      <c r="FF10" s="11">
        <f t="shared" si="28"/>
        <v>0</v>
      </c>
      <c r="FG10" s="11">
        <f t="shared" si="29"/>
        <v>0</v>
      </c>
      <c r="FH10" s="11">
        <f t="shared" si="30"/>
        <v>0</v>
      </c>
      <c r="FI10" s="11">
        <f t="shared" si="31"/>
        <v>0</v>
      </c>
      <c r="FJ10" s="11">
        <f t="shared" si="32"/>
        <v>0</v>
      </c>
      <c r="FK10" s="11">
        <f t="shared" si="33"/>
        <v>0</v>
      </c>
      <c r="FL10" s="11">
        <f t="shared" si="34"/>
        <v>0</v>
      </c>
      <c r="FM10" s="11">
        <f t="shared" si="65"/>
        <v>0</v>
      </c>
      <c r="FW10" s="470"/>
      <c r="GH10" s="482">
        <f t="shared" si="35"/>
        <v>45352</v>
      </c>
      <c r="GI10" s="482">
        <f t="shared" si="36"/>
        <v>45382</v>
      </c>
      <c r="GJ10" s="14" t="str">
        <f>IF(AND(GI10&gt;=EXPEDIENTE!$F$25,GH10&lt;=EXPEDIENTE!$F$29),"SI","NO")</f>
        <v>NO</v>
      </c>
      <c r="GK10" s="11">
        <f t="shared" si="66"/>
        <v>0</v>
      </c>
      <c r="GL10" s="11">
        <f t="shared" si="67"/>
        <v>0</v>
      </c>
      <c r="GM10" s="11">
        <f t="shared" si="68"/>
        <v>0</v>
      </c>
      <c r="GN10" s="11">
        <f t="shared" si="69"/>
        <v>0</v>
      </c>
      <c r="GO10" s="11">
        <f t="shared" si="70"/>
        <v>0</v>
      </c>
      <c r="GP10" s="11">
        <f t="shared" si="71"/>
        <v>0</v>
      </c>
      <c r="GQ10" s="11">
        <f t="shared" si="72"/>
        <v>0</v>
      </c>
      <c r="GR10" s="11">
        <f t="shared" si="73"/>
        <v>0</v>
      </c>
      <c r="GS10" s="11">
        <f t="shared" si="74"/>
        <v>0</v>
      </c>
      <c r="GT10" s="11">
        <f t="shared" si="75"/>
        <v>0</v>
      </c>
      <c r="GU10" s="11">
        <f t="shared" si="76"/>
        <v>0</v>
      </c>
      <c r="GV10" s="11">
        <f t="shared" si="77"/>
        <v>0</v>
      </c>
      <c r="GW10" s="11">
        <f t="shared" si="78"/>
        <v>0</v>
      </c>
      <c r="GX10" s="11">
        <f t="shared" si="79"/>
        <v>0</v>
      </c>
      <c r="GY10" s="11">
        <f t="shared" si="80"/>
        <v>0</v>
      </c>
      <c r="GZ10" s="11">
        <f t="shared" si="81"/>
        <v>0</v>
      </c>
      <c r="HA10" s="11">
        <f t="shared" si="82"/>
        <v>0</v>
      </c>
      <c r="HB10" s="11">
        <f t="shared" si="83"/>
        <v>0</v>
      </c>
      <c r="HC10" s="11">
        <f t="shared" si="84"/>
        <v>0</v>
      </c>
      <c r="HD10" s="11">
        <f t="shared" si="85"/>
        <v>0</v>
      </c>
      <c r="HE10" s="11">
        <f t="shared" si="86"/>
        <v>0</v>
      </c>
      <c r="HF10" s="11">
        <f t="shared" si="87"/>
        <v>0</v>
      </c>
      <c r="HG10" s="11">
        <f t="shared" si="88"/>
        <v>0</v>
      </c>
      <c r="HH10" s="11">
        <f t="shared" si="89"/>
        <v>0</v>
      </c>
      <c r="HI10" s="11">
        <f t="shared" si="90"/>
        <v>0</v>
      </c>
      <c r="HJ10" s="11">
        <f t="shared" si="91"/>
        <v>0</v>
      </c>
      <c r="HK10" s="11">
        <f t="shared" si="92"/>
        <v>0</v>
      </c>
      <c r="HL10" s="11">
        <f t="shared" si="93"/>
        <v>0</v>
      </c>
      <c r="HM10" s="11">
        <f t="shared" si="94"/>
        <v>0</v>
      </c>
      <c r="HN10" s="11">
        <f t="shared" si="95"/>
        <v>0</v>
      </c>
      <c r="HO10" s="11">
        <f t="shared" si="96"/>
        <v>0</v>
      </c>
      <c r="HP10" s="11">
        <f t="shared" si="97"/>
        <v>0</v>
      </c>
      <c r="HQ10" s="11">
        <f t="shared" si="98"/>
        <v>0</v>
      </c>
      <c r="JF10" s="477">
        <v>6</v>
      </c>
      <c r="JG10" s="474">
        <f>JG5+2</f>
        <v>2</v>
      </c>
    </row>
    <row r="11" spans="1:270" x14ac:dyDescent="0.3">
      <c r="C11" s="8">
        <v>5</v>
      </c>
      <c r="D11" s="12"/>
      <c r="E11" s="17"/>
      <c r="F11" s="18"/>
      <c r="G11" s="19"/>
      <c r="H11" s="19"/>
      <c r="I11" s="19"/>
      <c r="J11" s="12"/>
      <c r="K11" s="14">
        <f t="shared" si="43"/>
        <v>76</v>
      </c>
      <c r="L11" s="14">
        <f t="shared" si="44"/>
        <v>76</v>
      </c>
      <c r="M11" s="14" t="str">
        <f t="shared" si="45"/>
        <v>X</v>
      </c>
      <c r="O11" s="1121" t="s">
        <v>409</v>
      </c>
      <c r="P11" s="19" t="s">
        <v>480</v>
      </c>
      <c r="R11" s="8"/>
      <c r="V11" s="1134"/>
      <c r="W11" s="24" t="s">
        <v>410</v>
      </c>
      <c r="Y11" s="547">
        <f t="shared" si="46"/>
        <v>5</v>
      </c>
      <c r="Z11" s="478" t="str">
        <f>IF(Y11="","",IF(EDATE($Z$6,Y11)&gt;EXPEDIENTE!$F$27,"",EDATE($Z$6,Y11)))</f>
        <v/>
      </c>
      <c r="AA11" s="478" t="str">
        <f t="shared" si="0"/>
        <v/>
      </c>
      <c r="AB11" s="478" t="str">
        <f>IF(AA11="","",IF(YEAR(EXPEDIENTE!$F$25)=YEAR(AA11),AA11,""))</f>
        <v/>
      </c>
      <c r="AC11" s="478" t="str">
        <f>IF(AA11="","",IF(YEAR(EXPEDIENTE!$F$25)+1=YEAR(AA11),AA11,""))</f>
        <v/>
      </c>
      <c r="AD11" s="478" t="str">
        <f>IF(AA11="","",IF(YEAR(EXPEDIENTE!$F$25)+2=YEAR(AA11),AA11,""))</f>
        <v/>
      </c>
      <c r="AE11" s="478" t="str">
        <f>IF(AA11="","",IF(YEAR(EXPEDIENTE!$F$25)+3=YEAR(AA11),AA11,""))</f>
        <v/>
      </c>
      <c r="AG11" s="471"/>
      <c r="AH11" s="470"/>
      <c r="AI11" s="470"/>
      <c r="AJ11" s="470"/>
      <c r="AK11" s="470"/>
      <c r="AL11" s="470"/>
      <c r="AM11" s="470"/>
      <c r="AN11" s="470"/>
      <c r="AO11" s="470"/>
      <c r="AP11" s="470"/>
      <c r="AQ11" s="470"/>
      <c r="AR11" s="470"/>
      <c r="AS11" s="470"/>
      <c r="AT11" s="470"/>
      <c r="AU11" s="470"/>
      <c r="AV11" s="470"/>
      <c r="AW11" s="470"/>
      <c r="AX11" s="470"/>
      <c r="AY11" s="470"/>
      <c r="AZ11" s="470"/>
      <c r="BB11" s="596">
        <v>4</v>
      </c>
      <c r="BC11" s="598">
        <f t="shared" si="47"/>
        <v>45383</v>
      </c>
      <c r="BN11" s="601">
        <f t="shared" si="48"/>
        <v>0</v>
      </c>
      <c r="BO11" s="643">
        <f t="shared" si="49"/>
        <v>0</v>
      </c>
      <c r="BP11" s="643">
        <f t="shared" si="50"/>
        <v>0</v>
      </c>
      <c r="BQ11" s="643">
        <f t="shared" si="51"/>
        <v>0</v>
      </c>
      <c r="BR11" s="643">
        <f t="shared" si="52"/>
        <v>0</v>
      </c>
      <c r="BS11" s="643">
        <f t="shared" si="53"/>
        <v>0</v>
      </c>
      <c r="BT11" s="643">
        <f t="shared" si="54"/>
        <v>0</v>
      </c>
      <c r="BU11" s="644">
        <f t="shared" si="55"/>
        <v>0</v>
      </c>
      <c r="BV11" s="645">
        <f t="shared" si="99"/>
        <v>0</v>
      </c>
      <c r="BZ11" s="471"/>
      <c r="CA11" s="470"/>
      <c r="CB11" s="470"/>
      <c r="CC11" s="470"/>
      <c r="CD11" s="470"/>
      <c r="CE11" s="470"/>
      <c r="CF11" s="470"/>
      <c r="CG11" s="470"/>
      <c r="CH11" s="470"/>
      <c r="CI11" s="470"/>
      <c r="CJ11" s="470"/>
      <c r="CK11" s="470"/>
      <c r="CL11" s="470"/>
      <c r="CM11" s="470"/>
      <c r="CN11" s="470"/>
      <c r="CO11" s="470"/>
      <c r="CP11" s="470"/>
      <c r="CQ11" s="470"/>
      <c r="CR11" s="470"/>
      <c r="CS11" s="470"/>
      <c r="CU11" s="620">
        <v>4</v>
      </c>
      <c r="CV11" s="598">
        <f t="shared" si="56"/>
        <v>45383</v>
      </c>
      <c r="DG11" s="621">
        <f t="shared" si="57"/>
        <v>0</v>
      </c>
      <c r="DH11" s="649">
        <f t="shared" si="58"/>
        <v>0</v>
      </c>
      <c r="DI11" s="649">
        <f t="shared" si="59"/>
        <v>0</v>
      </c>
      <c r="DJ11" s="649">
        <f t="shared" si="60"/>
        <v>0</v>
      </c>
      <c r="DK11" s="649">
        <f t="shared" si="61"/>
        <v>0</v>
      </c>
      <c r="DL11" s="649">
        <f t="shared" si="62"/>
        <v>0</v>
      </c>
      <c r="DM11" s="649">
        <f t="shared" si="63"/>
        <v>0</v>
      </c>
      <c r="DN11" s="650">
        <f t="shared" si="64"/>
        <v>0</v>
      </c>
      <c r="DO11" s="607">
        <f t="shared" si="100"/>
        <v>0</v>
      </c>
      <c r="DS11" s="470"/>
      <c r="ED11" s="482">
        <f t="shared" si="1"/>
        <v>45383</v>
      </c>
      <c r="EE11" s="482">
        <f t="shared" si="2"/>
        <v>45412</v>
      </c>
      <c r="EF11" s="14" t="str">
        <f>IF(AND(EE11&gt;=EXPEDIENTE!$F$25,ED11&lt;=EXPEDIENTE!$F$29),"SI","NO")</f>
        <v>NO</v>
      </c>
      <c r="EG11" s="11">
        <f t="shared" si="3"/>
        <v>0</v>
      </c>
      <c r="EH11" s="11">
        <f t="shared" si="4"/>
        <v>0</v>
      </c>
      <c r="EI11" s="11">
        <f t="shared" si="5"/>
        <v>0</v>
      </c>
      <c r="EJ11" s="11">
        <f t="shared" si="6"/>
        <v>0</v>
      </c>
      <c r="EK11" s="11">
        <f t="shared" si="7"/>
        <v>0</v>
      </c>
      <c r="EL11" s="11">
        <f t="shared" si="8"/>
        <v>0</v>
      </c>
      <c r="EM11" s="11">
        <f t="shared" si="9"/>
        <v>0</v>
      </c>
      <c r="EN11" s="11">
        <f t="shared" si="10"/>
        <v>0</v>
      </c>
      <c r="EO11" s="11">
        <f t="shared" si="11"/>
        <v>0</v>
      </c>
      <c r="EP11" s="11">
        <f t="shared" si="12"/>
        <v>0</v>
      </c>
      <c r="EQ11" s="11">
        <f t="shared" si="13"/>
        <v>0</v>
      </c>
      <c r="ER11" s="11">
        <f t="shared" si="14"/>
        <v>0</v>
      </c>
      <c r="ES11" s="11">
        <f t="shared" si="15"/>
        <v>0</v>
      </c>
      <c r="ET11" s="11">
        <f t="shared" si="16"/>
        <v>0</v>
      </c>
      <c r="EU11" s="11">
        <f t="shared" si="17"/>
        <v>0</v>
      </c>
      <c r="EV11" s="11">
        <f t="shared" si="18"/>
        <v>0</v>
      </c>
      <c r="EW11" s="11">
        <f t="shared" si="19"/>
        <v>0</v>
      </c>
      <c r="EX11" s="11">
        <f t="shared" si="20"/>
        <v>0</v>
      </c>
      <c r="EY11" s="11">
        <f t="shared" si="21"/>
        <v>0</v>
      </c>
      <c r="EZ11" s="11">
        <f t="shared" si="22"/>
        <v>0</v>
      </c>
      <c r="FA11" s="11">
        <f t="shared" si="23"/>
        <v>0</v>
      </c>
      <c r="FB11" s="11">
        <f t="shared" si="24"/>
        <v>0</v>
      </c>
      <c r="FC11" s="11">
        <f t="shared" si="25"/>
        <v>0</v>
      </c>
      <c r="FD11" s="11">
        <f t="shared" si="26"/>
        <v>0</v>
      </c>
      <c r="FE11" s="11">
        <f t="shared" si="27"/>
        <v>0</v>
      </c>
      <c r="FF11" s="11">
        <f t="shared" si="28"/>
        <v>0</v>
      </c>
      <c r="FG11" s="11">
        <f t="shared" si="29"/>
        <v>0</v>
      </c>
      <c r="FH11" s="11">
        <f t="shared" si="30"/>
        <v>0</v>
      </c>
      <c r="FI11" s="11">
        <f t="shared" si="31"/>
        <v>0</v>
      </c>
      <c r="FJ11" s="11">
        <f t="shared" si="32"/>
        <v>0</v>
      </c>
      <c r="FK11" s="11">
        <f t="shared" si="33"/>
        <v>0</v>
      </c>
      <c r="FL11" s="11">
        <f t="shared" si="34"/>
        <v>0</v>
      </c>
      <c r="FM11" s="11">
        <f t="shared" si="65"/>
        <v>0</v>
      </c>
      <c r="FW11" s="470"/>
      <c r="GH11" s="482">
        <f t="shared" si="35"/>
        <v>45383</v>
      </c>
      <c r="GI11" s="482">
        <f t="shared" si="36"/>
        <v>45412</v>
      </c>
      <c r="GJ11" s="14" t="str">
        <f>IF(AND(GI11&gt;=EXPEDIENTE!$F$25,GH11&lt;=EXPEDIENTE!$F$29),"SI","NO")</f>
        <v>NO</v>
      </c>
      <c r="GK11" s="11">
        <f t="shared" si="66"/>
        <v>0</v>
      </c>
      <c r="GL11" s="11">
        <f t="shared" si="67"/>
        <v>0</v>
      </c>
      <c r="GM11" s="11">
        <f t="shared" si="68"/>
        <v>0</v>
      </c>
      <c r="GN11" s="11">
        <f t="shared" si="69"/>
        <v>0</v>
      </c>
      <c r="GO11" s="11">
        <f t="shared" si="70"/>
        <v>0</v>
      </c>
      <c r="GP11" s="11">
        <f t="shared" si="71"/>
        <v>0</v>
      </c>
      <c r="GQ11" s="11">
        <f t="shared" si="72"/>
        <v>0</v>
      </c>
      <c r="GR11" s="11">
        <f t="shared" si="73"/>
        <v>0</v>
      </c>
      <c r="GS11" s="11">
        <f t="shared" si="74"/>
        <v>0</v>
      </c>
      <c r="GT11" s="11">
        <f t="shared" si="75"/>
        <v>0</v>
      </c>
      <c r="GU11" s="11">
        <f t="shared" si="76"/>
        <v>0</v>
      </c>
      <c r="GV11" s="11">
        <f t="shared" si="77"/>
        <v>0</v>
      </c>
      <c r="GW11" s="11">
        <f t="shared" si="78"/>
        <v>0</v>
      </c>
      <c r="GX11" s="11">
        <f t="shared" si="79"/>
        <v>0</v>
      </c>
      <c r="GY11" s="11">
        <f t="shared" si="80"/>
        <v>0</v>
      </c>
      <c r="GZ11" s="11">
        <f t="shared" si="81"/>
        <v>0</v>
      </c>
      <c r="HA11" s="11">
        <f t="shared" si="82"/>
        <v>0</v>
      </c>
      <c r="HB11" s="11">
        <f t="shared" si="83"/>
        <v>0</v>
      </c>
      <c r="HC11" s="11">
        <f t="shared" si="84"/>
        <v>0</v>
      </c>
      <c r="HD11" s="11">
        <f t="shared" si="85"/>
        <v>0</v>
      </c>
      <c r="HE11" s="11">
        <f t="shared" si="86"/>
        <v>0</v>
      </c>
      <c r="HF11" s="11">
        <f t="shared" si="87"/>
        <v>0</v>
      </c>
      <c r="HG11" s="11">
        <f t="shared" si="88"/>
        <v>0</v>
      </c>
      <c r="HH11" s="11">
        <f t="shared" si="89"/>
        <v>0</v>
      </c>
      <c r="HI11" s="11">
        <f t="shared" si="90"/>
        <v>0</v>
      </c>
      <c r="HJ11" s="11">
        <f t="shared" si="91"/>
        <v>0</v>
      </c>
      <c r="HK11" s="11">
        <f t="shared" si="92"/>
        <v>0</v>
      </c>
      <c r="HL11" s="11">
        <f t="shared" si="93"/>
        <v>0</v>
      </c>
      <c r="HM11" s="11">
        <f t="shared" si="94"/>
        <v>0</v>
      </c>
      <c r="HN11" s="11">
        <f t="shared" si="95"/>
        <v>0</v>
      </c>
      <c r="HO11" s="11">
        <f t="shared" si="96"/>
        <v>0</v>
      </c>
      <c r="HP11" s="11">
        <f t="shared" si="97"/>
        <v>0</v>
      </c>
      <c r="HQ11" s="11">
        <f t="shared" si="98"/>
        <v>0</v>
      </c>
      <c r="JF11" s="480">
        <v>7</v>
      </c>
      <c r="JG11" s="474">
        <f t="shared" ref="JG11:JG74" si="101">JG6+2</f>
        <v>2</v>
      </c>
    </row>
    <row r="12" spans="1:270" x14ac:dyDescent="0.3">
      <c r="C12" s="8">
        <v>6</v>
      </c>
      <c r="D12" s="12"/>
      <c r="E12" s="17"/>
      <c r="F12" s="18"/>
      <c r="G12" s="19"/>
      <c r="H12" s="19"/>
      <c r="I12" s="19"/>
      <c r="J12" s="12"/>
      <c r="K12" s="14">
        <f t="shared" si="43"/>
        <v>76</v>
      </c>
      <c r="L12" s="14">
        <f t="shared" si="44"/>
        <v>76</v>
      </c>
      <c r="M12" s="14" t="str">
        <f t="shared" si="45"/>
        <v>X</v>
      </c>
      <c r="O12" s="1122"/>
      <c r="P12" s="19"/>
      <c r="R12" s="26" t="s">
        <v>411</v>
      </c>
      <c r="S12" s="27" t="str">
        <f>IF(EXPEDIENTE!F27="","",EXPEDIENTE!F27)</f>
        <v/>
      </c>
      <c r="V12" s="1134"/>
      <c r="W12" s="24" t="s">
        <v>412</v>
      </c>
      <c r="Y12" s="547">
        <f t="shared" si="46"/>
        <v>6</v>
      </c>
      <c r="Z12" s="478" t="str">
        <f>IF(Y12="","",IF(EDATE($Z$6,Y12)&gt;EXPEDIENTE!$F$27,"",EDATE($Z$6,Y12)))</f>
        <v/>
      </c>
      <c r="AA12" s="478" t="str">
        <f t="shared" si="0"/>
        <v/>
      </c>
      <c r="AB12" s="478" t="str">
        <f>IF(AA12="","",IF(YEAR(EXPEDIENTE!$F$25)=YEAR(AA12),AA12,""))</f>
        <v/>
      </c>
      <c r="AC12" s="478" t="str">
        <f>IF(AA12="","",IF(YEAR(EXPEDIENTE!$F$25)+1=YEAR(AA12),AA12,""))</f>
        <v/>
      </c>
      <c r="AD12" s="478" t="str">
        <f>IF(AA12="","",IF(YEAR(EXPEDIENTE!$F$25)+2=YEAR(AA12),AA12,""))</f>
        <v/>
      </c>
      <c r="AE12" s="478" t="str">
        <f>IF(AA12="","",IF(YEAR(EXPEDIENTE!$F$25)+3=YEAR(AA12),AA12,""))</f>
        <v/>
      </c>
      <c r="AG12" s="471"/>
      <c r="AH12" s="470"/>
      <c r="AI12" s="470"/>
      <c r="AJ12" s="470"/>
      <c r="AK12" s="1096" t="s">
        <v>413</v>
      </c>
      <c r="AL12" s="470"/>
      <c r="AM12" s="470"/>
      <c r="AN12" s="470"/>
      <c r="AO12" s="470"/>
      <c r="AP12" s="470"/>
      <c r="AQ12" s="470"/>
      <c r="AR12" s="470"/>
      <c r="AS12" s="470"/>
      <c r="AT12" s="470"/>
      <c r="AU12" s="470"/>
      <c r="AV12" s="470"/>
      <c r="AW12" s="470"/>
      <c r="AX12" s="470"/>
      <c r="AY12" s="470"/>
      <c r="AZ12" s="470"/>
      <c r="BB12" s="596">
        <v>5</v>
      </c>
      <c r="BC12" s="598">
        <f t="shared" si="47"/>
        <v>45413</v>
      </c>
      <c r="BN12" s="601">
        <f t="shared" si="48"/>
        <v>0</v>
      </c>
      <c r="BO12" s="643">
        <f t="shared" si="49"/>
        <v>0</v>
      </c>
      <c r="BP12" s="643">
        <f t="shared" si="50"/>
        <v>0</v>
      </c>
      <c r="BQ12" s="643">
        <f t="shared" si="51"/>
        <v>0</v>
      </c>
      <c r="BR12" s="643">
        <f t="shared" si="52"/>
        <v>0</v>
      </c>
      <c r="BS12" s="643">
        <f t="shared" si="53"/>
        <v>0</v>
      </c>
      <c r="BT12" s="643">
        <f t="shared" si="54"/>
        <v>0</v>
      </c>
      <c r="BU12" s="644">
        <f t="shared" si="55"/>
        <v>0</v>
      </c>
      <c r="BV12" s="645">
        <f t="shared" si="99"/>
        <v>0</v>
      </c>
      <c r="BZ12" s="471"/>
      <c r="CA12" s="470"/>
      <c r="CB12" s="470"/>
      <c r="CC12" s="470"/>
      <c r="CD12" s="470"/>
      <c r="CE12" s="470"/>
      <c r="CF12" s="470"/>
      <c r="CG12" s="470"/>
      <c r="CH12" s="470"/>
      <c r="CI12" s="470"/>
      <c r="CJ12" s="470"/>
      <c r="CK12" s="470"/>
      <c r="CL12" s="470"/>
      <c r="CM12" s="470"/>
      <c r="CN12" s="470"/>
      <c r="CO12" s="470"/>
      <c r="CP12" s="470"/>
      <c r="CQ12" s="470"/>
      <c r="CR12" s="470"/>
      <c r="CS12" s="470"/>
      <c r="CU12" s="620">
        <v>5</v>
      </c>
      <c r="CV12" s="598">
        <f t="shared" si="56"/>
        <v>45413</v>
      </c>
      <c r="DG12" s="621">
        <f t="shared" si="57"/>
        <v>0</v>
      </c>
      <c r="DH12" s="649">
        <f t="shared" si="58"/>
        <v>0</v>
      </c>
      <c r="DI12" s="649">
        <f t="shared" si="59"/>
        <v>0</v>
      </c>
      <c r="DJ12" s="649">
        <f t="shared" si="60"/>
        <v>0</v>
      </c>
      <c r="DK12" s="649">
        <f t="shared" si="61"/>
        <v>0</v>
      </c>
      <c r="DL12" s="649">
        <f t="shared" si="62"/>
        <v>0</v>
      </c>
      <c r="DM12" s="649">
        <f t="shared" si="63"/>
        <v>0</v>
      </c>
      <c r="DN12" s="650">
        <f t="shared" si="64"/>
        <v>0</v>
      </c>
      <c r="DO12" s="607">
        <f t="shared" si="100"/>
        <v>0</v>
      </c>
      <c r="DS12" s="470"/>
      <c r="ED12" s="482">
        <f t="shared" si="1"/>
        <v>45413</v>
      </c>
      <c r="EE12" s="482">
        <f t="shared" si="2"/>
        <v>45443</v>
      </c>
      <c r="EF12" s="14" t="str">
        <f>IF(AND(EE12&gt;=EXPEDIENTE!$F$25,ED12&lt;=EXPEDIENTE!$F$29),"SI","NO")</f>
        <v>NO</v>
      </c>
      <c r="EG12" s="11">
        <f t="shared" si="3"/>
        <v>0</v>
      </c>
      <c r="EH12" s="11">
        <f t="shared" si="4"/>
        <v>0</v>
      </c>
      <c r="EI12" s="11">
        <f t="shared" si="5"/>
        <v>0</v>
      </c>
      <c r="EJ12" s="11">
        <f t="shared" si="6"/>
        <v>0</v>
      </c>
      <c r="EK12" s="11">
        <f t="shared" si="7"/>
        <v>0</v>
      </c>
      <c r="EL12" s="11">
        <f t="shared" si="8"/>
        <v>0</v>
      </c>
      <c r="EM12" s="11">
        <f t="shared" si="9"/>
        <v>0</v>
      </c>
      <c r="EN12" s="11">
        <f t="shared" si="10"/>
        <v>0</v>
      </c>
      <c r="EO12" s="11">
        <f t="shared" si="11"/>
        <v>0</v>
      </c>
      <c r="EP12" s="11">
        <f t="shared" si="12"/>
        <v>0</v>
      </c>
      <c r="EQ12" s="11">
        <f t="shared" si="13"/>
        <v>0</v>
      </c>
      <c r="ER12" s="11">
        <f t="shared" si="14"/>
        <v>0</v>
      </c>
      <c r="ES12" s="11">
        <f t="shared" si="15"/>
        <v>0</v>
      </c>
      <c r="ET12" s="11">
        <f t="shared" si="16"/>
        <v>0</v>
      </c>
      <c r="EU12" s="11">
        <f t="shared" si="17"/>
        <v>0</v>
      </c>
      <c r="EV12" s="11">
        <f t="shared" si="18"/>
        <v>0</v>
      </c>
      <c r="EW12" s="11">
        <f t="shared" si="19"/>
        <v>0</v>
      </c>
      <c r="EX12" s="11">
        <f t="shared" si="20"/>
        <v>0</v>
      </c>
      <c r="EY12" s="11">
        <f t="shared" si="21"/>
        <v>0</v>
      </c>
      <c r="EZ12" s="11">
        <f t="shared" si="22"/>
        <v>0</v>
      </c>
      <c r="FA12" s="11">
        <f t="shared" si="23"/>
        <v>0</v>
      </c>
      <c r="FB12" s="11">
        <f t="shared" si="24"/>
        <v>0</v>
      </c>
      <c r="FC12" s="11">
        <f t="shared" si="25"/>
        <v>0</v>
      </c>
      <c r="FD12" s="11">
        <f t="shared" si="26"/>
        <v>0</v>
      </c>
      <c r="FE12" s="11">
        <f t="shared" si="27"/>
        <v>0</v>
      </c>
      <c r="FF12" s="11">
        <f t="shared" si="28"/>
        <v>0</v>
      </c>
      <c r="FG12" s="11">
        <f t="shared" si="29"/>
        <v>0</v>
      </c>
      <c r="FH12" s="11">
        <f t="shared" si="30"/>
        <v>0</v>
      </c>
      <c r="FI12" s="11">
        <f t="shared" si="31"/>
        <v>0</v>
      </c>
      <c r="FJ12" s="11">
        <f t="shared" si="32"/>
        <v>0</v>
      </c>
      <c r="FK12" s="11">
        <f t="shared" si="33"/>
        <v>0</v>
      </c>
      <c r="FL12" s="11">
        <f t="shared" si="34"/>
        <v>0</v>
      </c>
      <c r="FM12" s="11">
        <f t="shared" si="65"/>
        <v>0</v>
      </c>
      <c r="FV12" s="470"/>
      <c r="FW12" s="470"/>
      <c r="GH12" s="482">
        <f t="shared" si="35"/>
        <v>45413</v>
      </c>
      <c r="GI12" s="482">
        <f t="shared" si="36"/>
        <v>45443</v>
      </c>
      <c r="GJ12" s="14" t="str">
        <f>IF(AND(GI12&gt;=EXPEDIENTE!$F$25,GH12&lt;=EXPEDIENTE!$F$29),"SI","NO")</f>
        <v>NO</v>
      </c>
      <c r="GK12" s="11">
        <f t="shared" si="66"/>
        <v>0</v>
      </c>
      <c r="GL12" s="11">
        <f t="shared" si="67"/>
        <v>0</v>
      </c>
      <c r="GM12" s="11">
        <f t="shared" si="68"/>
        <v>0</v>
      </c>
      <c r="GN12" s="11">
        <f t="shared" si="69"/>
        <v>0</v>
      </c>
      <c r="GO12" s="11">
        <f t="shared" si="70"/>
        <v>0</v>
      </c>
      <c r="GP12" s="11">
        <f t="shared" si="71"/>
        <v>0</v>
      </c>
      <c r="GQ12" s="11">
        <f t="shared" si="72"/>
        <v>0</v>
      </c>
      <c r="GR12" s="11">
        <f t="shared" si="73"/>
        <v>0</v>
      </c>
      <c r="GS12" s="11">
        <f t="shared" si="74"/>
        <v>0</v>
      </c>
      <c r="GT12" s="11">
        <f t="shared" si="75"/>
        <v>0</v>
      </c>
      <c r="GU12" s="11">
        <f t="shared" si="76"/>
        <v>0</v>
      </c>
      <c r="GV12" s="11">
        <f t="shared" si="77"/>
        <v>0</v>
      </c>
      <c r="GW12" s="11">
        <f t="shared" si="78"/>
        <v>0</v>
      </c>
      <c r="GX12" s="11">
        <f t="shared" si="79"/>
        <v>0</v>
      </c>
      <c r="GY12" s="11">
        <f t="shared" si="80"/>
        <v>0</v>
      </c>
      <c r="GZ12" s="11">
        <f t="shared" si="81"/>
        <v>0</v>
      </c>
      <c r="HA12" s="11">
        <f t="shared" si="82"/>
        <v>0</v>
      </c>
      <c r="HB12" s="11">
        <f t="shared" si="83"/>
        <v>0</v>
      </c>
      <c r="HC12" s="11">
        <f t="shared" si="84"/>
        <v>0</v>
      </c>
      <c r="HD12" s="11">
        <f t="shared" si="85"/>
        <v>0</v>
      </c>
      <c r="HE12" s="11">
        <f t="shared" si="86"/>
        <v>0</v>
      </c>
      <c r="HF12" s="11">
        <f t="shared" si="87"/>
        <v>0</v>
      </c>
      <c r="HG12" s="11">
        <f t="shared" si="88"/>
        <v>0</v>
      </c>
      <c r="HH12" s="11">
        <f t="shared" si="89"/>
        <v>0</v>
      </c>
      <c r="HI12" s="11">
        <f t="shared" si="90"/>
        <v>0</v>
      </c>
      <c r="HJ12" s="11">
        <f t="shared" si="91"/>
        <v>0</v>
      </c>
      <c r="HK12" s="11">
        <f t="shared" si="92"/>
        <v>0</v>
      </c>
      <c r="HL12" s="11">
        <f t="shared" si="93"/>
        <v>0</v>
      </c>
      <c r="HM12" s="11">
        <f t="shared" si="94"/>
        <v>0</v>
      </c>
      <c r="HN12" s="11">
        <f t="shared" si="95"/>
        <v>0</v>
      </c>
      <c r="HO12" s="11">
        <f t="shared" si="96"/>
        <v>0</v>
      </c>
      <c r="HP12" s="11">
        <f t="shared" si="97"/>
        <v>0</v>
      </c>
      <c r="HQ12" s="11">
        <f t="shared" si="98"/>
        <v>0</v>
      </c>
      <c r="IA12" s="470"/>
      <c r="IF12" s="471"/>
      <c r="IG12" s="470"/>
      <c r="II12" s="471"/>
      <c r="IM12" s="470"/>
      <c r="IU12" s="471"/>
      <c r="IV12" s="470"/>
      <c r="IX12" s="471"/>
      <c r="JB12" s="470"/>
      <c r="JF12" s="480">
        <v>8</v>
      </c>
      <c r="JG12" s="474">
        <f>JG7+2</f>
        <v>2</v>
      </c>
    </row>
    <row r="13" spans="1:270" x14ac:dyDescent="0.3">
      <c r="C13" s="8">
        <v>7</v>
      </c>
      <c r="D13" s="12"/>
      <c r="E13" s="17"/>
      <c r="F13" s="18"/>
      <c r="G13" s="19"/>
      <c r="H13" s="19"/>
      <c r="I13" s="19"/>
      <c r="J13" s="12"/>
      <c r="K13" s="14">
        <f t="shared" si="43"/>
        <v>76</v>
      </c>
      <c r="L13" s="14">
        <f t="shared" si="44"/>
        <v>76</v>
      </c>
      <c r="M13" s="14" t="str">
        <f t="shared" si="45"/>
        <v>X</v>
      </c>
      <c r="O13" s="1122"/>
      <c r="P13" s="19"/>
      <c r="R13" s="26" t="s">
        <v>414</v>
      </c>
      <c r="S13" s="11" t="str">
        <f>IF(S12="","",DAY(S12))</f>
        <v/>
      </c>
      <c r="V13" s="1134"/>
      <c r="W13" s="24" t="s">
        <v>415</v>
      </c>
      <c r="Y13" s="547">
        <f t="shared" si="46"/>
        <v>7</v>
      </c>
      <c r="Z13" s="478" t="str">
        <f>IF(Y13="","",IF(EDATE($Z$6,Y13)&gt;EXPEDIENTE!$F$27,"",EDATE($Z$6,Y13)))</f>
        <v/>
      </c>
      <c r="AA13" s="478" t="str">
        <f t="shared" si="0"/>
        <v/>
      </c>
      <c r="AB13" s="478" t="str">
        <f>IF(AA13="","",IF(YEAR(EXPEDIENTE!$F$25)=YEAR(AA13),AA13,""))</f>
        <v/>
      </c>
      <c r="AC13" s="478" t="str">
        <f>IF(AA13="","",IF(YEAR(EXPEDIENTE!$F$25)+1=YEAR(AA13),AA13,""))</f>
        <v/>
      </c>
      <c r="AD13" s="478" t="str">
        <f>IF(AA13="","",IF(YEAR(EXPEDIENTE!$F$25)+2=YEAR(AA13),AA13,""))</f>
        <v/>
      </c>
      <c r="AE13" s="478" t="str">
        <f>IF(AA13="","",IF(YEAR(EXPEDIENTE!$F$25)+3=YEAR(AA13),AA13,""))</f>
        <v/>
      </c>
      <c r="AG13" s="471"/>
      <c r="AH13" s="470"/>
      <c r="AI13" s="470"/>
      <c r="AJ13" s="470"/>
      <c r="AK13" s="1096"/>
      <c r="AL13" s="470"/>
      <c r="AM13" s="470"/>
      <c r="AN13" s="470"/>
      <c r="AO13" s="470"/>
      <c r="AP13" s="470"/>
      <c r="AQ13" s="470"/>
      <c r="AR13" s="470"/>
      <c r="AS13" s="470"/>
      <c r="AT13" s="470"/>
      <c r="AU13" s="470"/>
      <c r="AV13" s="470"/>
      <c r="AW13" s="470"/>
      <c r="AX13" s="1096" t="s">
        <v>417</v>
      </c>
      <c r="AY13" s="470"/>
      <c r="AZ13" s="1096" t="s">
        <v>416</v>
      </c>
      <c r="BB13" s="596">
        <v>6</v>
      </c>
      <c r="BC13" s="598">
        <f t="shared" si="47"/>
        <v>45444</v>
      </c>
      <c r="BN13" s="601">
        <f t="shared" si="48"/>
        <v>0</v>
      </c>
      <c r="BO13" s="643">
        <f t="shared" si="49"/>
        <v>0</v>
      </c>
      <c r="BP13" s="643">
        <f t="shared" si="50"/>
        <v>0</v>
      </c>
      <c r="BQ13" s="643">
        <f t="shared" si="51"/>
        <v>0</v>
      </c>
      <c r="BR13" s="643">
        <f t="shared" si="52"/>
        <v>0</v>
      </c>
      <c r="BS13" s="643">
        <f t="shared" si="53"/>
        <v>0</v>
      </c>
      <c r="BT13" s="643">
        <f t="shared" si="54"/>
        <v>0</v>
      </c>
      <c r="BU13" s="644">
        <f t="shared" si="55"/>
        <v>0</v>
      </c>
      <c r="BV13" s="645">
        <f t="shared" si="99"/>
        <v>0</v>
      </c>
      <c r="BZ13" s="471"/>
      <c r="CA13" s="470"/>
      <c r="CB13" s="470"/>
      <c r="CC13" s="470"/>
      <c r="CD13" s="470"/>
      <c r="CE13" s="470"/>
      <c r="CF13" s="470"/>
      <c r="CG13" s="470"/>
      <c r="CH13" s="470"/>
      <c r="CI13" s="470"/>
      <c r="CJ13" s="470"/>
      <c r="CK13" s="470"/>
      <c r="CL13" s="470"/>
      <c r="CM13" s="470"/>
      <c r="CN13" s="470"/>
      <c r="CO13" s="470"/>
      <c r="CP13" s="470"/>
      <c r="CQ13" s="470"/>
      <c r="CR13" s="470"/>
      <c r="CS13" s="470"/>
      <c r="CU13" s="620">
        <v>6</v>
      </c>
      <c r="CV13" s="598">
        <f t="shared" si="56"/>
        <v>45444</v>
      </c>
      <c r="DG13" s="621">
        <f t="shared" si="57"/>
        <v>0</v>
      </c>
      <c r="DH13" s="649">
        <f t="shared" si="58"/>
        <v>0</v>
      </c>
      <c r="DI13" s="649">
        <f t="shared" si="59"/>
        <v>0</v>
      </c>
      <c r="DJ13" s="649">
        <f t="shared" si="60"/>
        <v>0</v>
      </c>
      <c r="DK13" s="649">
        <f t="shared" si="61"/>
        <v>0</v>
      </c>
      <c r="DL13" s="649">
        <f t="shared" si="62"/>
        <v>0</v>
      </c>
      <c r="DM13" s="649">
        <f t="shared" si="63"/>
        <v>0</v>
      </c>
      <c r="DN13" s="650">
        <f t="shared" si="64"/>
        <v>0</v>
      </c>
      <c r="DO13" s="607">
        <f t="shared" si="100"/>
        <v>0</v>
      </c>
      <c r="DS13" s="470"/>
      <c r="ED13" s="482">
        <f t="shared" si="1"/>
        <v>45444</v>
      </c>
      <c r="EE13" s="482">
        <f t="shared" si="2"/>
        <v>45473</v>
      </c>
      <c r="EF13" s="14" t="str">
        <f>IF(AND(EE13&gt;=EXPEDIENTE!$F$25,ED13&lt;=EXPEDIENTE!$F$29),"SI","NO")</f>
        <v>NO</v>
      </c>
      <c r="EG13" s="11">
        <f t="shared" si="3"/>
        <v>0</v>
      </c>
      <c r="EH13" s="11">
        <f t="shared" si="4"/>
        <v>0</v>
      </c>
      <c r="EI13" s="11">
        <f t="shared" si="5"/>
        <v>0</v>
      </c>
      <c r="EJ13" s="11">
        <f t="shared" si="6"/>
        <v>0</v>
      </c>
      <c r="EK13" s="11">
        <f t="shared" si="7"/>
        <v>0</v>
      </c>
      <c r="EL13" s="11">
        <f t="shared" si="8"/>
        <v>0</v>
      </c>
      <c r="EM13" s="11">
        <f t="shared" si="9"/>
        <v>0</v>
      </c>
      <c r="EN13" s="11">
        <f t="shared" si="10"/>
        <v>0</v>
      </c>
      <c r="EO13" s="11">
        <f t="shared" si="11"/>
        <v>0</v>
      </c>
      <c r="EP13" s="11">
        <f t="shared" si="12"/>
        <v>0</v>
      </c>
      <c r="EQ13" s="11">
        <f t="shared" si="13"/>
        <v>0</v>
      </c>
      <c r="ER13" s="11">
        <f t="shared" si="14"/>
        <v>0</v>
      </c>
      <c r="ES13" s="11">
        <f t="shared" si="15"/>
        <v>0</v>
      </c>
      <c r="ET13" s="11">
        <f t="shared" si="16"/>
        <v>0</v>
      </c>
      <c r="EU13" s="11">
        <f t="shared" si="17"/>
        <v>0</v>
      </c>
      <c r="EV13" s="11">
        <f t="shared" si="18"/>
        <v>0</v>
      </c>
      <c r="EW13" s="11">
        <f t="shared" si="19"/>
        <v>0</v>
      </c>
      <c r="EX13" s="11">
        <f t="shared" si="20"/>
        <v>0</v>
      </c>
      <c r="EY13" s="11">
        <f t="shared" si="21"/>
        <v>0</v>
      </c>
      <c r="EZ13" s="11">
        <f t="shared" si="22"/>
        <v>0</v>
      </c>
      <c r="FA13" s="11">
        <f t="shared" si="23"/>
        <v>0</v>
      </c>
      <c r="FB13" s="11">
        <f t="shared" si="24"/>
        <v>0</v>
      </c>
      <c r="FC13" s="11">
        <f t="shared" si="25"/>
        <v>0</v>
      </c>
      <c r="FD13" s="11">
        <f t="shared" si="26"/>
        <v>0</v>
      </c>
      <c r="FE13" s="11">
        <f t="shared" si="27"/>
        <v>0</v>
      </c>
      <c r="FF13" s="11">
        <f t="shared" si="28"/>
        <v>0</v>
      </c>
      <c r="FG13" s="11">
        <f t="shared" si="29"/>
        <v>0</v>
      </c>
      <c r="FH13" s="11">
        <f t="shared" si="30"/>
        <v>0</v>
      </c>
      <c r="FI13" s="11">
        <f t="shared" si="31"/>
        <v>0</v>
      </c>
      <c r="FJ13" s="11">
        <f t="shared" si="32"/>
        <v>0</v>
      </c>
      <c r="FK13" s="11">
        <f t="shared" si="33"/>
        <v>0</v>
      </c>
      <c r="FL13" s="11">
        <f t="shared" si="34"/>
        <v>0</v>
      </c>
      <c r="FM13" s="11">
        <f t="shared" si="65"/>
        <v>0</v>
      </c>
      <c r="FV13" s="470"/>
      <c r="FW13" s="470"/>
      <c r="GH13" s="482">
        <f t="shared" si="35"/>
        <v>45444</v>
      </c>
      <c r="GI13" s="482">
        <f t="shared" si="36"/>
        <v>45473</v>
      </c>
      <c r="GJ13" s="14" t="str">
        <f>IF(AND(GI13&gt;=EXPEDIENTE!$F$25,GH13&lt;=EXPEDIENTE!$F$29),"SI","NO")</f>
        <v>NO</v>
      </c>
      <c r="GK13" s="11">
        <f t="shared" si="66"/>
        <v>0</v>
      </c>
      <c r="GL13" s="11">
        <f t="shared" si="67"/>
        <v>0</v>
      </c>
      <c r="GM13" s="11">
        <f t="shared" si="68"/>
        <v>0</v>
      </c>
      <c r="GN13" s="11">
        <f t="shared" si="69"/>
        <v>0</v>
      </c>
      <c r="GO13" s="11">
        <f t="shared" si="70"/>
        <v>0</v>
      </c>
      <c r="GP13" s="11">
        <f t="shared" si="71"/>
        <v>0</v>
      </c>
      <c r="GQ13" s="11">
        <f t="shared" si="72"/>
        <v>0</v>
      </c>
      <c r="GR13" s="11">
        <f t="shared" si="73"/>
        <v>0</v>
      </c>
      <c r="GS13" s="11">
        <f t="shared" si="74"/>
        <v>0</v>
      </c>
      <c r="GT13" s="11">
        <f t="shared" si="75"/>
        <v>0</v>
      </c>
      <c r="GU13" s="11">
        <f t="shared" si="76"/>
        <v>0</v>
      </c>
      <c r="GV13" s="11">
        <f t="shared" si="77"/>
        <v>0</v>
      </c>
      <c r="GW13" s="11">
        <f t="shared" si="78"/>
        <v>0</v>
      </c>
      <c r="GX13" s="11">
        <f t="shared" si="79"/>
        <v>0</v>
      </c>
      <c r="GY13" s="11">
        <f t="shared" si="80"/>
        <v>0</v>
      </c>
      <c r="GZ13" s="11">
        <f t="shared" si="81"/>
        <v>0</v>
      </c>
      <c r="HA13" s="11">
        <f t="shared" si="82"/>
        <v>0</v>
      </c>
      <c r="HB13" s="11">
        <f t="shared" si="83"/>
        <v>0</v>
      </c>
      <c r="HC13" s="11">
        <f t="shared" si="84"/>
        <v>0</v>
      </c>
      <c r="HD13" s="11">
        <f t="shared" si="85"/>
        <v>0</v>
      </c>
      <c r="HE13" s="11">
        <f t="shared" si="86"/>
        <v>0</v>
      </c>
      <c r="HF13" s="11">
        <f t="shared" si="87"/>
        <v>0</v>
      </c>
      <c r="HG13" s="11">
        <f t="shared" si="88"/>
        <v>0</v>
      </c>
      <c r="HH13" s="11">
        <f t="shared" si="89"/>
        <v>0</v>
      </c>
      <c r="HI13" s="11">
        <f t="shared" si="90"/>
        <v>0</v>
      </c>
      <c r="HJ13" s="11">
        <f t="shared" si="91"/>
        <v>0</v>
      </c>
      <c r="HK13" s="11">
        <f t="shared" si="92"/>
        <v>0</v>
      </c>
      <c r="HL13" s="11">
        <f t="shared" si="93"/>
        <v>0</v>
      </c>
      <c r="HM13" s="11">
        <f t="shared" si="94"/>
        <v>0</v>
      </c>
      <c r="HN13" s="11">
        <f t="shared" si="95"/>
        <v>0</v>
      </c>
      <c r="HO13" s="11">
        <f t="shared" si="96"/>
        <v>0</v>
      </c>
      <c r="HP13" s="11">
        <f t="shared" si="97"/>
        <v>0</v>
      </c>
      <c r="HQ13" s="11">
        <f t="shared" si="98"/>
        <v>0</v>
      </c>
      <c r="IA13" s="470"/>
      <c r="IF13" s="471"/>
      <c r="IG13" s="470"/>
      <c r="II13" s="471"/>
      <c r="IM13" s="470"/>
      <c r="IU13" s="471"/>
      <c r="IV13" s="470"/>
      <c r="IX13" s="471"/>
      <c r="JB13" s="470"/>
      <c r="JF13" s="480">
        <v>9</v>
      </c>
      <c r="JG13" s="474">
        <f>JG8+2</f>
        <v>2</v>
      </c>
    </row>
    <row r="14" spans="1:270" ht="15.75" customHeight="1" thickBot="1" x14ac:dyDescent="0.35">
      <c r="C14" s="8">
        <v>8</v>
      </c>
      <c r="D14" s="12"/>
      <c r="E14" s="17"/>
      <c r="F14" s="18"/>
      <c r="G14" s="19"/>
      <c r="H14" s="19"/>
      <c r="I14" s="19"/>
      <c r="J14" s="12"/>
      <c r="K14" s="14">
        <f t="shared" si="43"/>
        <v>76</v>
      </c>
      <c r="L14" s="14">
        <f t="shared" si="44"/>
        <v>76</v>
      </c>
      <c r="M14" s="14" t="str">
        <f t="shared" si="45"/>
        <v>X</v>
      </c>
      <c r="R14" s="26" t="s">
        <v>418</v>
      </c>
      <c r="S14" s="11" t="str">
        <f>IF(S12="","",MONTH(S12))</f>
        <v/>
      </c>
      <c r="V14" s="1134"/>
      <c r="W14" s="24" t="s">
        <v>119</v>
      </c>
      <c r="Y14" s="547">
        <f t="shared" si="46"/>
        <v>8</v>
      </c>
      <c r="Z14" s="478" t="str">
        <f>IF(Y14="","",IF(EDATE($Z$6,Y14)&gt;EXPEDIENTE!$F$27,"",EDATE($Z$6,Y14)))</f>
        <v/>
      </c>
      <c r="AA14" s="478" t="str">
        <f t="shared" si="0"/>
        <v/>
      </c>
      <c r="AB14" s="478" t="str">
        <f>IF(AA14="","",IF(YEAR(EXPEDIENTE!$F$25)=YEAR(AA14),AA14,""))</f>
        <v/>
      </c>
      <c r="AC14" s="478" t="str">
        <f>IF(AA14="","",IF(YEAR(EXPEDIENTE!$F$25)+1=YEAR(AA14),AA14,""))</f>
        <v/>
      </c>
      <c r="AD14" s="478" t="str">
        <f>IF(AA14="","",IF(YEAR(EXPEDIENTE!$F$25)+2=YEAR(AA14),AA14,""))</f>
        <v/>
      </c>
      <c r="AE14" s="478" t="str">
        <f>IF(AA14="","",IF(YEAR(EXPEDIENTE!$F$25)+3=YEAR(AA14),AA14,""))</f>
        <v/>
      </c>
      <c r="AG14" s="471"/>
      <c r="AH14" s="470"/>
      <c r="AI14" s="470"/>
      <c r="AJ14" s="470"/>
      <c r="AK14" s="1096"/>
      <c r="AL14" s="470"/>
      <c r="AM14" s="470"/>
      <c r="AN14" s="470"/>
      <c r="AO14" s="470"/>
      <c r="AP14" s="470"/>
      <c r="AQ14" s="470"/>
      <c r="AR14" s="470"/>
      <c r="AS14" s="470"/>
      <c r="AT14" s="470"/>
      <c r="AU14" s="470"/>
      <c r="AV14" s="470"/>
      <c r="AW14" s="470"/>
      <c r="AX14" s="1096"/>
      <c r="AY14" s="470"/>
      <c r="AZ14" s="1096"/>
      <c r="BB14" s="596">
        <v>7</v>
      </c>
      <c r="BC14" s="598">
        <f t="shared" si="47"/>
        <v>45474</v>
      </c>
      <c r="BN14" s="601">
        <f t="shared" si="48"/>
        <v>0</v>
      </c>
      <c r="BO14" s="643">
        <f t="shared" si="49"/>
        <v>0</v>
      </c>
      <c r="BP14" s="643">
        <f t="shared" si="50"/>
        <v>0</v>
      </c>
      <c r="BQ14" s="643">
        <f t="shared" si="51"/>
        <v>0</v>
      </c>
      <c r="BR14" s="643">
        <f t="shared" si="52"/>
        <v>0</v>
      </c>
      <c r="BS14" s="643">
        <f t="shared" si="53"/>
        <v>0</v>
      </c>
      <c r="BT14" s="643">
        <f t="shared" si="54"/>
        <v>0</v>
      </c>
      <c r="BU14" s="644">
        <f t="shared" si="55"/>
        <v>0</v>
      </c>
      <c r="BV14" s="645">
        <f t="shared" si="99"/>
        <v>0</v>
      </c>
      <c r="BZ14" s="471"/>
      <c r="CA14" s="470"/>
      <c r="CB14" s="470"/>
      <c r="CC14" s="470"/>
      <c r="CD14" s="470"/>
      <c r="CE14" s="470"/>
      <c r="CF14" s="470"/>
      <c r="CG14" s="470"/>
      <c r="CH14" s="470"/>
      <c r="CI14" s="470"/>
      <c r="CJ14" s="470"/>
      <c r="CK14" s="470"/>
      <c r="CL14" s="470"/>
      <c r="CM14" s="470"/>
      <c r="CN14" s="470"/>
      <c r="CO14" s="470"/>
      <c r="CP14" s="470"/>
      <c r="CQ14" s="470"/>
      <c r="CR14" s="470"/>
      <c r="CS14" s="470"/>
      <c r="CU14" s="620">
        <v>7</v>
      </c>
      <c r="CV14" s="598">
        <f t="shared" si="56"/>
        <v>45474</v>
      </c>
      <c r="DG14" s="621">
        <f t="shared" si="57"/>
        <v>0</v>
      </c>
      <c r="DH14" s="649">
        <f t="shared" si="58"/>
        <v>0</v>
      </c>
      <c r="DI14" s="649">
        <f t="shared" si="59"/>
        <v>0</v>
      </c>
      <c r="DJ14" s="649">
        <f t="shared" si="60"/>
        <v>0</v>
      </c>
      <c r="DK14" s="649">
        <f t="shared" si="61"/>
        <v>0</v>
      </c>
      <c r="DL14" s="649">
        <f t="shared" si="62"/>
        <v>0</v>
      </c>
      <c r="DM14" s="649">
        <f t="shared" si="63"/>
        <v>0</v>
      </c>
      <c r="DN14" s="650">
        <f t="shared" si="64"/>
        <v>0</v>
      </c>
      <c r="DO14" s="607">
        <f t="shared" si="100"/>
        <v>0</v>
      </c>
      <c r="DS14" s="470"/>
      <c r="ED14" s="482">
        <f t="shared" si="1"/>
        <v>45474</v>
      </c>
      <c r="EE14" s="482">
        <f t="shared" si="2"/>
        <v>45504</v>
      </c>
      <c r="EF14" s="14" t="str">
        <f>IF(AND(EE14&gt;=EXPEDIENTE!$F$25,ED14&lt;=EXPEDIENTE!$F$29),"SI","NO")</f>
        <v>NO</v>
      </c>
      <c r="EG14" s="11">
        <f t="shared" si="3"/>
        <v>0</v>
      </c>
      <c r="EH14" s="11">
        <f t="shared" si="4"/>
        <v>0</v>
      </c>
      <c r="EI14" s="11">
        <f t="shared" si="5"/>
        <v>0</v>
      </c>
      <c r="EJ14" s="11">
        <f t="shared" si="6"/>
        <v>0</v>
      </c>
      <c r="EK14" s="11">
        <f t="shared" si="7"/>
        <v>0</v>
      </c>
      <c r="EL14" s="11">
        <f t="shared" si="8"/>
        <v>0</v>
      </c>
      <c r="EM14" s="11">
        <f t="shared" si="9"/>
        <v>0</v>
      </c>
      <c r="EN14" s="11">
        <f t="shared" si="10"/>
        <v>0</v>
      </c>
      <c r="EO14" s="11">
        <f t="shared" si="11"/>
        <v>0</v>
      </c>
      <c r="EP14" s="11">
        <f t="shared" si="12"/>
        <v>0</v>
      </c>
      <c r="EQ14" s="11">
        <f t="shared" si="13"/>
        <v>0</v>
      </c>
      <c r="ER14" s="11">
        <f t="shared" si="14"/>
        <v>0</v>
      </c>
      <c r="ES14" s="11">
        <f t="shared" si="15"/>
        <v>0</v>
      </c>
      <c r="ET14" s="11">
        <f t="shared" si="16"/>
        <v>0</v>
      </c>
      <c r="EU14" s="11">
        <f t="shared" si="17"/>
        <v>0</v>
      </c>
      <c r="EV14" s="11">
        <f t="shared" si="18"/>
        <v>0</v>
      </c>
      <c r="EW14" s="11">
        <f t="shared" si="19"/>
        <v>0</v>
      </c>
      <c r="EX14" s="11">
        <f t="shared" si="20"/>
        <v>0</v>
      </c>
      <c r="EY14" s="11">
        <f t="shared" si="21"/>
        <v>0</v>
      </c>
      <c r="EZ14" s="11">
        <f t="shared" si="22"/>
        <v>0</v>
      </c>
      <c r="FA14" s="11">
        <f t="shared" si="23"/>
        <v>0</v>
      </c>
      <c r="FB14" s="11">
        <f t="shared" si="24"/>
        <v>0</v>
      </c>
      <c r="FC14" s="11">
        <f t="shared" si="25"/>
        <v>0</v>
      </c>
      <c r="FD14" s="11">
        <f t="shared" si="26"/>
        <v>0</v>
      </c>
      <c r="FE14" s="11">
        <f t="shared" si="27"/>
        <v>0</v>
      </c>
      <c r="FF14" s="11">
        <f t="shared" si="28"/>
        <v>0</v>
      </c>
      <c r="FG14" s="11">
        <f t="shared" si="29"/>
        <v>0</v>
      </c>
      <c r="FH14" s="11">
        <f t="shared" si="30"/>
        <v>0</v>
      </c>
      <c r="FI14" s="11">
        <f t="shared" si="31"/>
        <v>0</v>
      </c>
      <c r="FJ14" s="11">
        <f t="shared" si="32"/>
        <v>0</v>
      </c>
      <c r="FK14" s="11">
        <f t="shared" si="33"/>
        <v>0</v>
      </c>
      <c r="FL14" s="11">
        <f t="shared" si="34"/>
        <v>0</v>
      </c>
      <c r="FM14" s="11">
        <f t="shared" si="65"/>
        <v>0</v>
      </c>
      <c r="FV14" s="470"/>
      <c r="FW14" s="470"/>
      <c r="GH14" s="482">
        <f t="shared" si="35"/>
        <v>45474</v>
      </c>
      <c r="GI14" s="482">
        <f t="shared" si="36"/>
        <v>45504</v>
      </c>
      <c r="GJ14" s="14" t="str">
        <f>IF(AND(GI14&gt;=EXPEDIENTE!$F$25,GH14&lt;=EXPEDIENTE!$F$29),"SI","NO")</f>
        <v>NO</v>
      </c>
      <c r="GK14" s="11">
        <f t="shared" si="66"/>
        <v>0</v>
      </c>
      <c r="GL14" s="11">
        <f t="shared" si="67"/>
        <v>0</v>
      </c>
      <c r="GM14" s="11">
        <f t="shared" si="68"/>
        <v>0</v>
      </c>
      <c r="GN14" s="11">
        <f t="shared" si="69"/>
        <v>0</v>
      </c>
      <c r="GO14" s="11">
        <f t="shared" si="70"/>
        <v>0</v>
      </c>
      <c r="GP14" s="11">
        <f t="shared" si="71"/>
        <v>0</v>
      </c>
      <c r="GQ14" s="11">
        <f t="shared" si="72"/>
        <v>0</v>
      </c>
      <c r="GR14" s="11">
        <f t="shared" si="73"/>
        <v>0</v>
      </c>
      <c r="GS14" s="11">
        <f t="shared" si="74"/>
        <v>0</v>
      </c>
      <c r="GT14" s="11">
        <f t="shared" si="75"/>
        <v>0</v>
      </c>
      <c r="GU14" s="11">
        <f t="shared" si="76"/>
        <v>0</v>
      </c>
      <c r="GV14" s="11">
        <f t="shared" si="77"/>
        <v>0</v>
      </c>
      <c r="GW14" s="11">
        <f t="shared" si="78"/>
        <v>0</v>
      </c>
      <c r="GX14" s="11">
        <f t="shared" si="79"/>
        <v>0</v>
      </c>
      <c r="GY14" s="11">
        <f t="shared" si="80"/>
        <v>0</v>
      </c>
      <c r="GZ14" s="11">
        <f t="shared" si="81"/>
        <v>0</v>
      </c>
      <c r="HA14" s="11">
        <f t="shared" si="82"/>
        <v>0</v>
      </c>
      <c r="HB14" s="11">
        <f t="shared" si="83"/>
        <v>0</v>
      </c>
      <c r="HC14" s="11">
        <f t="shared" si="84"/>
        <v>0</v>
      </c>
      <c r="HD14" s="11">
        <f t="shared" si="85"/>
        <v>0</v>
      </c>
      <c r="HE14" s="11">
        <f t="shared" si="86"/>
        <v>0</v>
      </c>
      <c r="HF14" s="11">
        <f t="shared" si="87"/>
        <v>0</v>
      </c>
      <c r="HG14" s="11">
        <f t="shared" si="88"/>
        <v>0</v>
      </c>
      <c r="HH14" s="11">
        <f t="shared" si="89"/>
        <v>0</v>
      </c>
      <c r="HI14" s="11">
        <f t="shared" si="90"/>
        <v>0</v>
      </c>
      <c r="HJ14" s="11">
        <f t="shared" si="91"/>
        <v>0</v>
      </c>
      <c r="HK14" s="11">
        <f t="shared" si="92"/>
        <v>0</v>
      </c>
      <c r="HL14" s="11">
        <f t="shared" si="93"/>
        <v>0</v>
      </c>
      <c r="HM14" s="11">
        <f t="shared" si="94"/>
        <v>0</v>
      </c>
      <c r="HN14" s="11">
        <f t="shared" si="95"/>
        <v>0</v>
      </c>
      <c r="HO14" s="11">
        <f t="shared" si="96"/>
        <v>0</v>
      </c>
      <c r="HP14" s="11">
        <f t="shared" si="97"/>
        <v>0</v>
      </c>
      <c r="HQ14" s="11">
        <f t="shared" si="98"/>
        <v>0</v>
      </c>
      <c r="IA14" s="470"/>
      <c r="IF14" s="471"/>
      <c r="IG14" s="470"/>
      <c r="II14" s="471"/>
      <c r="IM14" s="470"/>
      <c r="IU14" s="471"/>
      <c r="IV14" s="470"/>
      <c r="IX14" s="471"/>
      <c r="JB14" s="470"/>
      <c r="JF14" s="485">
        <v>10</v>
      </c>
      <c r="JG14" s="474">
        <f>JG9+2</f>
        <v>2</v>
      </c>
    </row>
    <row r="15" spans="1:270" ht="16.5" thickTop="1" thickBot="1" x14ac:dyDescent="0.35">
      <c r="C15" s="8">
        <v>9</v>
      </c>
      <c r="D15" s="12"/>
      <c r="E15" s="17"/>
      <c r="F15" s="18"/>
      <c r="G15" s="19"/>
      <c r="H15" s="19"/>
      <c r="I15" s="19"/>
      <c r="J15" s="12"/>
      <c r="K15" s="14">
        <f t="shared" si="43"/>
        <v>76</v>
      </c>
      <c r="L15" s="14">
        <f t="shared" si="44"/>
        <v>76</v>
      </c>
      <c r="M15" s="14" t="str">
        <f t="shared" si="45"/>
        <v>X</v>
      </c>
      <c r="O15" s="1117" t="s">
        <v>419</v>
      </c>
      <c r="P15" s="1119"/>
      <c r="R15" s="26" t="s">
        <v>420</v>
      </c>
      <c r="S15" s="11" t="str">
        <f>IF(S12="","",YEAR(S12))</f>
        <v/>
      </c>
      <c r="V15" s="1134"/>
      <c r="W15" s="24" t="s">
        <v>421</v>
      </c>
      <c r="Y15" s="547">
        <f t="shared" si="46"/>
        <v>9</v>
      </c>
      <c r="Z15" s="478" t="str">
        <f>IF(Y15="","",IF(EDATE($Z$6,Y15)&gt;EXPEDIENTE!$F$27,"",EDATE($Z$6,Y15)))</f>
        <v/>
      </c>
      <c r="AA15" s="478" t="str">
        <f t="shared" si="0"/>
        <v/>
      </c>
      <c r="AB15" s="478" t="str">
        <f>IF(AA15="","",IF(YEAR(EXPEDIENTE!$F$25)=YEAR(AA15),AA15,""))</f>
        <v/>
      </c>
      <c r="AC15" s="478" t="str">
        <f>IF(AA15="","",IF(YEAR(EXPEDIENTE!$F$25)+1=YEAR(AA15),AA15,""))</f>
        <v/>
      </c>
      <c r="AD15" s="478" t="str">
        <f>IF(AA15="","",IF(YEAR(EXPEDIENTE!$F$25)+2=YEAR(AA15),AA15,""))</f>
        <v/>
      </c>
      <c r="AE15" s="478" t="str">
        <f>IF(AA15="","",IF(YEAR(EXPEDIENTE!$F$25)+3=YEAR(AA15),AA15,""))</f>
        <v/>
      </c>
      <c r="AG15" s="471"/>
      <c r="AH15" s="470"/>
      <c r="AI15" s="470"/>
      <c r="AJ15" s="470"/>
      <c r="AK15" s="1096"/>
      <c r="AL15" s="470"/>
      <c r="AM15" s="470"/>
      <c r="AN15" s="470"/>
      <c r="AO15" s="470"/>
      <c r="AP15" s="470"/>
      <c r="AQ15" s="470"/>
      <c r="AR15" s="470"/>
      <c r="AS15" s="470"/>
      <c r="AT15" s="470"/>
      <c r="AU15" s="470"/>
      <c r="AV15" s="470"/>
      <c r="AW15" s="470"/>
      <c r="AX15" s="1096"/>
      <c r="AY15" s="470"/>
      <c r="AZ15" s="1096"/>
      <c r="BB15" s="596">
        <v>8</v>
      </c>
      <c r="BC15" s="598">
        <f t="shared" si="47"/>
        <v>45505</v>
      </c>
      <c r="BN15" s="601">
        <f t="shared" si="48"/>
        <v>0</v>
      </c>
      <c r="BO15" s="643">
        <f t="shared" si="49"/>
        <v>0</v>
      </c>
      <c r="BP15" s="643">
        <f t="shared" si="50"/>
        <v>0</v>
      </c>
      <c r="BQ15" s="643">
        <f t="shared" si="51"/>
        <v>0</v>
      </c>
      <c r="BR15" s="643">
        <f t="shared" si="52"/>
        <v>0</v>
      </c>
      <c r="BS15" s="643">
        <f t="shared" si="53"/>
        <v>0</v>
      </c>
      <c r="BT15" s="643">
        <f t="shared" si="54"/>
        <v>0</v>
      </c>
      <c r="BU15" s="644">
        <f t="shared" si="55"/>
        <v>0</v>
      </c>
      <c r="BV15" s="645">
        <f t="shared" si="99"/>
        <v>0</v>
      </c>
      <c r="BZ15" s="471"/>
      <c r="CA15" s="470"/>
      <c r="CB15" s="470"/>
      <c r="CC15" s="470"/>
      <c r="CD15" s="470"/>
      <c r="CE15" s="470"/>
      <c r="CF15" s="470"/>
      <c r="CG15" s="470"/>
      <c r="CH15" s="470"/>
      <c r="CI15" s="470"/>
      <c r="CJ15" s="470"/>
      <c r="CK15" s="470"/>
      <c r="CL15" s="470"/>
      <c r="CM15" s="470"/>
      <c r="CN15" s="470"/>
      <c r="CO15" s="470"/>
      <c r="CP15" s="470"/>
      <c r="CQ15" s="470"/>
      <c r="CR15" s="470"/>
      <c r="CS15" s="470"/>
      <c r="CU15" s="620">
        <v>8</v>
      </c>
      <c r="CV15" s="598">
        <f t="shared" si="56"/>
        <v>45505</v>
      </c>
      <c r="DG15" s="621">
        <f t="shared" si="57"/>
        <v>0</v>
      </c>
      <c r="DH15" s="649">
        <f t="shared" si="58"/>
        <v>0</v>
      </c>
      <c r="DI15" s="649">
        <f t="shared" si="59"/>
        <v>0</v>
      </c>
      <c r="DJ15" s="649">
        <f t="shared" si="60"/>
        <v>0</v>
      </c>
      <c r="DK15" s="649">
        <f t="shared" si="61"/>
        <v>0</v>
      </c>
      <c r="DL15" s="649">
        <f t="shared" si="62"/>
        <v>0</v>
      </c>
      <c r="DM15" s="649">
        <f t="shared" si="63"/>
        <v>0</v>
      </c>
      <c r="DN15" s="650">
        <f t="shared" si="64"/>
        <v>0</v>
      </c>
      <c r="DO15" s="607">
        <f t="shared" si="100"/>
        <v>0</v>
      </c>
      <c r="DS15" s="470"/>
      <c r="ED15" s="482">
        <f t="shared" si="1"/>
        <v>45505</v>
      </c>
      <c r="EE15" s="482">
        <f t="shared" si="2"/>
        <v>45535</v>
      </c>
      <c r="EF15" s="14" t="str">
        <f>IF(AND(EE15&gt;=EXPEDIENTE!$F$25,ED15&lt;=EXPEDIENTE!$F$29),"SI","NO")</f>
        <v>NO</v>
      </c>
      <c r="EG15" s="11">
        <f t="shared" si="3"/>
        <v>0</v>
      </c>
      <c r="EH15" s="11">
        <f t="shared" si="4"/>
        <v>0</v>
      </c>
      <c r="EI15" s="11">
        <f t="shared" si="5"/>
        <v>0</v>
      </c>
      <c r="EJ15" s="11">
        <f t="shared" si="6"/>
        <v>0</v>
      </c>
      <c r="EK15" s="11">
        <f t="shared" si="7"/>
        <v>0</v>
      </c>
      <c r="EL15" s="11">
        <f t="shared" si="8"/>
        <v>0</v>
      </c>
      <c r="EM15" s="11">
        <f t="shared" si="9"/>
        <v>0</v>
      </c>
      <c r="EN15" s="11">
        <f t="shared" si="10"/>
        <v>0</v>
      </c>
      <c r="EO15" s="11">
        <f t="shared" si="11"/>
        <v>0</v>
      </c>
      <c r="EP15" s="11">
        <f t="shared" si="12"/>
        <v>0</v>
      </c>
      <c r="EQ15" s="11">
        <f t="shared" si="13"/>
        <v>0</v>
      </c>
      <c r="ER15" s="11">
        <f t="shared" si="14"/>
        <v>0</v>
      </c>
      <c r="ES15" s="11">
        <f t="shared" si="15"/>
        <v>0</v>
      </c>
      <c r="ET15" s="11">
        <f t="shared" si="16"/>
        <v>0</v>
      </c>
      <c r="EU15" s="11">
        <f t="shared" si="17"/>
        <v>0</v>
      </c>
      <c r="EV15" s="11">
        <f t="shared" si="18"/>
        <v>0</v>
      </c>
      <c r="EW15" s="11">
        <f t="shared" si="19"/>
        <v>0</v>
      </c>
      <c r="EX15" s="11">
        <f t="shared" si="20"/>
        <v>0</v>
      </c>
      <c r="EY15" s="11">
        <f t="shared" si="21"/>
        <v>0</v>
      </c>
      <c r="EZ15" s="11">
        <f t="shared" si="22"/>
        <v>0</v>
      </c>
      <c r="FA15" s="11">
        <f t="shared" si="23"/>
        <v>0</v>
      </c>
      <c r="FB15" s="11">
        <f t="shared" si="24"/>
        <v>0</v>
      </c>
      <c r="FC15" s="11">
        <f t="shared" si="25"/>
        <v>0</v>
      </c>
      <c r="FD15" s="11">
        <f t="shared" si="26"/>
        <v>0</v>
      </c>
      <c r="FE15" s="11">
        <f t="shared" si="27"/>
        <v>0</v>
      </c>
      <c r="FF15" s="11">
        <f t="shared" si="28"/>
        <v>0</v>
      </c>
      <c r="FG15" s="11">
        <f t="shared" si="29"/>
        <v>0</v>
      </c>
      <c r="FH15" s="11">
        <f t="shared" si="30"/>
        <v>0</v>
      </c>
      <c r="FI15" s="11">
        <f t="shared" si="31"/>
        <v>0</v>
      </c>
      <c r="FJ15" s="11">
        <f t="shared" si="32"/>
        <v>0</v>
      </c>
      <c r="FK15" s="11">
        <f t="shared" si="33"/>
        <v>0</v>
      </c>
      <c r="FL15" s="11">
        <f t="shared" si="34"/>
        <v>0</v>
      </c>
      <c r="FM15" s="11">
        <f t="shared" si="65"/>
        <v>0</v>
      </c>
      <c r="FW15" s="470"/>
      <c r="GH15" s="482">
        <f t="shared" si="35"/>
        <v>45505</v>
      </c>
      <c r="GI15" s="482">
        <f t="shared" si="36"/>
        <v>45535</v>
      </c>
      <c r="GJ15" s="14" t="str">
        <f>IF(AND(GI15&gt;=EXPEDIENTE!$F$25,GH15&lt;=EXPEDIENTE!$F$29),"SI","NO")</f>
        <v>NO</v>
      </c>
      <c r="GK15" s="11">
        <f t="shared" si="66"/>
        <v>0</v>
      </c>
      <c r="GL15" s="11">
        <f t="shared" si="67"/>
        <v>0</v>
      </c>
      <c r="GM15" s="11">
        <f t="shared" si="68"/>
        <v>0</v>
      </c>
      <c r="GN15" s="11">
        <f t="shared" si="69"/>
        <v>0</v>
      </c>
      <c r="GO15" s="11">
        <f t="shared" si="70"/>
        <v>0</v>
      </c>
      <c r="GP15" s="11">
        <f t="shared" si="71"/>
        <v>0</v>
      </c>
      <c r="GQ15" s="11">
        <f t="shared" si="72"/>
        <v>0</v>
      </c>
      <c r="GR15" s="11">
        <f t="shared" si="73"/>
        <v>0</v>
      </c>
      <c r="GS15" s="11">
        <f t="shared" si="74"/>
        <v>0</v>
      </c>
      <c r="GT15" s="11">
        <f t="shared" si="75"/>
        <v>0</v>
      </c>
      <c r="GU15" s="11">
        <f t="shared" si="76"/>
        <v>0</v>
      </c>
      <c r="GV15" s="11">
        <f t="shared" si="77"/>
        <v>0</v>
      </c>
      <c r="GW15" s="11">
        <f t="shared" si="78"/>
        <v>0</v>
      </c>
      <c r="GX15" s="11">
        <f t="shared" si="79"/>
        <v>0</v>
      </c>
      <c r="GY15" s="11">
        <f t="shared" si="80"/>
        <v>0</v>
      </c>
      <c r="GZ15" s="11">
        <f t="shared" si="81"/>
        <v>0</v>
      </c>
      <c r="HA15" s="11">
        <f t="shared" si="82"/>
        <v>0</v>
      </c>
      <c r="HB15" s="11">
        <f t="shared" si="83"/>
        <v>0</v>
      </c>
      <c r="HC15" s="11">
        <f t="shared" si="84"/>
        <v>0</v>
      </c>
      <c r="HD15" s="11">
        <f t="shared" si="85"/>
        <v>0</v>
      </c>
      <c r="HE15" s="11">
        <f t="shared" si="86"/>
        <v>0</v>
      </c>
      <c r="HF15" s="11">
        <f t="shared" si="87"/>
        <v>0</v>
      </c>
      <c r="HG15" s="11">
        <f t="shared" si="88"/>
        <v>0</v>
      </c>
      <c r="HH15" s="11">
        <f t="shared" si="89"/>
        <v>0</v>
      </c>
      <c r="HI15" s="11">
        <f t="shared" si="90"/>
        <v>0</v>
      </c>
      <c r="HJ15" s="11">
        <f t="shared" si="91"/>
        <v>0</v>
      </c>
      <c r="HK15" s="11">
        <f t="shared" si="92"/>
        <v>0</v>
      </c>
      <c r="HL15" s="11">
        <f t="shared" si="93"/>
        <v>0</v>
      </c>
      <c r="HM15" s="11">
        <f t="shared" si="94"/>
        <v>0</v>
      </c>
      <c r="HN15" s="11">
        <f t="shared" si="95"/>
        <v>0</v>
      </c>
      <c r="HO15" s="11">
        <f t="shared" si="96"/>
        <v>0</v>
      </c>
      <c r="HP15" s="11">
        <f t="shared" si="97"/>
        <v>0</v>
      </c>
      <c r="HQ15" s="11">
        <f t="shared" si="98"/>
        <v>0</v>
      </c>
      <c r="JF15" s="477">
        <v>11</v>
      </c>
      <c r="JG15" s="474">
        <f t="shared" si="101"/>
        <v>4</v>
      </c>
    </row>
    <row r="16" spans="1:270" ht="15.75" customHeight="1" thickTop="1" x14ac:dyDescent="0.3">
      <c r="C16" s="8">
        <v>10</v>
      </c>
      <c r="D16" s="12"/>
      <c r="E16" s="17"/>
      <c r="F16" s="18"/>
      <c r="G16" s="19"/>
      <c r="H16" s="19"/>
      <c r="I16" s="19"/>
      <c r="J16" s="12"/>
      <c r="K16" s="14">
        <f t="shared" si="43"/>
        <v>76</v>
      </c>
      <c r="L16" s="14">
        <f t="shared" si="44"/>
        <v>76</v>
      </c>
      <c r="M16" s="14" t="str">
        <f t="shared" si="45"/>
        <v>X</v>
      </c>
      <c r="R16" s="8"/>
      <c r="V16" s="1134"/>
      <c r="W16" s="24" t="s">
        <v>422</v>
      </c>
      <c r="Y16" s="547">
        <f t="shared" si="46"/>
        <v>10</v>
      </c>
      <c r="Z16" s="478" t="str">
        <f>IF(Y16="","",IF(EDATE($Z$6,Y16)&gt;EXPEDIENTE!$F$27,"",EDATE($Z$6,Y16)))</f>
        <v/>
      </c>
      <c r="AA16" s="478" t="str">
        <f t="shared" si="0"/>
        <v/>
      </c>
      <c r="AB16" s="478" t="str">
        <f>IF(AA16="","",IF(YEAR(EXPEDIENTE!$F$25)=YEAR(AA16),AA16,""))</f>
        <v/>
      </c>
      <c r="AC16" s="478" t="str">
        <f>IF(AA16="","",IF(YEAR(EXPEDIENTE!$F$25)+1=YEAR(AA16),AA16,""))</f>
        <v/>
      </c>
      <c r="AD16" s="478" t="str">
        <f>IF(AA16="","",IF(YEAR(EXPEDIENTE!$F$25)+2=YEAR(AA16),AA16,""))</f>
        <v/>
      </c>
      <c r="AE16" s="478" t="str">
        <f>IF(AA16="","",IF(YEAR(EXPEDIENTE!$F$25)+3=YEAR(AA16),AA16,""))</f>
        <v/>
      </c>
      <c r="AG16" s="471"/>
      <c r="AH16" s="470"/>
      <c r="AI16" s="470"/>
      <c r="AJ16" s="470"/>
      <c r="AK16" s="470"/>
      <c r="AL16" s="470"/>
      <c r="AM16" s="470"/>
      <c r="AN16" s="470"/>
      <c r="AO16" s="470"/>
      <c r="AP16" s="470"/>
      <c r="AQ16" s="470"/>
      <c r="AR16" s="470"/>
      <c r="AS16" s="470"/>
      <c r="AT16" s="470"/>
      <c r="AU16" s="470"/>
      <c r="AV16" s="470"/>
      <c r="AW16" s="470"/>
      <c r="AX16" s="1096"/>
      <c r="AZ16" s="1096"/>
      <c r="BB16" s="596">
        <v>9</v>
      </c>
      <c r="BC16" s="598">
        <f t="shared" si="47"/>
        <v>45536</v>
      </c>
      <c r="BN16" s="601">
        <f t="shared" si="48"/>
        <v>0</v>
      </c>
      <c r="BO16" s="643">
        <f t="shared" si="49"/>
        <v>0</v>
      </c>
      <c r="BP16" s="643">
        <f t="shared" si="50"/>
        <v>0</v>
      </c>
      <c r="BQ16" s="643">
        <f t="shared" si="51"/>
        <v>0</v>
      </c>
      <c r="BR16" s="643">
        <f t="shared" si="52"/>
        <v>0</v>
      </c>
      <c r="BS16" s="643">
        <f t="shared" si="53"/>
        <v>0</v>
      </c>
      <c r="BT16" s="643">
        <f t="shared" si="54"/>
        <v>0</v>
      </c>
      <c r="BU16" s="644">
        <f t="shared" si="55"/>
        <v>0</v>
      </c>
      <c r="BV16" s="645">
        <f t="shared" si="99"/>
        <v>0</v>
      </c>
      <c r="BZ16" s="471"/>
      <c r="CA16" s="470"/>
      <c r="CB16" s="470"/>
      <c r="CC16" s="470"/>
      <c r="CD16" s="470"/>
      <c r="CE16" s="470"/>
      <c r="CF16" s="470"/>
      <c r="CG16" s="470"/>
      <c r="CH16" s="470"/>
      <c r="CI16" s="470"/>
      <c r="CJ16" s="470"/>
      <c r="CK16" s="470"/>
      <c r="CL16" s="470"/>
      <c r="CM16" s="470"/>
      <c r="CN16" s="470"/>
      <c r="CO16" s="470"/>
      <c r="CP16" s="470"/>
      <c r="CS16" s="470"/>
      <c r="CU16" s="620">
        <v>9</v>
      </c>
      <c r="CV16" s="598">
        <f t="shared" si="56"/>
        <v>45536</v>
      </c>
      <c r="DG16" s="621">
        <f t="shared" si="57"/>
        <v>0</v>
      </c>
      <c r="DH16" s="649">
        <f t="shared" si="58"/>
        <v>0</v>
      </c>
      <c r="DI16" s="649">
        <f t="shared" si="59"/>
        <v>0</v>
      </c>
      <c r="DJ16" s="649">
        <f t="shared" si="60"/>
        <v>0</v>
      </c>
      <c r="DK16" s="649">
        <f t="shared" si="61"/>
        <v>0</v>
      </c>
      <c r="DL16" s="649">
        <f t="shared" si="62"/>
        <v>0</v>
      </c>
      <c r="DM16" s="649">
        <f t="shared" si="63"/>
        <v>0</v>
      </c>
      <c r="DN16" s="650">
        <f t="shared" si="64"/>
        <v>0</v>
      </c>
      <c r="DO16" s="607">
        <f t="shared" si="100"/>
        <v>0</v>
      </c>
      <c r="DS16" s="470"/>
      <c r="ED16" s="482">
        <f t="shared" si="1"/>
        <v>45536</v>
      </c>
      <c r="EE16" s="482">
        <f t="shared" si="2"/>
        <v>45565</v>
      </c>
      <c r="EF16" s="14" t="str">
        <f>IF(AND(EE16&gt;=EXPEDIENTE!$F$25,ED16&lt;=EXPEDIENTE!$F$29),"SI","NO")</f>
        <v>NO</v>
      </c>
      <c r="EG16" s="11">
        <f t="shared" si="3"/>
        <v>0</v>
      </c>
      <c r="EH16" s="11">
        <f t="shared" si="4"/>
        <v>0</v>
      </c>
      <c r="EI16" s="11">
        <f t="shared" si="5"/>
        <v>0</v>
      </c>
      <c r="EJ16" s="11">
        <f t="shared" si="6"/>
        <v>0</v>
      </c>
      <c r="EK16" s="11">
        <f t="shared" si="7"/>
        <v>0</v>
      </c>
      <c r="EL16" s="11">
        <f t="shared" si="8"/>
        <v>0</v>
      </c>
      <c r="EM16" s="11">
        <f t="shared" si="9"/>
        <v>0</v>
      </c>
      <c r="EN16" s="11">
        <f t="shared" si="10"/>
        <v>0</v>
      </c>
      <c r="EO16" s="11">
        <f t="shared" si="11"/>
        <v>0</v>
      </c>
      <c r="EP16" s="11">
        <f t="shared" si="12"/>
        <v>0</v>
      </c>
      <c r="EQ16" s="11">
        <f t="shared" si="13"/>
        <v>0</v>
      </c>
      <c r="ER16" s="11">
        <f t="shared" si="14"/>
        <v>0</v>
      </c>
      <c r="ES16" s="11">
        <f t="shared" si="15"/>
        <v>0</v>
      </c>
      <c r="ET16" s="11">
        <f t="shared" si="16"/>
        <v>0</v>
      </c>
      <c r="EU16" s="11">
        <f t="shared" si="17"/>
        <v>0</v>
      </c>
      <c r="EV16" s="11">
        <f t="shared" si="18"/>
        <v>0</v>
      </c>
      <c r="EW16" s="11">
        <f t="shared" si="19"/>
        <v>0</v>
      </c>
      <c r="EX16" s="11">
        <f t="shared" si="20"/>
        <v>0</v>
      </c>
      <c r="EY16" s="11">
        <f t="shared" si="21"/>
        <v>0</v>
      </c>
      <c r="EZ16" s="11">
        <f t="shared" si="22"/>
        <v>0</v>
      </c>
      <c r="FA16" s="11">
        <f t="shared" si="23"/>
        <v>0</v>
      </c>
      <c r="FB16" s="11">
        <f t="shared" si="24"/>
        <v>0</v>
      </c>
      <c r="FC16" s="11">
        <f t="shared" si="25"/>
        <v>0</v>
      </c>
      <c r="FD16" s="11">
        <f t="shared" si="26"/>
        <v>0</v>
      </c>
      <c r="FE16" s="11">
        <f t="shared" si="27"/>
        <v>0</v>
      </c>
      <c r="FF16" s="11">
        <f t="shared" si="28"/>
        <v>0</v>
      </c>
      <c r="FG16" s="11">
        <f t="shared" si="29"/>
        <v>0</v>
      </c>
      <c r="FH16" s="11">
        <f t="shared" si="30"/>
        <v>0</v>
      </c>
      <c r="FI16" s="11">
        <f t="shared" si="31"/>
        <v>0</v>
      </c>
      <c r="FJ16" s="11">
        <f t="shared" si="32"/>
        <v>0</v>
      </c>
      <c r="FK16" s="11">
        <f t="shared" si="33"/>
        <v>0</v>
      </c>
      <c r="FL16" s="11">
        <f t="shared" si="34"/>
        <v>0</v>
      </c>
      <c r="FM16" s="11">
        <f t="shared" si="65"/>
        <v>0</v>
      </c>
      <c r="FW16" s="470"/>
      <c r="GH16" s="482">
        <f t="shared" si="35"/>
        <v>45536</v>
      </c>
      <c r="GI16" s="482">
        <f t="shared" si="36"/>
        <v>45565</v>
      </c>
      <c r="GJ16" s="14" t="str">
        <f>IF(AND(GI16&gt;=EXPEDIENTE!$F$25,GH16&lt;=EXPEDIENTE!$F$29),"SI","NO")</f>
        <v>NO</v>
      </c>
      <c r="GK16" s="11">
        <f t="shared" si="66"/>
        <v>0</v>
      </c>
      <c r="GL16" s="11">
        <f t="shared" si="67"/>
        <v>0</v>
      </c>
      <c r="GM16" s="11">
        <f t="shared" si="68"/>
        <v>0</v>
      </c>
      <c r="GN16" s="11">
        <f t="shared" si="69"/>
        <v>0</v>
      </c>
      <c r="GO16" s="11">
        <f t="shared" si="70"/>
        <v>0</v>
      </c>
      <c r="GP16" s="11">
        <f t="shared" si="71"/>
        <v>0</v>
      </c>
      <c r="GQ16" s="11">
        <f t="shared" si="72"/>
        <v>0</v>
      </c>
      <c r="GR16" s="11">
        <f t="shared" si="73"/>
        <v>0</v>
      </c>
      <c r="GS16" s="11">
        <f t="shared" si="74"/>
        <v>0</v>
      </c>
      <c r="GT16" s="11">
        <f t="shared" si="75"/>
        <v>0</v>
      </c>
      <c r="GU16" s="11">
        <f t="shared" si="76"/>
        <v>0</v>
      </c>
      <c r="GV16" s="11">
        <f t="shared" si="77"/>
        <v>0</v>
      </c>
      <c r="GW16" s="11">
        <f t="shared" si="78"/>
        <v>0</v>
      </c>
      <c r="GX16" s="11">
        <f t="shared" si="79"/>
        <v>0</v>
      </c>
      <c r="GY16" s="11">
        <f t="shared" si="80"/>
        <v>0</v>
      </c>
      <c r="GZ16" s="11">
        <f t="shared" si="81"/>
        <v>0</v>
      </c>
      <c r="HA16" s="11">
        <f t="shared" si="82"/>
        <v>0</v>
      </c>
      <c r="HB16" s="11">
        <f t="shared" si="83"/>
        <v>0</v>
      </c>
      <c r="HC16" s="11">
        <f t="shared" si="84"/>
        <v>0</v>
      </c>
      <c r="HD16" s="11">
        <f t="shared" si="85"/>
        <v>0</v>
      </c>
      <c r="HE16" s="11">
        <f t="shared" si="86"/>
        <v>0</v>
      </c>
      <c r="HF16" s="11">
        <f t="shared" si="87"/>
        <v>0</v>
      </c>
      <c r="HG16" s="11">
        <f t="shared" si="88"/>
        <v>0</v>
      </c>
      <c r="HH16" s="11">
        <f t="shared" si="89"/>
        <v>0</v>
      </c>
      <c r="HI16" s="11">
        <f t="shared" si="90"/>
        <v>0</v>
      </c>
      <c r="HJ16" s="11">
        <f t="shared" si="91"/>
        <v>0</v>
      </c>
      <c r="HK16" s="11">
        <f t="shared" si="92"/>
        <v>0</v>
      </c>
      <c r="HL16" s="11">
        <f t="shared" si="93"/>
        <v>0</v>
      </c>
      <c r="HM16" s="11">
        <f t="shared" si="94"/>
        <v>0</v>
      </c>
      <c r="HN16" s="11">
        <f t="shared" si="95"/>
        <v>0</v>
      </c>
      <c r="HO16" s="11">
        <f t="shared" si="96"/>
        <v>0</v>
      </c>
      <c r="HP16" s="11">
        <f t="shared" si="97"/>
        <v>0</v>
      </c>
      <c r="HQ16" s="11">
        <f t="shared" si="98"/>
        <v>0</v>
      </c>
      <c r="JF16" s="480">
        <v>12</v>
      </c>
      <c r="JG16" s="474">
        <f t="shared" si="101"/>
        <v>4</v>
      </c>
    </row>
    <row r="17" spans="3:267" ht="15" customHeight="1" thickBot="1" x14ac:dyDescent="0.35">
      <c r="C17" s="8">
        <v>11</v>
      </c>
      <c r="D17" s="12"/>
      <c r="E17" s="17"/>
      <c r="F17" s="18"/>
      <c r="G17" s="19"/>
      <c r="H17" s="19"/>
      <c r="I17" s="19"/>
      <c r="J17" s="12"/>
      <c r="K17" s="14">
        <f t="shared" si="43"/>
        <v>76</v>
      </c>
      <c r="L17" s="14">
        <f t="shared" si="44"/>
        <v>76</v>
      </c>
      <c r="M17" s="14" t="str">
        <f t="shared" si="45"/>
        <v>X</v>
      </c>
      <c r="O17" s="29" t="s">
        <v>423</v>
      </c>
      <c r="P17" s="28">
        <v>7200</v>
      </c>
      <c r="R17" s="26" t="s">
        <v>424</v>
      </c>
      <c r="S17" s="27" t="str">
        <f>IF(S12="","",DATE(YEAR(S12),MONTH(S12)+S10,DAY(S12)))</f>
        <v/>
      </c>
      <c r="V17" s="1134"/>
      <c r="W17" s="24" t="s">
        <v>425</v>
      </c>
      <c r="Y17" s="547">
        <f t="shared" si="46"/>
        <v>11</v>
      </c>
      <c r="Z17" s="478" t="str">
        <f>IF(Y17="","",IF(EDATE($Z$6,Y17)&gt;EXPEDIENTE!$F$27,"",EDATE($Z$6,Y17)))</f>
        <v/>
      </c>
      <c r="AA17" s="478" t="str">
        <f t="shared" si="0"/>
        <v/>
      </c>
      <c r="AB17" s="478" t="str">
        <f>IF(AA17="","",IF(YEAR(EXPEDIENTE!$F$25)=YEAR(AA17),AA17,""))</f>
        <v/>
      </c>
      <c r="AC17" s="478" t="str">
        <f>IF(AA17="","",IF(YEAR(EXPEDIENTE!$F$25)+1=YEAR(AA17),AA17,""))</f>
        <v/>
      </c>
      <c r="AD17" s="478" t="str">
        <f>IF(AA17="","",IF(YEAR(EXPEDIENTE!$F$25)+2=YEAR(AA17),AA17,""))</f>
        <v/>
      </c>
      <c r="AE17" s="478" t="str">
        <f>IF(AA17="","",IF(YEAR(EXPEDIENTE!$F$25)+3=YEAR(AA17),AA17,""))</f>
        <v/>
      </c>
      <c r="AG17" s="471"/>
      <c r="AH17" s="470"/>
      <c r="AI17" s="470"/>
      <c r="AJ17" s="470"/>
      <c r="AK17" s="470"/>
      <c r="AL17" s="470"/>
      <c r="AM17" s="470"/>
      <c r="AN17" s="470"/>
      <c r="AO17" s="470"/>
      <c r="AP17" s="470"/>
      <c r="AQ17" s="470"/>
      <c r="AR17" s="470"/>
      <c r="AS17" s="470"/>
      <c r="AT17" s="470"/>
      <c r="AU17" s="470"/>
      <c r="AV17" s="470"/>
      <c r="AW17" s="470"/>
      <c r="AZ17" s="470"/>
      <c r="BB17" s="596">
        <v>10</v>
      </c>
      <c r="BC17" s="598">
        <f t="shared" si="47"/>
        <v>45566</v>
      </c>
      <c r="BN17" s="601">
        <f t="shared" si="48"/>
        <v>0</v>
      </c>
      <c r="BO17" s="643">
        <f t="shared" si="49"/>
        <v>0</v>
      </c>
      <c r="BP17" s="643">
        <f t="shared" si="50"/>
        <v>0</v>
      </c>
      <c r="BQ17" s="643">
        <f t="shared" si="51"/>
        <v>0</v>
      </c>
      <c r="BR17" s="643">
        <f t="shared" si="52"/>
        <v>0</v>
      </c>
      <c r="BS17" s="643">
        <f t="shared" si="53"/>
        <v>0</v>
      </c>
      <c r="BT17" s="643">
        <f t="shared" si="54"/>
        <v>0</v>
      </c>
      <c r="BU17" s="644">
        <f t="shared" si="55"/>
        <v>0</v>
      </c>
      <c r="BV17" s="645">
        <f t="shared" si="99"/>
        <v>0</v>
      </c>
      <c r="BZ17" s="471"/>
      <c r="CA17" s="470"/>
      <c r="CB17" s="470"/>
      <c r="CC17" s="470"/>
      <c r="CD17" s="470"/>
      <c r="CE17" s="470"/>
      <c r="CF17" s="470"/>
      <c r="CG17" s="470"/>
      <c r="CH17" s="470"/>
      <c r="CI17" s="470"/>
      <c r="CJ17" s="470"/>
      <c r="CK17" s="470"/>
      <c r="CL17" s="470"/>
      <c r="CM17" s="470"/>
      <c r="CN17" s="470"/>
      <c r="CO17" s="470"/>
      <c r="CP17" s="470"/>
      <c r="CS17" s="470"/>
      <c r="CU17" s="620">
        <v>10</v>
      </c>
      <c r="CV17" s="598">
        <f t="shared" si="56"/>
        <v>45566</v>
      </c>
      <c r="DG17" s="621">
        <f t="shared" si="57"/>
        <v>0</v>
      </c>
      <c r="DH17" s="649">
        <f t="shared" si="58"/>
        <v>0</v>
      </c>
      <c r="DI17" s="649">
        <f t="shared" si="59"/>
        <v>0</v>
      </c>
      <c r="DJ17" s="649">
        <f t="shared" si="60"/>
        <v>0</v>
      </c>
      <c r="DK17" s="649">
        <f t="shared" si="61"/>
        <v>0</v>
      </c>
      <c r="DL17" s="649">
        <f t="shared" si="62"/>
        <v>0</v>
      </c>
      <c r="DM17" s="649">
        <f t="shared" si="63"/>
        <v>0</v>
      </c>
      <c r="DN17" s="650">
        <f t="shared" si="64"/>
        <v>0</v>
      </c>
      <c r="DO17" s="607">
        <f t="shared" si="100"/>
        <v>0</v>
      </c>
      <c r="DS17" s="470"/>
      <c r="ED17" s="482">
        <f t="shared" si="1"/>
        <v>45566</v>
      </c>
      <c r="EE17" s="482">
        <f t="shared" si="2"/>
        <v>45596</v>
      </c>
      <c r="EF17" s="14" t="str">
        <f>IF(AND(EE17&gt;=EXPEDIENTE!$F$25,ED17&lt;=EXPEDIENTE!$F$29),"SI","NO")</f>
        <v>NO</v>
      </c>
      <c r="EG17" s="11">
        <f t="shared" si="3"/>
        <v>0</v>
      </c>
      <c r="EH17" s="11">
        <f t="shared" si="4"/>
        <v>0</v>
      </c>
      <c r="EI17" s="11">
        <f t="shared" si="5"/>
        <v>0</v>
      </c>
      <c r="EJ17" s="11">
        <f t="shared" si="6"/>
        <v>0</v>
      </c>
      <c r="EK17" s="11">
        <f t="shared" si="7"/>
        <v>0</v>
      </c>
      <c r="EL17" s="11">
        <f t="shared" si="8"/>
        <v>0</v>
      </c>
      <c r="EM17" s="11">
        <f t="shared" si="9"/>
        <v>0</v>
      </c>
      <c r="EN17" s="11">
        <f t="shared" si="10"/>
        <v>0</v>
      </c>
      <c r="EO17" s="11">
        <f t="shared" si="11"/>
        <v>0</v>
      </c>
      <c r="EP17" s="11">
        <f t="shared" si="12"/>
        <v>0</v>
      </c>
      <c r="EQ17" s="11">
        <f t="shared" si="13"/>
        <v>0</v>
      </c>
      <c r="ER17" s="11">
        <f t="shared" si="14"/>
        <v>0</v>
      </c>
      <c r="ES17" s="11">
        <f t="shared" si="15"/>
        <v>0</v>
      </c>
      <c r="ET17" s="11">
        <f t="shared" si="16"/>
        <v>0</v>
      </c>
      <c r="EU17" s="11">
        <f t="shared" si="17"/>
        <v>0</v>
      </c>
      <c r="EV17" s="11">
        <f t="shared" si="18"/>
        <v>0</v>
      </c>
      <c r="EW17" s="11">
        <f t="shared" si="19"/>
        <v>0</v>
      </c>
      <c r="EX17" s="11">
        <f t="shared" si="20"/>
        <v>0</v>
      </c>
      <c r="EY17" s="11">
        <f t="shared" si="21"/>
        <v>0</v>
      </c>
      <c r="EZ17" s="11">
        <f t="shared" si="22"/>
        <v>0</v>
      </c>
      <c r="FA17" s="11">
        <f t="shared" si="23"/>
        <v>0</v>
      </c>
      <c r="FB17" s="11">
        <f t="shared" si="24"/>
        <v>0</v>
      </c>
      <c r="FC17" s="11">
        <f t="shared" si="25"/>
        <v>0</v>
      </c>
      <c r="FD17" s="11">
        <f t="shared" si="26"/>
        <v>0</v>
      </c>
      <c r="FE17" s="11">
        <f t="shared" si="27"/>
        <v>0</v>
      </c>
      <c r="FF17" s="11">
        <f t="shared" si="28"/>
        <v>0</v>
      </c>
      <c r="FG17" s="11">
        <f t="shared" si="29"/>
        <v>0</v>
      </c>
      <c r="FH17" s="11">
        <f t="shared" si="30"/>
        <v>0</v>
      </c>
      <c r="FI17" s="11">
        <f t="shared" si="31"/>
        <v>0</v>
      </c>
      <c r="FJ17" s="11">
        <f t="shared" si="32"/>
        <v>0</v>
      </c>
      <c r="FK17" s="11">
        <f t="shared" si="33"/>
        <v>0</v>
      </c>
      <c r="FL17" s="11">
        <f t="shared" si="34"/>
        <v>0</v>
      </c>
      <c r="FM17" s="11">
        <f t="shared" si="65"/>
        <v>0</v>
      </c>
      <c r="FW17" s="470"/>
      <c r="GH17" s="482">
        <f t="shared" si="35"/>
        <v>45566</v>
      </c>
      <c r="GI17" s="482">
        <f t="shared" si="36"/>
        <v>45596</v>
      </c>
      <c r="GJ17" s="14" t="str">
        <f>IF(AND(GI17&gt;=EXPEDIENTE!$F$25,GH17&lt;=EXPEDIENTE!$F$29),"SI","NO")</f>
        <v>NO</v>
      </c>
      <c r="GK17" s="11">
        <f t="shared" si="66"/>
        <v>0</v>
      </c>
      <c r="GL17" s="11">
        <f t="shared" si="67"/>
        <v>0</v>
      </c>
      <c r="GM17" s="11">
        <f t="shared" si="68"/>
        <v>0</v>
      </c>
      <c r="GN17" s="11">
        <f t="shared" si="69"/>
        <v>0</v>
      </c>
      <c r="GO17" s="11">
        <f t="shared" si="70"/>
        <v>0</v>
      </c>
      <c r="GP17" s="11">
        <f t="shared" si="71"/>
        <v>0</v>
      </c>
      <c r="GQ17" s="11">
        <f t="shared" si="72"/>
        <v>0</v>
      </c>
      <c r="GR17" s="11">
        <f t="shared" si="73"/>
        <v>0</v>
      </c>
      <c r="GS17" s="11">
        <f t="shared" si="74"/>
        <v>0</v>
      </c>
      <c r="GT17" s="11">
        <f t="shared" si="75"/>
        <v>0</v>
      </c>
      <c r="GU17" s="11">
        <f t="shared" si="76"/>
        <v>0</v>
      </c>
      <c r="GV17" s="11">
        <f t="shared" si="77"/>
        <v>0</v>
      </c>
      <c r="GW17" s="11">
        <f t="shared" si="78"/>
        <v>0</v>
      </c>
      <c r="GX17" s="11">
        <f t="shared" si="79"/>
        <v>0</v>
      </c>
      <c r="GY17" s="11">
        <f t="shared" si="80"/>
        <v>0</v>
      </c>
      <c r="GZ17" s="11">
        <f t="shared" si="81"/>
        <v>0</v>
      </c>
      <c r="HA17" s="11">
        <f t="shared" si="82"/>
        <v>0</v>
      </c>
      <c r="HB17" s="11">
        <f t="shared" si="83"/>
        <v>0</v>
      </c>
      <c r="HC17" s="11">
        <f t="shared" si="84"/>
        <v>0</v>
      </c>
      <c r="HD17" s="11">
        <f t="shared" si="85"/>
        <v>0</v>
      </c>
      <c r="HE17" s="11">
        <f t="shared" si="86"/>
        <v>0</v>
      </c>
      <c r="HF17" s="11">
        <f t="shared" si="87"/>
        <v>0</v>
      </c>
      <c r="HG17" s="11">
        <f t="shared" si="88"/>
        <v>0</v>
      </c>
      <c r="HH17" s="11">
        <f t="shared" si="89"/>
        <v>0</v>
      </c>
      <c r="HI17" s="11">
        <f t="shared" si="90"/>
        <v>0</v>
      </c>
      <c r="HJ17" s="11">
        <f t="shared" si="91"/>
        <v>0</v>
      </c>
      <c r="HK17" s="11">
        <f t="shared" si="92"/>
        <v>0</v>
      </c>
      <c r="HL17" s="11">
        <f t="shared" si="93"/>
        <v>0</v>
      </c>
      <c r="HM17" s="11">
        <f t="shared" si="94"/>
        <v>0</v>
      </c>
      <c r="HN17" s="11">
        <f t="shared" si="95"/>
        <v>0</v>
      </c>
      <c r="HO17" s="11">
        <f t="shared" si="96"/>
        <v>0</v>
      </c>
      <c r="HP17" s="11">
        <f t="shared" si="97"/>
        <v>0</v>
      </c>
      <c r="HQ17" s="11">
        <f t="shared" si="98"/>
        <v>0</v>
      </c>
      <c r="JF17" s="480">
        <v>13</v>
      </c>
      <c r="JG17" s="474">
        <f>JG12+2</f>
        <v>4</v>
      </c>
    </row>
    <row r="18" spans="3:267" ht="15" customHeight="1" thickBot="1" x14ac:dyDescent="0.35">
      <c r="C18" s="8">
        <v>12</v>
      </c>
      <c r="D18" s="12"/>
      <c r="E18" s="17"/>
      <c r="F18" s="18"/>
      <c r="G18" s="19"/>
      <c r="H18" s="19"/>
      <c r="I18" s="19"/>
      <c r="J18" s="12"/>
      <c r="K18" s="14">
        <f t="shared" si="43"/>
        <v>76</v>
      </c>
      <c r="L18" s="14">
        <f t="shared" si="44"/>
        <v>76</v>
      </c>
      <c r="M18" s="14" t="str">
        <f t="shared" si="45"/>
        <v>X</v>
      </c>
      <c r="R18" s="26" t="s">
        <v>426</v>
      </c>
      <c r="S18" s="27" t="str">
        <f>IF(S12="","",IF(DAY(S12)=DAY(S17),S17,DATE(YEAR(S17),MONTH(S17),1)-1))</f>
        <v/>
      </c>
      <c r="V18" s="1134"/>
      <c r="W18" s="24"/>
      <c r="Y18" s="547">
        <f t="shared" si="46"/>
        <v>12</v>
      </c>
      <c r="Z18" s="478" t="str">
        <f>IF(Y18="","",IF(EDATE($Z$6,Y18)&gt;EXPEDIENTE!$F$27,"",EDATE($Z$6,Y18)))</f>
        <v/>
      </c>
      <c r="AA18" s="478" t="str">
        <f t="shared" si="0"/>
        <v/>
      </c>
      <c r="AB18" s="478" t="str">
        <f>IF(AA18="","",IF(YEAR(EXPEDIENTE!$F$25)=YEAR(AA18),AA18,""))</f>
        <v/>
      </c>
      <c r="AC18" s="478" t="str">
        <f>IF(AA18="","",IF(YEAR(EXPEDIENTE!$F$25)+1=YEAR(AA18),AA18,""))</f>
        <v/>
      </c>
      <c r="AD18" s="478" t="str">
        <f>IF(AA18="","",IF(YEAR(EXPEDIENTE!$F$25)+2=YEAR(AA18),AA18,""))</f>
        <v/>
      </c>
      <c r="AE18" s="478" t="str">
        <f>IF(AA18="","",IF(YEAR(EXPEDIENTE!$F$25)+3=YEAR(AA18),AA18,""))</f>
        <v/>
      </c>
      <c r="AG18" s="1150" t="s">
        <v>427</v>
      </c>
      <c r="AH18" s="1151"/>
      <c r="AI18" s="1151"/>
      <c r="AJ18" s="1151"/>
      <c r="AK18" s="1152"/>
      <c r="AL18" s="470"/>
      <c r="AM18" s="1150" t="s">
        <v>428</v>
      </c>
      <c r="AN18" s="1151"/>
      <c r="AO18" s="1151"/>
      <c r="AP18" s="1151"/>
      <c r="AQ18" s="1151"/>
      <c r="AR18" s="1151"/>
      <c r="AS18" s="1151"/>
      <c r="AT18" s="1151"/>
      <c r="AU18" s="1151"/>
      <c r="AV18" s="1151"/>
      <c r="AW18" s="1151"/>
      <c r="AX18" s="1151"/>
      <c r="AY18" s="1151"/>
      <c r="AZ18" s="1152"/>
      <c r="BB18" s="596">
        <v>11</v>
      </c>
      <c r="BC18" s="598">
        <f t="shared" si="47"/>
        <v>45597</v>
      </c>
      <c r="BE18" s="489"/>
      <c r="BN18" s="601">
        <f t="shared" si="48"/>
        <v>0</v>
      </c>
      <c r="BO18" s="643">
        <f t="shared" si="49"/>
        <v>0</v>
      </c>
      <c r="BP18" s="643">
        <f t="shared" si="50"/>
        <v>0</v>
      </c>
      <c r="BQ18" s="643">
        <f t="shared" si="51"/>
        <v>0</v>
      </c>
      <c r="BR18" s="643">
        <f t="shared" si="52"/>
        <v>0</v>
      </c>
      <c r="BS18" s="643">
        <f t="shared" si="53"/>
        <v>0</v>
      </c>
      <c r="BT18" s="643">
        <f t="shared" si="54"/>
        <v>0</v>
      </c>
      <c r="BU18" s="644">
        <f t="shared" si="55"/>
        <v>0</v>
      </c>
      <c r="BV18" s="645">
        <f t="shared" si="99"/>
        <v>0</v>
      </c>
      <c r="BZ18" s="1215" t="s">
        <v>429</v>
      </c>
      <c r="CA18" s="1216"/>
      <c r="CB18" s="1216"/>
      <c r="CC18" s="1216"/>
      <c r="CD18" s="1217"/>
      <c r="CE18" s="470"/>
      <c r="CF18" s="1215" t="s">
        <v>430</v>
      </c>
      <c r="CG18" s="1216"/>
      <c r="CH18" s="1216"/>
      <c r="CI18" s="1216"/>
      <c r="CJ18" s="1216"/>
      <c r="CK18" s="1216"/>
      <c r="CL18" s="1216"/>
      <c r="CM18" s="1216"/>
      <c r="CN18" s="1216"/>
      <c r="CO18" s="1216"/>
      <c r="CP18" s="1216"/>
      <c r="CQ18" s="1216"/>
      <c r="CR18" s="1216"/>
      <c r="CS18" s="1217"/>
      <c r="CU18" s="620">
        <v>11</v>
      </c>
      <c r="CV18" s="598">
        <f t="shared" si="56"/>
        <v>45597</v>
      </c>
      <c r="DG18" s="621">
        <f t="shared" si="57"/>
        <v>0</v>
      </c>
      <c r="DH18" s="649">
        <f t="shared" si="58"/>
        <v>0</v>
      </c>
      <c r="DI18" s="649">
        <f t="shared" si="59"/>
        <v>0</v>
      </c>
      <c r="DJ18" s="649">
        <f t="shared" si="60"/>
        <v>0</v>
      </c>
      <c r="DK18" s="649">
        <f t="shared" si="61"/>
        <v>0</v>
      </c>
      <c r="DL18" s="649">
        <f t="shared" si="62"/>
        <v>0</v>
      </c>
      <c r="DM18" s="649">
        <f t="shared" si="63"/>
        <v>0</v>
      </c>
      <c r="DN18" s="650">
        <f t="shared" si="64"/>
        <v>0</v>
      </c>
      <c r="DO18" s="607">
        <f t="shared" si="100"/>
        <v>0</v>
      </c>
      <c r="ED18" s="482">
        <f t="shared" si="1"/>
        <v>45597</v>
      </c>
      <c r="EE18" s="482">
        <f t="shared" si="2"/>
        <v>45626</v>
      </c>
      <c r="EF18" s="14" t="str">
        <f>IF(AND(EE18&gt;=EXPEDIENTE!$F$25,ED18&lt;=EXPEDIENTE!$F$29),"SI","NO")</f>
        <v>NO</v>
      </c>
      <c r="EG18" s="11">
        <f t="shared" si="3"/>
        <v>0</v>
      </c>
      <c r="EH18" s="11">
        <f t="shared" si="4"/>
        <v>0</v>
      </c>
      <c r="EI18" s="11">
        <f t="shared" si="5"/>
        <v>0</v>
      </c>
      <c r="EJ18" s="11">
        <f t="shared" si="6"/>
        <v>0</v>
      </c>
      <c r="EK18" s="11">
        <f t="shared" si="7"/>
        <v>0</v>
      </c>
      <c r="EL18" s="11">
        <f t="shared" si="8"/>
        <v>0</v>
      </c>
      <c r="EM18" s="11">
        <f t="shared" si="9"/>
        <v>0</v>
      </c>
      <c r="EN18" s="11">
        <f t="shared" si="10"/>
        <v>0</v>
      </c>
      <c r="EO18" s="11">
        <f t="shared" si="11"/>
        <v>0</v>
      </c>
      <c r="EP18" s="11">
        <f t="shared" si="12"/>
        <v>0</v>
      </c>
      <c r="EQ18" s="11">
        <f t="shared" si="13"/>
        <v>0</v>
      </c>
      <c r="ER18" s="11">
        <f t="shared" si="14"/>
        <v>0</v>
      </c>
      <c r="ES18" s="11">
        <f t="shared" si="15"/>
        <v>0</v>
      </c>
      <c r="ET18" s="11">
        <f t="shared" si="16"/>
        <v>0</v>
      </c>
      <c r="EU18" s="11">
        <f t="shared" si="17"/>
        <v>0</v>
      </c>
      <c r="EV18" s="11">
        <f t="shared" si="18"/>
        <v>0</v>
      </c>
      <c r="EW18" s="11">
        <f t="shared" si="19"/>
        <v>0</v>
      </c>
      <c r="EX18" s="11">
        <f t="shared" si="20"/>
        <v>0</v>
      </c>
      <c r="EY18" s="11">
        <f t="shared" si="21"/>
        <v>0</v>
      </c>
      <c r="EZ18" s="11">
        <f t="shared" si="22"/>
        <v>0</v>
      </c>
      <c r="FA18" s="11">
        <f t="shared" si="23"/>
        <v>0</v>
      </c>
      <c r="FB18" s="11">
        <f t="shared" si="24"/>
        <v>0</v>
      </c>
      <c r="FC18" s="11">
        <f t="shared" si="25"/>
        <v>0</v>
      </c>
      <c r="FD18" s="11">
        <f t="shared" si="26"/>
        <v>0</v>
      </c>
      <c r="FE18" s="11">
        <f t="shared" si="27"/>
        <v>0</v>
      </c>
      <c r="FF18" s="11">
        <f t="shared" si="28"/>
        <v>0</v>
      </c>
      <c r="FG18" s="11">
        <f t="shared" si="29"/>
        <v>0</v>
      </c>
      <c r="FH18" s="11">
        <f t="shared" si="30"/>
        <v>0</v>
      </c>
      <c r="FI18" s="11">
        <f t="shared" si="31"/>
        <v>0</v>
      </c>
      <c r="FJ18" s="11">
        <f t="shared" si="32"/>
        <v>0</v>
      </c>
      <c r="FK18" s="11">
        <f t="shared" si="33"/>
        <v>0</v>
      </c>
      <c r="FL18" s="11">
        <f t="shared" si="34"/>
        <v>0</v>
      </c>
      <c r="FM18" s="11">
        <f t="shared" si="65"/>
        <v>0</v>
      </c>
      <c r="GH18" s="482">
        <f t="shared" si="35"/>
        <v>45597</v>
      </c>
      <c r="GI18" s="482">
        <f t="shared" si="36"/>
        <v>45626</v>
      </c>
      <c r="GJ18" s="14" t="str">
        <f>IF(AND(GI18&gt;=EXPEDIENTE!$F$25,GH18&lt;=EXPEDIENTE!$F$29),"SI","NO")</f>
        <v>NO</v>
      </c>
      <c r="GK18" s="11">
        <f t="shared" si="66"/>
        <v>0</v>
      </c>
      <c r="GL18" s="11">
        <f t="shared" si="67"/>
        <v>0</v>
      </c>
      <c r="GM18" s="11">
        <f t="shared" si="68"/>
        <v>0</v>
      </c>
      <c r="GN18" s="11">
        <f t="shared" si="69"/>
        <v>0</v>
      </c>
      <c r="GO18" s="11">
        <f t="shared" si="70"/>
        <v>0</v>
      </c>
      <c r="GP18" s="11">
        <f t="shared" si="71"/>
        <v>0</v>
      </c>
      <c r="GQ18" s="11">
        <f t="shared" si="72"/>
        <v>0</v>
      </c>
      <c r="GR18" s="11">
        <f t="shared" si="73"/>
        <v>0</v>
      </c>
      <c r="GS18" s="11">
        <f t="shared" si="74"/>
        <v>0</v>
      </c>
      <c r="GT18" s="11">
        <f t="shared" si="75"/>
        <v>0</v>
      </c>
      <c r="GU18" s="11">
        <f t="shared" si="76"/>
        <v>0</v>
      </c>
      <c r="GV18" s="11">
        <f t="shared" si="77"/>
        <v>0</v>
      </c>
      <c r="GW18" s="11">
        <f t="shared" si="78"/>
        <v>0</v>
      </c>
      <c r="GX18" s="11">
        <f t="shared" si="79"/>
        <v>0</v>
      </c>
      <c r="GY18" s="11">
        <f t="shared" si="80"/>
        <v>0</v>
      </c>
      <c r="GZ18" s="11">
        <f t="shared" si="81"/>
        <v>0</v>
      </c>
      <c r="HA18" s="11">
        <f t="shared" si="82"/>
        <v>0</v>
      </c>
      <c r="HB18" s="11">
        <f t="shared" si="83"/>
        <v>0</v>
      </c>
      <c r="HC18" s="11">
        <f t="shared" si="84"/>
        <v>0</v>
      </c>
      <c r="HD18" s="11">
        <f t="shared" si="85"/>
        <v>0</v>
      </c>
      <c r="HE18" s="11">
        <f t="shared" si="86"/>
        <v>0</v>
      </c>
      <c r="HF18" s="11">
        <f t="shared" si="87"/>
        <v>0</v>
      </c>
      <c r="HG18" s="11">
        <f t="shared" si="88"/>
        <v>0</v>
      </c>
      <c r="HH18" s="11">
        <f t="shared" si="89"/>
        <v>0</v>
      </c>
      <c r="HI18" s="11">
        <f t="shared" si="90"/>
        <v>0</v>
      </c>
      <c r="HJ18" s="11">
        <f t="shared" si="91"/>
        <v>0</v>
      </c>
      <c r="HK18" s="11">
        <f t="shared" si="92"/>
        <v>0</v>
      </c>
      <c r="HL18" s="11">
        <f t="shared" si="93"/>
        <v>0</v>
      </c>
      <c r="HM18" s="11">
        <f t="shared" si="94"/>
        <v>0</v>
      </c>
      <c r="HN18" s="11">
        <f t="shared" si="95"/>
        <v>0</v>
      </c>
      <c r="HO18" s="11">
        <f t="shared" si="96"/>
        <v>0</v>
      </c>
      <c r="HP18" s="11">
        <f t="shared" si="97"/>
        <v>0</v>
      </c>
      <c r="HQ18" s="11">
        <f t="shared" si="98"/>
        <v>0</v>
      </c>
      <c r="JF18" s="480">
        <v>14</v>
      </c>
      <c r="JG18" s="474">
        <f>JG13+2</f>
        <v>4</v>
      </c>
    </row>
    <row r="19" spans="3:267" ht="15.75" customHeight="1" thickBot="1" x14ac:dyDescent="0.35">
      <c r="C19" s="8">
        <v>13</v>
      </c>
      <c r="D19" s="12"/>
      <c r="E19" s="17"/>
      <c r="F19" s="18"/>
      <c r="G19" s="19"/>
      <c r="H19" s="19"/>
      <c r="I19" s="19"/>
      <c r="J19" s="12"/>
      <c r="K19" s="14">
        <f t="shared" si="43"/>
        <v>76</v>
      </c>
      <c r="L19" s="14">
        <f t="shared" si="44"/>
        <v>76</v>
      </c>
      <c r="M19" s="14" t="str">
        <f t="shared" si="45"/>
        <v>X</v>
      </c>
      <c r="V19" s="1134"/>
      <c r="W19" s="24"/>
      <c r="Y19" s="547">
        <f t="shared" si="46"/>
        <v>13</v>
      </c>
      <c r="Z19" s="478" t="str">
        <f>IF(Y19="","",IF(EDATE($Z$6,Y19)&gt;EXPEDIENTE!$F$27,"",EDATE($Z$6,Y19)))</f>
        <v/>
      </c>
      <c r="AA19" s="478" t="str">
        <f t="shared" si="0"/>
        <v/>
      </c>
      <c r="AB19" s="478" t="str">
        <f>IF(AA19="","",IF(YEAR(EXPEDIENTE!$F$25)=YEAR(AA19),AA19,""))</f>
        <v/>
      </c>
      <c r="AC19" s="478" t="str">
        <f>IF(AA19="","",IF(YEAR(EXPEDIENTE!$F$25)+1=YEAR(AA19),AA19,""))</f>
        <v/>
      </c>
      <c r="AD19" s="478" t="str">
        <f>IF(AA19="","",IF(YEAR(EXPEDIENTE!$F$25)+2=YEAR(AA19),AA19,""))</f>
        <v/>
      </c>
      <c r="AE19" s="478" t="str">
        <f>IF(AA19="","",IF(YEAR(EXPEDIENTE!$F$25)+3=YEAR(AA19),AA19,""))</f>
        <v/>
      </c>
      <c r="AH19" s="470"/>
      <c r="BB19" s="596">
        <v>12</v>
      </c>
      <c r="BC19" s="599">
        <f t="shared" si="47"/>
        <v>45627</v>
      </c>
      <c r="BE19" s="26"/>
      <c r="BN19" s="602">
        <f t="shared" si="48"/>
        <v>0</v>
      </c>
      <c r="BO19" s="646">
        <f t="shared" si="49"/>
        <v>0</v>
      </c>
      <c r="BP19" s="646">
        <f t="shared" si="50"/>
        <v>0</v>
      </c>
      <c r="BQ19" s="646">
        <f t="shared" si="51"/>
        <v>0</v>
      </c>
      <c r="BR19" s="646">
        <f t="shared" si="52"/>
        <v>0</v>
      </c>
      <c r="BS19" s="646">
        <f t="shared" si="53"/>
        <v>0</v>
      </c>
      <c r="BT19" s="646">
        <f t="shared" si="54"/>
        <v>0</v>
      </c>
      <c r="BU19" s="647">
        <f t="shared" si="55"/>
        <v>0</v>
      </c>
      <c r="BV19" s="648">
        <f t="shared" si="99"/>
        <v>0</v>
      </c>
      <c r="CA19" s="470"/>
      <c r="CU19" s="620">
        <v>12</v>
      </c>
      <c r="CV19" s="599">
        <f t="shared" si="56"/>
        <v>45627</v>
      </c>
      <c r="DG19" s="622">
        <f t="shared" si="57"/>
        <v>0</v>
      </c>
      <c r="DH19" s="651">
        <f t="shared" si="58"/>
        <v>0</v>
      </c>
      <c r="DI19" s="651">
        <f t="shared" si="59"/>
        <v>0</v>
      </c>
      <c r="DJ19" s="651">
        <f t="shared" si="60"/>
        <v>0</v>
      </c>
      <c r="DK19" s="651">
        <f t="shared" si="61"/>
        <v>0</v>
      </c>
      <c r="DL19" s="651">
        <f t="shared" si="62"/>
        <v>0</v>
      </c>
      <c r="DM19" s="651">
        <f t="shared" si="63"/>
        <v>0</v>
      </c>
      <c r="DN19" s="652">
        <f t="shared" si="64"/>
        <v>0</v>
      </c>
      <c r="DO19" s="608">
        <f t="shared" si="100"/>
        <v>0</v>
      </c>
      <c r="DT19" s="490">
        <f>AG20</f>
        <v>2025</v>
      </c>
      <c r="ED19" s="482">
        <f>DATE(YEAR(ED20),MONTH(ED20)-1,1)</f>
        <v>45627</v>
      </c>
      <c r="EE19" s="482">
        <f>DATE(YEAR(EE20),MONTH(EE20),1)-1</f>
        <v>45657</v>
      </c>
      <c r="EF19" s="14" t="str">
        <f>IF(AND(EE19&gt;=EXPEDIENTE!$F$25,ED19&lt;=EXPEDIENTE!$F$29),"SI","NO")</f>
        <v>NO</v>
      </c>
      <c r="EG19" s="11">
        <f t="shared" si="3"/>
        <v>0</v>
      </c>
      <c r="EH19" s="11">
        <f t="shared" si="4"/>
        <v>0</v>
      </c>
      <c r="EI19" s="11">
        <f t="shared" si="5"/>
        <v>0</v>
      </c>
      <c r="EJ19" s="11">
        <f t="shared" si="6"/>
        <v>0</v>
      </c>
      <c r="EK19" s="11">
        <f t="shared" si="7"/>
        <v>0</v>
      </c>
      <c r="EL19" s="11">
        <f t="shared" si="8"/>
        <v>0</v>
      </c>
      <c r="EM19" s="11">
        <f t="shared" si="9"/>
        <v>0</v>
      </c>
      <c r="EN19" s="11">
        <f t="shared" si="10"/>
        <v>0</v>
      </c>
      <c r="EO19" s="11">
        <f t="shared" si="11"/>
        <v>0</v>
      </c>
      <c r="EP19" s="11">
        <f t="shared" si="12"/>
        <v>0</v>
      </c>
      <c r="EQ19" s="11">
        <f t="shared" si="13"/>
        <v>0</v>
      </c>
      <c r="ER19" s="11">
        <f t="shared" si="14"/>
        <v>0</v>
      </c>
      <c r="ES19" s="11">
        <f t="shared" si="15"/>
        <v>0</v>
      </c>
      <c r="ET19" s="11">
        <f t="shared" si="16"/>
        <v>0</v>
      </c>
      <c r="EU19" s="11">
        <f t="shared" si="17"/>
        <v>0</v>
      </c>
      <c r="EV19" s="11">
        <f t="shared" si="18"/>
        <v>0</v>
      </c>
      <c r="EW19" s="11">
        <f t="shared" si="19"/>
        <v>0</v>
      </c>
      <c r="EX19" s="11">
        <f t="shared" si="20"/>
        <v>0</v>
      </c>
      <c r="EY19" s="11">
        <f t="shared" si="21"/>
        <v>0</v>
      </c>
      <c r="EZ19" s="11">
        <f t="shared" si="22"/>
        <v>0</v>
      </c>
      <c r="FA19" s="11">
        <f t="shared" si="23"/>
        <v>0</v>
      </c>
      <c r="FB19" s="11">
        <f t="shared" si="24"/>
        <v>0</v>
      </c>
      <c r="FC19" s="11">
        <f t="shared" si="25"/>
        <v>0</v>
      </c>
      <c r="FD19" s="11">
        <f t="shared" si="26"/>
        <v>0</v>
      </c>
      <c r="FE19" s="11">
        <f t="shared" si="27"/>
        <v>0</v>
      </c>
      <c r="FF19" s="11">
        <f t="shared" si="28"/>
        <v>0</v>
      </c>
      <c r="FG19" s="11">
        <f t="shared" si="29"/>
        <v>0</v>
      </c>
      <c r="FH19" s="11">
        <f t="shared" si="30"/>
        <v>0</v>
      </c>
      <c r="FI19" s="11">
        <f t="shared" si="31"/>
        <v>0</v>
      </c>
      <c r="FJ19" s="11">
        <f t="shared" si="32"/>
        <v>0</v>
      </c>
      <c r="FK19" s="11">
        <f t="shared" si="33"/>
        <v>0</v>
      </c>
      <c r="FL19" s="11">
        <f t="shared" si="34"/>
        <v>0</v>
      </c>
      <c r="FM19" s="11">
        <f t="shared" si="65"/>
        <v>0</v>
      </c>
      <c r="FX19" s="491">
        <f>BZ20</f>
        <v>2025</v>
      </c>
      <c r="GH19" s="482">
        <f>DATE(YEAR(GH20),MONTH(GH20)-1,1)</f>
        <v>45627</v>
      </c>
      <c r="GI19" s="482">
        <f>DATE(YEAR(GI20),MONTH(GI20),1)-1</f>
        <v>45657</v>
      </c>
      <c r="GJ19" s="14" t="str">
        <f>IF(AND(GI19&gt;=EXPEDIENTE!$F$25,GH19&lt;=EXPEDIENTE!$F$29),"SI","NO")</f>
        <v>NO</v>
      </c>
      <c r="GK19" s="11">
        <f t="shared" si="66"/>
        <v>0</v>
      </c>
      <c r="GL19" s="11">
        <f t="shared" si="67"/>
        <v>0</v>
      </c>
      <c r="GM19" s="11">
        <f t="shared" si="68"/>
        <v>0</v>
      </c>
      <c r="GN19" s="11">
        <f t="shared" si="69"/>
        <v>0</v>
      </c>
      <c r="GO19" s="11">
        <f t="shared" si="70"/>
        <v>0</v>
      </c>
      <c r="GP19" s="11">
        <f t="shared" si="71"/>
        <v>0</v>
      </c>
      <c r="GQ19" s="11">
        <f t="shared" si="72"/>
        <v>0</v>
      </c>
      <c r="GR19" s="11">
        <f t="shared" si="73"/>
        <v>0</v>
      </c>
      <c r="GS19" s="11">
        <f t="shared" si="74"/>
        <v>0</v>
      </c>
      <c r="GT19" s="11">
        <f t="shared" si="75"/>
        <v>0</v>
      </c>
      <c r="GU19" s="11">
        <f t="shared" si="76"/>
        <v>0</v>
      </c>
      <c r="GV19" s="11">
        <f t="shared" si="77"/>
        <v>0</v>
      </c>
      <c r="GW19" s="11">
        <f t="shared" si="78"/>
        <v>0</v>
      </c>
      <c r="GX19" s="11">
        <f t="shared" si="79"/>
        <v>0</v>
      </c>
      <c r="GY19" s="11">
        <f t="shared" si="80"/>
        <v>0</v>
      </c>
      <c r="GZ19" s="11">
        <f t="shared" si="81"/>
        <v>0</v>
      </c>
      <c r="HA19" s="11">
        <f t="shared" si="82"/>
        <v>0</v>
      </c>
      <c r="HB19" s="11">
        <f t="shared" si="83"/>
        <v>0</v>
      </c>
      <c r="HC19" s="11">
        <f t="shared" si="84"/>
        <v>0</v>
      </c>
      <c r="HD19" s="11">
        <f t="shared" si="85"/>
        <v>0</v>
      </c>
      <c r="HE19" s="11">
        <f t="shared" si="86"/>
        <v>0</v>
      </c>
      <c r="HF19" s="11">
        <f t="shared" si="87"/>
        <v>0</v>
      </c>
      <c r="HG19" s="11">
        <f t="shared" si="88"/>
        <v>0</v>
      </c>
      <c r="HH19" s="11">
        <f t="shared" si="89"/>
        <v>0</v>
      </c>
      <c r="HI19" s="11">
        <f t="shared" si="90"/>
        <v>0</v>
      </c>
      <c r="HJ19" s="11">
        <f t="shared" si="91"/>
        <v>0</v>
      </c>
      <c r="HK19" s="11">
        <f t="shared" si="92"/>
        <v>0</v>
      </c>
      <c r="HL19" s="11">
        <f t="shared" si="93"/>
        <v>0</v>
      </c>
      <c r="HM19" s="11">
        <f t="shared" si="94"/>
        <v>0</v>
      </c>
      <c r="HN19" s="11">
        <f t="shared" si="95"/>
        <v>0</v>
      </c>
      <c r="HO19" s="11">
        <f t="shared" si="96"/>
        <v>0</v>
      </c>
      <c r="HP19" s="11">
        <f t="shared" si="97"/>
        <v>0</v>
      </c>
      <c r="HQ19" s="11">
        <f t="shared" si="98"/>
        <v>0</v>
      </c>
      <c r="JF19" s="485">
        <v>15</v>
      </c>
      <c r="JG19" s="474">
        <f>JG14+2</f>
        <v>4</v>
      </c>
    </row>
    <row r="20" spans="3:267" ht="13.5" customHeight="1" thickBot="1" x14ac:dyDescent="0.35">
      <c r="C20" s="8">
        <v>14</v>
      </c>
      <c r="D20" s="12"/>
      <c r="E20" s="17"/>
      <c r="F20" s="18"/>
      <c r="G20" s="19"/>
      <c r="H20" s="19"/>
      <c r="I20" s="19"/>
      <c r="J20" s="12"/>
      <c r="K20" s="14">
        <f t="shared" si="43"/>
        <v>76</v>
      </c>
      <c r="L20" s="14">
        <f t="shared" si="44"/>
        <v>76</v>
      </c>
      <c r="M20" s="14" t="str">
        <f t="shared" si="45"/>
        <v>X</v>
      </c>
      <c r="R20" s="6" t="s">
        <v>431</v>
      </c>
      <c r="V20" s="1134"/>
      <c r="W20" s="24"/>
      <c r="Y20" s="547">
        <f t="shared" si="46"/>
        <v>14</v>
      </c>
      <c r="Z20" s="478" t="str">
        <f>IF(Y20="","",IF(EDATE($Z$6,Y20)&gt;EXPEDIENTE!$F$27,"",EDATE($Z$6,Y20)))</f>
        <v/>
      </c>
      <c r="AA20" s="478" t="str">
        <f t="shared" si="0"/>
        <v/>
      </c>
      <c r="AB20" s="478" t="str">
        <f>IF(AA20="","",IF(YEAR(EXPEDIENTE!$F$25)=YEAR(AA20),AA20,""))</f>
        <v/>
      </c>
      <c r="AC20" s="478" t="str">
        <f>IF(AA20="","",IF(YEAR(EXPEDIENTE!$F$25)+1=YEAR(AA20),AA20,""))</f>
        <v/>
      </c>
      <c r="AD20" s="478" t="str">
        <f>IF(AA20="","",IF(YEAR(EXPEDIENTE!$F$25)+2=YEAR(AA20),AA20,""))</f>
        <v/>
      </c>
      <c r="AE20" s="478" t="str">
        <f>IF(AA20="","",IF(YEAR(EXPEDIENTE!$F$25)+3=YEAR(AA20),AA20,""))</f>
        <v/>
      </c>
      <c r="AG20" s="1114">
        <f>YEAR(EXPEDIENTE!$F$25)</f>
        <v>2025</v>
      </c>
      <c r="AH20" s="1202" t="s">
        <v>432</v>
      </c>
      <c r="AI20" s="1205" t="s">
        <v>433</v>
      </c>
      <c r="AJ20" s="1205" t="s">
        <v>198</v>
      </c>
      <c r="AK20" s="1208" t="s">
        <v>434</v>
      </c>
      <c r="AM20" s="1184" t="s">
        <v>435</v>
      </c>
      <c r="AN20" s="1187" t="s">
        <v>200</v>
      </c>
      <c r="AO20" s="1190" t="s">
        <v>206</v>
      </c>
      <c r="AP20" s="1196" t="s">
        <v>436</v>
      </c>
      <c r="AQ20" s="1193" t="s">
        <v>437</v>
      </c>
      <c r="AR20" s="1194"/>
      <c r="AS20" s="1195"/>
      <c r="AT20" s="1056" t="s">
        <v>438</v>
      </c>
      <c r="AU20" s="1057"/>
      <c r="AV20" s="1192"/>
      <c r="AW20" s="1058"/>
      <c r="AX20" s="1129" t="s">
        <v>439</v>
      </c>
      <c r="AY20" s="1141" t="s">
        <v>440</v>
      </c>
      <c r="AZ20" s="1141" t="s">
        <v>441</v>
      </c>
      <c r="BC20" s="489"/>
      <c r="BZ20" s="1213">
        <f>YEAR(EXPEDIENTE!$I$25)</f>
        <v>2025</v>
      </c>
      <c r="CA20" s="1222" t="s">
        <v>432</v>
      </c>
      <c r="CB20" s="1225" t="s">
        <v>433</v>
      </c>
      <c r="CC20" s="1225" t="s">
        <v>198</v>
      </c>
      <c r="CD20" s="1228" t="s">
        <v>434</v>
      </c>
      <c r="CF20" s="1161" t="s">
        <v>435</v>
      </c>
      <c r="CG20" s="1164" t="s">
        <v>200</v>
      </c>
      <c r="CH20" s="1167" t="s">
        <v>206</v>
      </c>
      <c r="CI20" s="1170" t="s">
        <v>436</v>
      </c>
      <c r="CJ20" s="1175" t="s">
        <v>437</v>
      </c>
      <c r="CK20" s="1176"/>
      <c r="CL20" s="1177"/>
      <c r="CM20" s="1062" t="s">
        <v>438</v>
      </c>
      <c r="CN20" s="1063"/>
      <c r="CO20" s="1178"/>
      <c r="CP20" s="1064"/>
      <c r="CQ20" s="1211" t="s">
        <v>439</v>
      </c>
      <c r="CR20" s="1090" t="s">
        <v>440</v>
      </c>
      <c r="CS20" s="1090" t="s">
        <v>441</v>
      </c>
      <c r="CV20" s="489"/>
      <c r="DT20" s="1097" t="s">
        <v>283</v>
      </c>
      <c r="DU20" s="1083" t="s">
        <v>438</v>
      </c>
      <c r="DV20" s="1083"/>
      <c r="DW20" s="1083"/>
      <c r="DX20" s="1100" t="s">
        <v>333</v>
      </c>
      <c r="DY20" s="1100" t="s">
        <v>442</v>
      </c>
      <c r="DZ20" s="1084" t="s">
        <v>443</v>
      </c>
      <c r="EA20" s="1087" t="s">
        <v>441</v>
      </c>
      <c r="EC20" s="14">
        <v>1</v>
      </c>
      <c r="ED20" s="492">
        <f>DATE(YEAR(EXPEDIENTE!$F$25),MONTH(EXPEDIENTE!$F$25),1)</f>
        <v>45658</v>
      </c>
      <c r="EE20" s="492">
        <f>EOMONTH(EXPEDIENTE!$F$25,0)</f>
        <v>45688</v>
      </c>
      <c r="EF20" s="14" t="str">
        <f>IF(AND(EE20&gt;=EXPEDIENTE!$F$25,ED20&lt;=EXPEDIENTE!$F$29),"SI","NO")</f>
        <v>SI</v>
      </c>
      <c r="EG20" s="11">
        <f t="shared" si="3"/>
        <v>0</v>
      </c>
      <c r="EH20" s="11">
        <f t="shared" si="4"/>
        <v>0</v>
      </c>
      <c r="EI20" s="11">
        <f t="shared" si="5"/>
        <v>0</v>
      </c>
      <c r="EJ20" s="11">
        <f t="shared" si="6"/>
        <v>0</v>
      </c>
      <c r="EK20" s="11">
        <f t="shared" si="7"/>
        <v>0</v>
      </c>
      <c r="EL20" s="11">
        <f t="shared" si="8"/>
        <v>0</v>
      </c>
      <c r="EM20" s="11">
        <f t="shared" si="9"/>
        <v>0</v>
      </c>
      <c r="EN20" s="11">
        <f t="shared" si="10"/>
        <v>0</v>
      </c>
      <c r="EO20" s="11">
        <f t="shared" si="11"/>
        <v>0</v>
      </c>
      <c r="EP20" s="11">
        <f t="shared" si="12"/>
        <v>0</v>
      </c>
      <c r="EQ20" s="11">
        <f t="shared" si="13"/>
        <v>0</v>
      </c>
      <c r="ER20" s="11">
        <f t="shared" si="14"/>
        <v>0</v>
      </c>
      <c r="ES20" s="11">
        <f t="shared" si="15"/>
        <v>0</v>
      </c>
      <c r="ET20" s="11">
        <f t="shared" si="16"/>
        <v>0</v>
      </c>
      <c r="EU20" s="11">
        <f t="shared" si="17"/>
        <v>0</v>
      </c>
      <c r="EV20" s="11">
        <f t="shared" si="18"/>
        <v>0</v>
      </c>
      <c r="EW20" s="11">
        <f t="shared" si="19"/>
        <v>0</v>
      </c>
      <c r="EX20" s="11">
        <f t="shared" si="20"/>
        <v>0</v>
      </c>
      <c r="EY20" s="11">
        <f t="shared" si="21"/>
        <v>0</v>
      </c>
      <c r="EZ20" s="11">
        <f t="shared" si="22"/>
        <v>0</v>
      </c>
      <c r="FA20" s="11">
        <f t="shared" si="23"/>
        <v>0</v>
      </c>
      <c r="FB20" s="11">
        <f t="shared" si="24"/>
        <v>0</v>
      </c>
      <c r="FC20" s="11">
        <f t="shared" si="25"/>
        <v>0</v>
      </c>
      <c r="FD20" s="11">
        <f t="shared" si="26"/>
        <v>0</v>
      </c>
      <c r="FE20" s="11">
        <f t="shared" si="27"/>
        <v>0</v>
      </c>
      <c r="FF20" s="11">
        <f t="shared" si="28"/>
        <v>0</v>
      </c>
      <c r="FG20" s="11">
        <f t="shared" si="29"/>
        <v>0</v>
      </c>
      <c r="FH20" s="11">
        <f t="shared" si="30"/>
        <v>0</v>
      </c>
      <c r="FI20" s="11">
        <f t="shared" si="31"/>
        <v>0</v>
      </c>
      <c r="FJ20" s="11">
        <f t="shared" si="32"/>
        <v>0</v>
      </c>
      <c r="FK20" s="11">
        <f t="shared" si="33"/>
        <v>0</v>
      </c>
      <c r="FL20" s="11">
        <f t="shared" si="34"/>
        <v>0</v>
      </c>
      <c r="FM20" s="11">
        <f t="shared" si="65"/>
        <v>0</v>
      </c>
      <c r="FX20" s="1097" t="s">
        <v>283</v>
      </c>
      <c r="FY20" s="1083" t="s">
        <v>438</v>
      </c>
      <c r="FZ20" s="1083"/>
      <c r="GA20" s="1083"/>
      <c r="GB20" s="1100" t="s">
        <v>333</v>
      </c>
      <c r="GC20" s="1100" t="s">
        <v>442</v>
      </c>
      <c r="GD20" s="1084" t="s">
        <v>443</v>
      </c>
      <c r="GE20" s="1087" t="s">
        <v>441</v>
      </c>
      <c r="GG20" s="14">
        <v>1</v>
      </c>
      <c r="GH20" s="492">
        <f>DATE(YEAR(EXPEDIENTE!$F$25),MONTH(EXPEDIENTE!$F$25),1)</f>
        <v>45658</v>
      </c>
      <c r="GI20" s="492">
        <f>EOMONTH(EXPEDIENTE!$F$25,0)</f>
        <v>45688</v>
      </c>
      <c r="GJ20" s="14" t="str">
        <f>IF(AND(GI20&gt;=EXPEDIENTE!$F$25,GH20&lt;=EXPEDIENTE!$F$29),"SI","NO")</f>
        <v>SI</v>
      </c>
      <c r="GK20" s="11">
        <f t="shared" si="66"/>
        <v>0</v>
      </c>
      <c r="GL20" s="11">
        <f t="shared" si="67"/>
        <v>0</v>
      </c>
      <c r="GM20" s="11">
        <f t="shared" si="68"/>
        <v>0</v>
      </c>
      <c r="GN20" s="11">
        <f t="shared" si="69"/>
        <v>0</v>
      </c>
      <c r="GO20" s="11">
        <f t="shared" si="70"/>
        <v>0</v>
      </c>
      <c r="GP20" s="11">
        <f t="shared" si="71"/>
        <v>0</v>
      </c>
      <c r="GQ20" s="11">
        <f t="shared" si="72"/>
        <v>0</v>
      </c>
      <c r="GR20" s="11">
        <f t="shared" si="73"/>
        <v>0</v>
      </c>
      <c r="GS20" s="11">
        <f t="shared" si="74"/>
        <v>0</v>
      </c>
      <c r="GT20" s="11">
        <f t="shared" si="75"/>
        <v>0</v>
      </c>
      <c r="GU20" s="11">
        <f t="shared" si="76"/>
        <v>0</v>
      </c>
      <c r="GV20" s="11">
        <f t="shared" si="77"/>
        <v>0</v>
      </c>
      <c r="GW20" s="11">
        <f t="shared" si="78"/>
        <v>0</v>
      </c>
      <c r="GX20" s="11">
        <f t="shared" si="79"/>
        <v>0</v>
      </c>
      <c r="GY20" s="11">
        <f t="shared" si="80"/>
        <v>0</v>
      </c>
      <c r="GZ20" s="11">
        <f t="shared" si="81"/>
        <v>0</v>
      </c>
      <c r="HA20" s="11">
        <f t="shared" si="82"/>
        <v>0</v>
      </c>
      <c r="HB20" s="11">
        <f t="shared" si="83"/>
        <v>0</v>
      </c>
      <c r="HC20" s="11">
        <f t="shared" si="84"/>
        <v>0</v>
      </c>
      <c r="HD20" s="11">
        <f t="shared" si="85"/>
        <v>0</v>
      </c>
      <c r="HE20" s="11">
        <f t="shared" si="86"/>
        <v>0</v>
      </c>
      <c r="HF20" s="11">
        <f t="shared" si="87"/>
        <v>0</v>
      </c>
      <c r="HG20" s="11">
        <f t="shared" si="88"/>
        <v>0</v>
      </c>
      <c r="HH20" s="11">
        <f t="shared" si="89"/>
        <v>0</v>
      </c>
      <c r="HI20" s="11">
        <f t="shared" si="90"/>
        <v>0</v>
      </c>
      <c r="HJ20" s="11">
        <f t="shared" si="91"/>
        <v>0</v>
      </c>
      <c r="HK20" s="11">
        <f t="shared" si="92"/>
        <v>0</v>
      </c>
      <c r="HL20" s="11">
        <f t="shared" si="93"/>
        <v>0</v>
      </c>
      <c r="HM20" s="11">
        <f t="shared" si="94"/>
        <v>0</v>
      </c>
      <c r="HN20" s="11">
        <f t="shared" si="95"/>
        <v>0</v>
      </c>
      <c r="HO20" s="11">
        <f t="shared" si="96"/>
        <v>0</v>
      </c>
      <c r="HP20" s="11">
        <f t="shared" si="97"/>
        <v>0</v>
      </c>
      <c r="HQ20" s="11">
        <f t="shared" si="98"/>
        <v>0</v>
      </c>
      <c r="JF20" s="477">
        <v>16</v>
      </c>
      <c r="JG20" s="474">
        <f t="shared" si="101"/>
        <v>6</v>
      </c>
    </row>
    <row r="21" spans="3:267" ht="15" customHeight="1" thickBot="1" x14ac:dyDescent="0.35">
      <c r="C21" s="8">
        <v>15</v>
      </c>
      <c r="D21" s="12"/>
      <c r="E21" s="17"/>
      <c r="F21" s="18"/>
      <c r="G21" s="19"/>
      <c r="H21" s="19"/>
      <c r="I21" s="19"/>
      <c r="J21" s="12"/>
      <c r="K21" s="14">
        <f t="shared" si="43"/>
        <v>76</v>
      </c>
      <c r="L21" s="14">
        <f t="shared" si="44"/>
        <v>76</v>
      </c>
      <c r="M21" s="14" t="str">
        <f t="shared" si="45"/>
        <v>X</v>
      </c>
      <c r="V21" s="1134"/>
      <c r="W21" s="24"/>
      <c r="Y21" s="547">
        <f t="shared" si="46"/>
        <v>15</v>
      </c>
      <c r="Z21" s="478" t="str">
        <f>IF(Y21="","",IF(EDATE($Z$6,Y21)&gt;EXPEDIENTE!$F$27,"",EDATE($Z$6,Y21)))</f>
        <v/>
      </c>
      <c r="AA21" s="478" t="str">
        <f t="shared" si="0"/>
        <v/>
      </c>
      <c r="AB21" s="478" t="str">
        <f>IF(AA21="","",IF(YEAR(EXPEDIENTE!$F$25)=YEAR(AA21),AA21,""))</f>
        <v/>
      </c>
      <c r="AC21" s="478" t="str">
        <f>IF(AA21="","",IF(YEAR(EXPEDIENTE!$F$25)+1=YEAR(AA21),AA21,""))</f>
        <v/>
      </c>
      <c r="AD21" s="478" t="str">
        <f>IF(AA21="","",IF(YEAR(EXPEDIENTE!$F$25)+2=YEAR(AA21),AA21,""))</f>
        <v/>
      </c>
      <c r="AE21" s="478" t="str">
        <f>IF(AA21="","",IF(YEAR(EXPEDIENTE!$F$25)+3=YEAR(AA21),AA21,""))</f>
        <v/>
      </c>
      <c r="AG21" s="1115"/>
      <c r="AH21" s="1203"/>
      <c r="AI21" s="1206"/>
      <c r="AJ21" s="1206"/>
      <c r="AK21" s="1209"/>
      <c r="AM21" s="1185"/>
      <c r="AN21" s="1188"/>
      <c r="AO21" s="1125"/>
      <c r="AP21" s="1197"/>
      <c r="AQ21" s="1185" t="s">
        <v>444</v>
      </c>
      <c r="AR21" s="1188" t="s">
        <v>445</v>
      </c>
      <c r="AS21" s="1127" t="s">
        <v>446</v>
      </c>
      <c r="AT21" s="1123" t="s">
        <v>285</v>
      </c>
      <c r="AU21" s="1125" t="s">
        <v>286</v>
      </c>
      <c r="AV21" s="1126" t="s">
        <v>447</v>
      </c>
      <c r="AW21" s="1127" t="s">
        <v>448</v>
      </c>
      <c r="AX21" s="1130"/>
      <c r="AY21" s="1142"/>
      <c r="AZ21" s="1142"/>
      <c r="BC21" s="1114">
        <f>AG20</f>
        <v>2025</v>
      </c>
      <c r="BD21" s="1103" t="str">
        <f>CONCATENATE("P.P. OTRAS NÓMINAS ABONADAS EN ",BC21)</f>
        <v>P.P. OTRAS NÓMINAS ABONADAS EN 2025</v>
      </c>
      <c r="BE21" s="1104"/>
      <c r="BF21" s="1104"/>
      <c r="BG21" s="1104"/>
      <c r="BH21" s="1104"/>
      <c r="BI21" s="1104"/>
      <c r="BJ21" s="1104"/>
      <c r="BK21" s="1104"/>
      <c r="BL21" s="1105"/>
      <c r="BN21" s="1103" t="e">
        <f>CONCATENATE("P.P. OTRAS NÓMINAS ABONADAS EN ",BC37)</f>
        <v>#VALUE!</v>
      </c>
      <c r="BO21" s="1104"/>
      <c r="BP21" s="1104"/>
      <c r="BQ21" s="1104"/>
      <c r="BR21" s="1104"/>
      <c r="BS21" s="1104"/>
      <c r="BT21" s="1104"/>
      <c r="BU21" s="1104"/>
      <c r="BV21" s="1105"/>
      <c r="BX21" s="1114" t="s">
        <v>382</v>
      </c>
      <c r="BZ21" s="1214"/>
      <c r="CA21" s="1223"/>
      <c r="CB21" s="1226"/>
      <c r="CC21" s="1226"/>
      <c r="CD21" s="1229"/>
      <c r="CF21" s="1162"/>
      <c r="CG21" s="1165"/>
      <c r="CH21" s="1168"/>
      <c r="CI21" s="1171"/>
      <c r="CJ21" s="1162" t="s">
        <v>444</v>
      </c>
      <c r="CK21" s="1165" t="s">
        <v>445</v>
      </c>
      <c r="CL21" s="1181" t="s">
        <v>446</v>
      </c>
      <c r="CM21" s="1179" t="s">
        <v>285</v>
      </c>
      <c r="CN21" s="1168" t="s">
        <v>286</v>
      </c>
      <c r="CO21" s="1093" t="s">
        <v>447</v>
      </c>
      <c r="CP21" s="1181" t="s">
        <v>448</v>
      </c>
      <c r="CQ21" s="1212"/>
      <c r="CR21" s="1091"/>
      <c r="CS21" s="1091"/>
      <c r="CV21" s="1213">
        <f>BZ20</f>
        <v>2025</v>
      </c>
      <c r="CW21" s="1147" t="str">
        <f>CONCATENATE("P.P. OTRAS NÓMINAS ABONADAS EN ",CV21)</f>
        <v>P.P. OTRAS NÓMINAS ABONADAS EN 2025</v>
      </c>
      <c r="CX21" s="1148"/>
      <c r="CY21" s="1148"/>
      <c r="CZ21" s="1148"/>
      <c r="DA21" s="1148"/>
      <c r="DB21" s="1148"/>
      <c r="DC21" s="1148"/>
      <c r="DD21" s="1148"/>
      <c r="DE21" s="1149"/>
      <c r="DG21" s="1147" t="e">
        <f>CONCATENATE("P.P. OTRAS NÓMINAS ABONADAS EN ",CV37)</f>
        <v>#VALUE!</v>
      </c>
      <c r="DH21" s="1148"/>
      <c r="DI21" s="1148"/>
      <c r="DJ21" s="1148"/>
      <c r="DK21" s="1148"/>
      <c r="DL21" s="1148"/>
      <c r="DM21" s="1148"/>
      <c r="DN21" s="1148"/>
      <c r="DO21" s="1149"/>
      <c r="DQ21" s="1213" t="s">
        <v>382</v>
      </c>
      <c r="DT21" s="1098"/>
      <c r="DU21" s="1081" t="s">
        <v>285</v>
      </c>
      <c r="DV21" s="1081" t="s">
        <v>286</v>
      </c>
      <c r="DW21" s="1081" t="s">
        <v>448</v>
      </c>
      <c r="DX21" s="1101"/>
      <c r="DY21" s="1101"/>
      <c r="DZ21" s="1085"/>
      <c r="EA21" s="1088"/>
      <c r="EC21" s="14">
        <v>2</v>
      </c>
      <c r="ED21" s="482">
        <f>DATE(YEAR(ED20),MONTH(ED20)+1,1)</f>
        <v>45689</v>
      </c>
      <c r="EE21" s="482">
        <f>EOMONTH(DATE(YEAR(EE20),MONTH(EE20),DAY(EE20)+1),0)</f>
        <v>45716</v>
      </c>
      <c r="EF21" s="14" t="str">
        <f>IF(AND(EE21&gt;=EXPEDIENTE!$F$25,ED21&lt;=EXPEDIENTE!$F$29),"SI","NO")</f>
        <v>SI</v>
      </c>
      <c r="EG21" s="11">
        <f t="shared" si="3"/>
        <v>0</v>
      </c>
      <c r="EH21" s="11">
        <f t="shared" si="4"/>
        <v>0</v>
      </c>
      <c r="EI21" s="11">
        <f t="shared" si="5"/>
        <v>0</v>
      </c>
      <c r="EJ21" s="11">
        <f t="shared" si="6"/>
        <v>0</v>
      </c>
      <c r="EK21" s="11">
        <f t="shared" si="7"/>
        <v>0</v>
      </c>
      <c r="EL21" s="11">
        <f t="shared" si="8"/>
        <v>0</v>
      </c>
      <c r="EM21" s="11">
        <f t="shared" si="9"/>
        <v>0</v>
      </c>
      <c r="EN21" s="11">
        <f t="shared" si="10"/>
        <v>0</v>
      </c>
      <c r="EO21" s="11">
        <f t="shared" si="11"/>
        <v>0</v>
      </c>
      <c r="EP21" s="11">
        <f t="shared" si="12"/>
        <v>0</v>
      </c>
      <c r="EQ21" s="11">
        <f t="shared" si="13"/>
        <v>0</v>
      </c>
      <c r="ER21" s="11">
        <f t="shared" si="14"/>
        <v>0</v>
      </c>
      <c r="ES21" s="11">
        <f t="shared" si="15"/>
        <v>0</v>
      </c>
      <c r="ET21" s="11">
        <f t="shared" si="16"/>
        <v>0</v>
      </c>
      <c r="EU21" s="11">
        <f t="shared" si="17"/>
        <v>0</v>
      </c>
      <c r="EV21" s="11">
        <f t="shared" si="18"/>
        <v>0</v>
      </c>
      <c r="EW21" s="11">
        <f t="shared" si="19"/>
        <v>0</v>
      </c>
      <c r="EX21" s="11">
        <f t="shared" si="20"/>
        <v>0</v>
      </c>
      <c r="EY21" s="11">
        <f t="shared" si="21"/>
        <v>0</v>
      </c>
      <c r="EZ21" s="11">
        <f t="shared" si="22"/>
        <v>0</v>
      </c>
      <c r="FA21" s="11">
        <f t="shared" si="23"/>
        <v>0</v>
      </c>
      <c r="FB21" s="11">
        <f t="shared" si="24"/>
        <v>0</v>
      </c>
      <c r="FC21" s="11">
        <f t="shared" si="25"/>
        <v>0</v>
      </c>
      <c r="FD21" s="11">
        <f t="shared" si="26"/>
        <v>0</v>
      </c>
      <c r="FE21" s="11">
        <f t="shared" si="27"/>
        <v>0</v>
      </c>
      <c r="FF21" s="11">
        <f t="shared" si="28"/>
        <v>0</v>
      </c>
      <c r="FG21" s="11">
        <f t="shared" si="29"/>
        <v>0</v>
      </c>
      <c r="FH21" s="11">
        <f t="shared" si="30"/>
        <v>0</v>
      </c>
      <c r="FI21" s="11">
        <f t="shared" si="31"/>
        <v>0</v>
      </c>
      <c r="FJ21" s="11">
        <f t="shared" si="32"/>
        <v>0</v>
      </c>
      <c r="FK21" s="11">
        <f t="shared" si="33"/>
        <v>0</v>
      </c>
      <c r="FL21" s="11">
        <f t="shared" si="34"/>
        <v>0</v>
      </c>
      <c r="FM21" s="11">
        <f t="shared" si="65"/>
        <v>0</v>
      </c>
      <c r="FX21" s="1098"/>
      <c r="FY21" s="1081" t="s">
        <v>285</v>
      </c>
      <c r="FZ21" s="1081" t="s">
        <v>286</v>
      </c>
      <c r="GA21" s="1081" t="s">
        <v>448</v>
      </c>
      <c r="GB21" s="1101"/>
      <c r="GC21" s="1101"/>
      <c r="GD21" s="1085"/>
      <c r="GE21" s="1088"/>
      <c r="GG21" s="14">
        <v>2</v>
      </c>
      <c r="GH21" s="482">
        <f>DATE(YEAR(GH20),MONTH(GH20)+1,1)</f>
        <v>45689</v>
      </c>
      <c r="GI21" s="482">
        <f>EOMONTH(DATE(YEAR(GI20),MONTH(GI20),DAY(GI20)+1),0)</f>
        <v>45716</v>
      </c>
      <c r="GJ21" s="14" t="str">
        <f>IF(AND(GI21&gt;=EXPEDIENTE!$F$25,GH21&lt;=EXPEDIENTE!$F$29),"SI","NO")</f>
        <v>SI</v>
      </c>
      <c r="GK21" s="11">
        <f t="shared" si="66"/>
        <v>0</v>
      </c>
      <c r="GL21" s="11">
        <f t="shared" si="67"/>
        <v>0</v>
      </c>
      <c r="GM21" s="11">
        <f t="shared" si="68"/>
        <v>0</v>
      </c>
      <c r="GN21" s="11">
        <f t="shared" si="69"/>
        <v>0</v>
      </c>
      <c r="GO21" s="11">
        <f t="shared" si="70"/>
        <v>0</v>
      </c>
      <c r="GP21" s="11">
        <f t="shared" si="71"/>
        <v>0</v>
      </c>
      <c r="GQ21" s="11">
        <f t="shared" si="72"/>
        <v>0</v>
      </c>
      <c r="GR21" s="11">
        <f t="shared" si="73"/>
        <v>0</v>
      </c>
      <c r="GS21" s="11">
        <f t="shared" si="74"/>
        <v>0</v>
      </c>
      <c r="GT21" s="11">
        <f t="shared" si="75"/>
        <v>0</v>
      </c>
      <c r="GU21" s="11">
        <f t="shared" si="76"/>
        <v>0</v>
      </c>
      <c r="GV21" s="11">
        <f t="shared" si="77"/>
        <v>0</v>
      </c>
      <c r="GW21" s="11">
        <f t="shared" si="78"/>
        <v>0</v>
      </c>
      <c r="GX21" s="11">
        <f t="shared" si="79"/>
        <v>0</v>
      </c>
      <c r="GY21" s="11">
        <f t="shared" si="80"/>
        <v>0</v>
      </c>
      <c r="GZ21" s="11">
        <f t="shared" si="81"/>
        <v>0</v>
      </c>
      <c r="HA21" s="11">
        <f t="shared" si="82"/>
        <v>0</v>
      </c>
      <c r="HB21" s="11">
        <f t="shared" si="83"/>
        <v>0</v>
      </c>
      <c r="HC21" s="11">
        <f t="shared" si="84"/>
        <v>0</v>
      </c>
      <c r="HD21" s="11">
        <f t="shared" si="85"/>
        <v>0</v>
      </c>
      <c r="HE21" s="11">
        <f t="shared" si="86"/>
        <v>0</v>
      </c>
      <c r="HF21" s="11">
        <f t="shared" si="87"/>
        <v>0</v>
      </c>
      <c r="HG21" s="11">
        <f t="shared" si="88"/>
        <v>0</v>
      </c>
      <c r="HH21" s="11">
        <f t="shared" si="89"/>
        <v>0</v>
      </c>
      <c r="HI21" s="11">
        <f t="shared" si="90"/>
        <v>0</v>
      </c>
      <c r="HJ21" s="11">
        <f t="shared" si="91"/>
        <v>0</v>
      </c>
      <c r="HK21" s="11">
        <f t="shared" si="92"/>
        <v>0</v>
      </c>
      <c r="HL21" s="11">
        <f t="shared" si="93"/>
        <v>0</v>
      </c>
      <c r="HM21" s="11">
        <f t="shared" si="94"/>
        <v>0</v>
      </c>
      <c r="HN21" s="11">
        <f t="shared" si="95"/>
        <v>0</v>
      </c>
      <c r="HO21" s="11">
        <f t="shared" si="96"/>
        <v>0</v>
      </c>
      <c r="HP21" s="11">
        <f t="shared" si="97"/>
        <v>0</v>
      </c>
      <c r="HQ21" s="11">
        <f t="shared" si="98"/>
        <v>0</v>
      </c>
      <c r="JF21" s="480">
        <v>17</v>
      </c>
      <c r="JG21" s="474">
        <f t="shared" si="101"/>
        <v>6</v>
      </c>
    </row>
    <row r="22" spans="3:267" ht="15.75" thickBot="1" x14ac:dyDescent="0.35">
      <c r="C22" s="8">
        <v>16</v>
      </c>
      <c r="D22" s="12"/>
      <c r="E22" s="17"/>
      <c r="F22" s="18"/>
      <c r="G22" s="19"/>
      <c r="H22" s="19"/>
      <c r="I22" s="19"/>
      <c r="J22" s="12"/>
      <c r="K22" s="14">
        <f t="shared" si="43"/>
        <v>76</v>
      </c>
      <c r="L22" s="14">
        <f t="shared" si="44"/>
        <v>76</v>
      </c>
      <c r="M22" s="14" t="str">
        <f t="shared" si="45"/>
        <v>X</v>
      </c>
      <c r="R22" s="6" t="s">
        <v>449</v>
      </c>
      <c r="V22" s="1134"/>
      <c r="W22" s="24"/>
      <c r="Y22" s="547">
        <f t="shared" si="46"/>
        <v>16</v>
      </c>
      <c r="Z22" s="478" t="str">
        <f>IF(Y22="","",IF(EDATE($Z$6,Y22)&gt;EXPEDIENTE!$F$27,"",EDATE($Z$6,Y22)))</f>
        <v/>
      </c>
      <c r="AA22" s="478" t="str">
        <f t="shared" si="0"/>
        <v/>
      </c>
      <c r="AB22" s="478" t="str">
        <f>IF(AA22="","",IF(YEAR(EXPEDIENTE!$F$25)=YEAR(AA22),AA22,""))</f>
        <v/>
      </c>
      <c r="AC22" s="478" t="str">
        <f>IF(AA22="","",IF(YEAR(EXPEDIENTE!$F$25)+1=YEAR(AA22),AA22,""))</f>
        <v/>
      </c>
      <c r="AD22" s="478" t="str">
        <f>IF(AA22="","",IF(YEAR(EXPEDIENTE!$F$25)+2=YEAR(AA22),AA22,""))</f>
        <v/>
      </c>
      <c r="AE22" s="478" t="str">
        <f>IF(AA22="","",IF(YEAR(EXPEDIENTE!$F$25)+3=YEAR(AA22),AA22,""))</f>
        <v/>
      </c>
      <c r="AG22" s="1115"/>
      <c r="AH22" s="1203"/>
      <c r="AI22" s="1206"/>
      <c r="AJ22" s="1206"/>
      <c r="AK22" s="1209"/>
      <c r="AM22" s="1185"/>
      <c r="AN22" s="1188"/>
      <c r="AO22" s="1125"/>
      <c r="AP22" s="1197"/>
      <c r="AQ22" s="1185"/>
      <c r="AR22" s="1188"/>
      <c r="AS22" s="1127"/>
      <c r="AT22" s="1123"/>
      <c r="AU22" s="1125"/>
      <c r="AV22" s="1200"/>
      <c r="AW22" s="1127"/>
      <c r="AX22" s="1130"/>
      <c r="AY22" s="1142"/>
      <c r="AZ22" s="1142"/>
      <c r="BC22" s="1115"/>
      <c r="BD22" s="1106">
        <f>'GASTOS EJER. 1'!$C$38</f>
        <v>0</v>
      </c>
      <c r="BE22" s="1108">
        <f>'GASTOS EJER. 1'!$C$39</f>
        <v>0</v>
      </c>
      <c r="BF22" s="1108">
        <f>'GASTOS EJER. 1'!$C$40</f>
        <v>0</v>
      </c>
      <c r="BG22" s="1108">
        <f>'GASTOS EJER. 1'!$C$41</f>
        <v>0</v>
      </c>
      <c r="BH22" s="1108">
        <f>'GASTOS EJER. 1'!$C$42</f>
        <v>0</v>
      </c>
      <c r="BI22" s="1108">
        <f>'GASTOS EJER. 1'!$C$43</f>
        <v>0</v>
      </c>
      <c r="BJ22" s="1108">
        <f>'GASTOS EJER. 1'!$C$44</f>
        <v>0</v>
      </c>
      <c r="BK22" s="1136">
        <f>'GASTOS EJER. 1'!$C$45</f>
        <v>0</v>
      </c>
      <c r="BL22" s="1131" t="s">
        <v>382</v>
      </c>
      <c r="BN22" s="1106">
        <f>'GASTOS EJER. 2'!$C$38</f>
        <v>0</v>
      </c>
      <c r="BO22" s="1108">
        <f>'GASTOS EJER. 2'!$C$39</f>
        <v>0</v>
      </c>
      <c r="BP22" s="1108">
        <f>'GASTOS EJER. 2'!$C$40</f>
        <v>0</v>
      </c>
      <c r="BQ22" s="1108">
        <f>'GASTOS EJER. 2'!$C$41</f>
        <v>0</v>
      </c>
      <c r="BR22" s="1108">
        <f>'GASTOS EJER. 2'!$C$42</f>
        <v>0</v>
      </c>
      <c r="BS22" s="1108">
        <f>'GASTOS EJER. 2'!$C$43</f>
        <v>0</v>
      </c>
      <c r="BT22" s="1108">
        <f>'GASTOS EJER. 2'!$C$44</f>
        <v>0</v>
      </c>
      <c r="BU22" s="1136">
        <f>'GASTOS EJER. 2'!$C$45</f>
        <v>0</v>
      </c>
      <c r="BV22" s="1131" t="s">
        <v>382</v>
      </c>
      <c r="BX22" s="1115"/>
      <c r="BZ22" s="1214"/>
      <c r="CA22" s="1223"/>
      <c r="CB22" s="1226"/>
      <c r="CC22" s="1226"/>
      <c r="CD22" s="1229"/>
      <c r="CF22" s="1162"/>
      <c r="CG22" s="1165"/>
      <c r="CH22" s="1168"/>
      <c r="CI22" s="1171"/>
      <c r="CJ22" s="1162"/>
      <c r="CK22" s="1165"/>
      <c r="CL22" s="1181"/>
      <c r="CM22" s="1179"/>
      <c r="CN22" s="1168"/>
      <c r="CO22" s="1094"/>
      <c r="CP22" s="1181"/>
      <c r="CQ22" s="1212"/>
      <c r="CR22" s="1091"/>
      <c r="CS22" s="1091"/>
      <c r="CV22" s="1214"/>
      <c r="CW22" s="1155">
        <f>'GASTOS EJER. 1'!$C$38</f>
        <v>0</v>
      </c>
      <c r="CX22" s="1157">
        <f>'GASTOS EJER. 1'!$C$39</f>
        <v>0</v>
      </c>
      <c r="CY22" s="1157">
        <f>'GASTOS EJER. 1'!$C$40</f>
        <v>0</v>
      </c>
      <c r="CZ22" s="1157">
        <f>'GASTOS EJER. 1'!$C$41</f>
        <v>0</v>
      </c>
      <c r="DA22" s="1157">
        <f>'GASTOS EJER. 1'!$C$42</f>
        <v>0</v>
      </c>
      <c r="DB22" s="1157">
        <f>'GASTOS EJER. 1'!$C$43</f>
        <v>0</v>
      </c>
      <c r="DC22" s="1157">
        <f>'GASTOS EJER. 1'!$C$44</f>
        <v>0</v>
      </c>
      <c r="DD22" s="1173">
        <f>'GASTOS EJER. 1'!$C$45</f>
        <v>0</v>
      </c>
      <c r="DE22" s="1159" t="s">
        <v>382</v>
      </c>
      <c r="DG22" s="1155">
        <f>'GASTOS EJER. 2'!$C$38</f>
        <v>0</v>
      </c>
      <c r="DH22" s="1157">
        <f>'GASTOS EJER. 2'!$C$39</f>
        <v>0</v>
      </c>
      <c r="DI22" s="1157">
        <f>'GASTOS EJER. 2'!$C$40</f>
        <v>0</v>
      </c>
      <c r="DJ22" s="1157">
        <f>'GASTOS EJER. 2'!$C$41</f>
        <v>0</v>
      </c>
      <c r="DK22" s="1157">
        <f>'GASTOS EJER. 2'!$C$42</f>
        <v>0</v>
      </c>
      <c r="DL22" s="1157">
        <f>'GASTOS EJER. 2'!$C$43</f>
        <v>0</v>
      </c>
      <c r="DM22" s="1157">
        <f>'GASTOS EJER. 2'!$C$44</f>
        <v>0</v>
      </c>
      <c r="DN22" s="1173">
        <f>'GASTOS EJER. 2'!$C$45</f>
        <v>0</v>
      </c>
      <c r="DO22" s="1159" t="s">
        <v>382</v>
      </c>
      <c r="DQ22" s="1214"/>
      <c r="DT22" s="1099"/>
      <c r="DU22" s="1082"/>
      <c r="DV22" s="1082"/>
      <c r="DW22" s="1082"/>
      <c r="DX22" s="1102"/>
      <c r="DY22" s="1102"/>
      <c r="DZ22" s="1086"/>
      <c r="EA22" s="1089"/>
      <c r="EC22" s="14">
        <v>3</v>
      </c>
      <c r="ED22" s="482">
        <f t="shared" ref="ED22:ED69" si="102">DATE(YEAR(ED21),MONTH(ED21)+1,1)</f>
        <v>45717</v>
      </c>
      <c r="EE22" s="482">
        <f t="shared" ref="EE22:EE69" si="103">EOMONTH(DATE(YEAR(EE21),MONTH(EE21),DAY(EE21)+1),0)</f>
        <v>45747</v>
      </c>
      <c r="EF22" s="14" t="str">
        <f>IF(AND(EE22&gt;=EXPEDIENTE!$F$25,ED22&lt;=EXPEDIENTE!$F$29),"SI","NO")</f>
        <v>SI</v>
      </c>
      <c r="EG22" s="11">
        <f t="shared" si="3"/>
        <v>0</v>
      </c>
      <c r="EH22" s="11">
        <f t="shared" si="4"/>
        <v>0</v>
      </c>
      <c r="EI22" s="11">
        <f t="shared" si="5"/>
        <v>0</v>
      </c>
      <c r="EJ22" s="11">
        <f t="shared" si="6"/>
        <v>0</v>
      </c>
      <c r="EK22" s="11">
        <f t="shared" si="7"/>
        <v>0</v>
      </c>
      <c r="EL22" s="11">
        <f t="shared" si="8"/>
        <v>0</v>
      </c>
      <c r="EM22" s="11">
        <f t="shared" si="9"/>
        <v>0</v>
      </c>
      <c r="EN22" s="11">
        <f t="shared" si="10"/>
        <v>0</v>
      </c>
      <c r="EO22" s="11">
        <f t="shared" si="11"/>
        <v>0</v>
      </c>
      <c r="EP22" s="11">
        <f t="shared" si="12"/>
        <v>0</v>
      </c>
      <c r="EQ22" s="11">
        <f t="shared" si="13"/>
        <v>0</v>
      </c>
      <c r="ER22" s="11">
        <f t="shared" si="14"/>
        <v>0</v>
      </c>
      <c r="ES22" s="11">
        <f t="shared" si="15"/>
        <v>0</v>
      </c>
      <c r="ET22" s="11">
        <f t="shared" si="16"/>
        <v>0</v>
      </c>
      <c r="EU22" s="11">
        <f t="shared" si="17"/>
        <v>0</v>
      </c>
      <c r="EV22" s="11">
        <f t="shared" si="18"/>
        <v>0</v>
      </c>
      <c r="EW22" s="11">
        <f t="shared" si="19"/>
        <v>0</v>
      </c>
      <c r="EX22" s="11">
        <f t="shared" si="20"/>
        <v>0</v>
      </c>
      <c r="EY22" s="11">
        <f t="shared" si="21"/>
        <v>0</v>
      </c>
      <c r="EZ22" s="11">
        <f t="shared" si="22"/>
        <v>0</v>
      </c>
      <c r="FA22" s="11">
        <f t="shared" si="23"/>
        <v>0</v>
      </c>
      <c r="FB22" s="11">
        <f t="shared" si="24"/>
        <v>0</v>
      </c>
      <c r="FC22" s="11">
        <f t="shared" si="25"/>
        <v>0</v>
      </c>
      <c r="FD22" s="11">
        <f t="shared" si="26"/>
        <v>0</v>
      </c>
      <c r="FE22" s="11">
        <f t="shared" si="27"/>
        <v>0</v>
      </c>
      <c r="FF22" s="11">
        <f t="shared" si="28"/>
        <v>0</v>
      </c>
      <c r="FG22" s="11">
        <f t="shared" si="29"/>
        <v>0</v>
      </c>
      <c r="FH22" s="11">
        <f t="shared" si="30"/>
        <v>0</v>
      </c>
      <c r="FI22" s="11">
        <f t="shared" si="31"/>
        <v>0</v>
      </c>
      <c r="FJ22" s="11">
        <f t="shared" si="32"/>
        <v>0</v>
      </c>
      <c r="FK22" s="11">
        <f t="shared" si="33"/>
        <v>0</v>
      </c>
      <c r="FL22" s="11">
        <f t="shared" si="34"/>
        <v>0</v>
      </c>
      <c r="FM22" s="11">
        <f t="shared" si="65"/>
        <v>0</v>
      </c>
      <c r="FO22" s="493">
        <f>AG20</f>
        <v>2025</v>
      </c>
      <c r="FP22" s="494" t="s">
        <v>91</v>
      </c>
      <c r="FQ22" s="495" t="s">
        <v>450</v>
      </c>
      <c r="FR22" s="495" t="s">
        <v>332</v>
      </c>
      <c r="FS22" s="495" t="s">
        <v>451</v>
      </c>
      <c r="FT22" s="495" t="s">
        <v>452</v>
      </c>
      <c r="FU22" s="496" t="s">
        <v>382</v>
      </c>
      <c r="FX22" s="1099"/>
      <c r="FY22" s="1082"/>
      <c r="FZ22" s="1082"/>
      <c r="GA22" s="1082"/>
      <c r="GB22" s="1102"/>
      <c r="GC22" s="1102"/>
      <c r="GD22" s="1086"/>
      <c r="GE22" s="1089"/>
      <c r="GG22" s="14">
        <v>3</v>
      </c>
      <c r="GH22" s="482">
        <f t="shared" ref="GH22:GH69" si="104">DATE(YEAR(GH21),MONTH(GH21)+1,1)</f>
        <v>45717</v>
      </c>
      <c r="GI22" s="482">
        <f t="shared" ref="GI22:GI69" si="105">EOMONTH(DATE(YEAR(GI21),MONTH(GI21),DAY(GI21)+1),0)</f>
        <v>45747</v>
      </c>
      <c r="GJ22" s="14" t="str">
        <f>IF(AND(GI22&gt;=EXPEDIENTE!$F$25,GH22&lt;=EXPEDIENTE!$F$29),"SI","NO")</f>
        <v>SI</v>
      </c>
      <c r="GK22" s="11">
        <f t="shared" si="66"/>
        <v>0</v>
      </c>
      <c r="GL22" s="11">
        <f t="shared" si="67"/>
        <v>0</v>
      </c>
      <c r="GM22" s="11">
        <f t="shared" si="68"/>
        <v>0</v>
      </c>
      <c r="GN22" s="11">
        <f t="shared" si="69"/>
        <v>0</v>
      </c>
      <c r="GO22" s="11">
        <f t="shared" si="70"/>
        <v>0</v>
      </c>
      <c r="GP22" s="11">
        <f t="shared" si="71"/>
        <v>0</v>
      </c>
      <c r="GQ22" s="11">
        <f t="shared" si="72"/>
        <v>0</v>
      </c>
      <c r="GR22" s="11">
        <f t="shared" si="73"/>
        <v>0</v>
      </c>
      <c r="GS22" s="11">
        <f t="shared" si="74"/>
        <v>0</v>
      </c>
      <c r="GT22" s="11">
        <f t="shared" si="75"/>
        <v>0</v>
      </c>
      <c r="GU22" s="11">
        <f t="shared" si="76"/>
        <v>0</v>
      </c>
      <c r="GV22" s="11">
        <f t="shared" si="77"/>
        <v>0</v>
      </c>
      <c r="GW22" s="11">
        <f t="shared" si="78"/>
        <v>0</v>
      </c>
      <c r="GX22" s="11">
        <f t="shared" si="79"/>
        <v>0</v>
      </c>
      <c r="GY22" s="11">
        <f t="shared" si="80"/>
        <v>0</v>
      </c>
      <c r="GZ22" s="11">
        <f t="shared" si="81"/>
        <v>0</v>
      </c>
      <c r="HA22" s="11">
        <f t="shared" si="82"/>
        <v>0</v>
      </c>
      <c r="HB22" s="11">
        <f t="shared" si="83"/>
        <v>0</v>
      </c>
      <c r="HC22" s="11">
        <f t="shared" si="84"/>
        <v>0</v>
      </c>
      <c r="HD22" s="11">
        <f t="shared" si="85"/>
        <v>0</v>
      </c>
      <c r="HE22" s="11">
        <f t="shared" si="86"/>
        <v>0</v>
      </c>
      <c r="HF22" s="11">
        <f t="shared" si="87"/>
        <v>0</v>
      </c>
      <c r="HG22" s="11">
        <f t="shared" si="88"/>
        <v>0</v>
      </c>
      <c r="HH22" s="11">
        <f t="shared" si="89"/>
        <v>0</v>
      </c>
      <c r="HI22" s="11">
        <f t="shared" si="90"/>
        <v>0</v>
      </c>
      <c r="HJ22" s="11">
        <f t="shared" si="91"/>
        <v>0</v>
      </c>
      <c r="HK22" s="11">
        <f t="shared" si="92"/>
        <v>0</v>
      </c>
      <c r="HL22" s="11">
        <f t="shared" si="93"/>
        <v>0</v>
      </c>
      <c r="HM22" s="11">
        <f t="shared" si="94"/>
        <v>0</v>
      </c>
      <c r="HN22" s="11">
        <f t="shared" si="95"/>
        <v>0</v>
      </c>
      <c r="HO22" s="11">
        <f t="shared" si="96"/>
        <v>0</v>
      </c>
      <c r="HP22" s="11">
        <f t="shared" si="97"/>
        <v>0</v>
      </c>
      <c r="HQ22" s="11">
        <f t="shared" si="98"/>
        <v>0</v>
      </c>
      <c r="HT22" s="497">
        <f>BZ20</f>
        <v>2025</v>
      </c>
      <c r="HU22" s="494" t="s">
        <v>91</v>
      </c>
      <c r="HV22" s="495" t="s">
        <v>450</v>
      </c>
      <c r="HW22" s="495" t="s">
        <v>332</v>
      </c>
      <c r="HX22" s="495" t="s">
        <v>451</v>
      </c>
      <c r="HY22" s="495" t="s">
        <v>452</v>
      </c>
      <c r="HZ22" s="496" t="s">
        <v>382</v>
      </c>
      <c r="JF22" s="480">
        <v>18</v>
      </c>
      <c r="JG22" s="474">
        <f t="shared" si="101"/>
        <v>6</v>
      </c>
    </row>
    <row r="23" spans="3:267" ht="15.75" thickBot="1" x14ac:dyDescent="0.35">
      <c r="C23" s="8">
        <v>17</v>
      </c>
      <c r="D23" s="12"/>
      <c r="E23" s="17"/>
      <c r="F23" s="18"/>
      <c r="G23" s="19"/>
      <c r="H23" s="19"/>
      <c r="I23" s="19"/>
      <c r="J23" s="12"/>
      <c r="K23" s="14">
        <f t="shared" si="43"/>
        <v>76</v>
      </c>
      <c r="L23" s="14">
        <f t="shared" si="44"/>
        <v>76</v>
      </c>
      <c r="M23" s="14" t="str">
        <f t="shared" si="45"/>
        <v>X</v>
      </c>
      <c r="V23" s="1134"/>
      <c r="W23" s="24"/>
      <c r="Y23" s="547">
        <f t="shared" si="46"/>
        <v>17</v>
      </c>
      <c r="Z23" s="478" t="str">
        <f>IF(Y23="","",IF(EDATE($Z$6,Y23)&gt;EXPEDIENTE!$F$27,"",EDATE($Z$6,Y23)))</f>
        <v/>
      </c>
      <c r="AA23" s="478" t="str">
        <f t="shared" si="0"/>
        <v/>
      </c>
      <c r="AB23" s="478" t="str">
        <f>IF(AA23="","",IF(YEAR(EXPEDIENTE!$F$25)=YEAR(AA23),AA23,""))</f>
        <v/>
      </c>
      <c r="AC23" s="478" t="str">
        <f>IF(AA23="","",IF(YEAR(EXPEDIENTE!$F$25)+1=YEAR(AA23),AA23,""))</f>
        <v/>
      </c>
      <c r="AD23" s="478" t="str">
        <f>IF(AA23="","",IF(YEAR(EXPEDIENTE!$F$25)+2=YEAR(AA23),AA23,""))</f>
        <v/>
      </c>
      <c r="AE23" s="478" t="str">
        <f>IF(AA23="","",IF(YEAR(EXPEDIENTE!$F$25)+3=YEAR(AA23),AA23,""))</f>
        <v/>
      </c>
      <c r="AG23" s="1116"/>
      <c r="AH23" s="1204"/>
      <c r="AI23" s="1207"/>
      <c r="AJ23" s="1207"/>
      <c r="AK23" s="1210"/>
      <c r="AM23" s="1186"/>
      <c r="AN23" s="1189"/>
      <c r="AO23" s="1191"/>
      <c r="AP23" s="1198"/>
      <c r="AQ23" s="1186"/>
      <c r="AR23" s="1189"/>
      <c r="AS23" s="1199"/>
      <c r="AT23" s="1124"/>
      <c r="AU23" s="1126"/>
      <c r="AV23" s="1201"/>
      <c r="AW23" s="1128"/>
      <c r="AX23" s="467">
        <f>AG20</f>
        <v>2025</v>
      </c>
      <c r="AY23" s="1143"/>
      <c r="AZ23" s="1143"/>
      <c r="BC23" s="1116"/>
      <c r="BD23" s="1107"/>
      <c r="BE23" s="1109"/>
      <c r="BF23" s="1109"/>
      <c r="BG23" s="1109"/>
      <c r="BH23" s="1109"/>
      <c r="BI23" s="1109"/>
      <c r="BJ23" s="1109"/>
      <c r="BK23" s="1137"/>
      <c r="BL23" s="1132"/>
      <c r="BN23" s="1107"/>
      <c r="BO23" s="1109"/>
      <c r="BP23" s="1109"/>
      <c r="BQ23" s="1109"/>
      <c r="BR23" s="1109"/>
      <c r="BS23" s="1109"/>
      <c r="BT23" s="1109"/>
      <c r="BU23" s="1137"/>
      <c r="BV23" s="1132"/>
      <c r="BX23" s="592">
        <f>AG20</f>
        <v>2025</v>
      </c>
      <c r="BZ23" s="1218"/>
      <c r="CA23" s="1224"/>
      <c r="CB23" s="1227"/>
      <c r="CC23" s="1227"/>
      <c r="CD23" s="1230"/>
      <c r="CF23" s="1163"/>
      <c r="CG23" s="1166"/>
      <c r="CH23" s="1169"/>
      <c r="CI23" s="1172"/>
      <c r="CJ23" s="1163"/>
      <c r="CK23" s="1166"/>
      <c r="CL23" s="1183"/>
      <c r="CM23" s="1180"/>
      <c r="CN23" s="1093"/>
      <c r="CO23" s="1095"/>
      <c r="CP23" s="1182"/>
      <c r="CQ23" s="575">
        <f>BZ20</f>
        <v>2025</v>
      </c>
      <c r="CR23" s="1092"/>
      <c r="CS23" s="1092"/>
      <c r="CV23" s="1218"/>
      <c r="CW23" s="1156"/>
      <c r="CX23" s="1158"/>
      <c r="CY23" s="1158"/>
      <c r="CZ23" s="1158"/>
      <c r="DA23" s="1158"/>
      <c r="DB23" s="1158"/>
      <c r="DC23" s="1158"/>
      <c r="DD23" s="1174"/>
      <c r="DE23" s="1160"/>
      <c r="DG23" s="1156"/>
      <c r="DH23" s="1158"/>
      <c r="DI23" s="1158"/>
      <c r="DJ23" s="1158"/>
      <c r="DK23" s="1158"/>
      <c r="DL23" s="1158"/>
      <c r="DM23" s="1158"/>
      <c r="DN23" s="1174"/>
      <c r="DO23" s="1160"/>
      <c r="DQ23" s="614">
        <f>BZ20</f>
        <v>2025</v>
      </c>
      <c r="DS23" s="498">
        <v>1</v>
      </c>
      <c r="DT23" s="510">
        <f>'GASTOS EJER. 1'!$C38</f>
        <v>0</v>
      </c>
      <c r="DU23" s="507" t="str">
        <f t="shared" ref="DU23:DV30" si="106">AT24</f>
        <v/>
      </c>
      <c r="DV23" s="507" t="str">
        <f t="shared" si="106"/>
        <v/>
      </c>
      <c r="DW23" s="511">
        <f t="shared" ref="DW23:DW30" si="107">AW24</f>
        <v>0</v>
      </c>
      <c r="DX23" s="512">
        <f>'GASTOS EJER. 1'!X38</f>
        <v>0</v>
      </c>
      <c r="DY23" s="503" t="str">
        <f>IF(DX23=0,"",'GASTOS EJER. 1'!AA38)</f>
        <v/>
      </c>
      <c r="DZ23" s="503" t="str">
        <f t="shared" ref="DZ23:DZ30" si="108">IF(DY23="","",EOMONTH(DATE(YEAR(DY23),MONTH(DY23)+1,1),0))</f>
        <v/>
      </c>
      <c r="EA23" s="501" t="e">
        <f>IF(AND(DZ23&gt;=EXPEDIENTE!$F$25,DZ23&lt;=EXPEDIENTE!$F$29),ROUNDDOWN(DX23/DW23,2),0)</f>
        <v>#DIV/0!</v>
      </c>
      <c r="EC23" s="14">
        <v>4</v>
      </c>
      <c r="ED23" s="482">
        <f t="shared" si="102"/>
        <v>45748</v>
      </c>
      <c r="EE23" s="482">
        <f t="shared" si="103"/>
        <v>45777</v>
      </c>
      <c r="EF23" s="14" t="str">
        <f>IF(AND(EE23&gt;=EXPEDIENTE!$F$25,ED23&lt;=EXPEDIENTE!$F$29),"SI","NO")</f>
        <v>SI</v>
      </c>
      <c r="EG23" s="11">
        <f t="shared" si="3"/>
        <v>0</v>
      </c>
      <c r="EH23" s="11">
        <f t="shared" si="4"/>
        <v>0</v>
      </c>
      <c r="EI23" s="11">
        <f t="shared" si="5"/>
        <v>0</v>
      </c>
      <c r="EJ23" s="11">
        <f t="shared" si="6"/>
        <v>0</v>
      </c>
      <c r="EK23" s="11">
        <f t="shared" si="7"/>
        <v>0</v>
      </c>
      <c r="EL23" s="11">
        <f t="shared" si="8"/>
        <v>0</v>
      </c>
      <c r="EM23" s="11">
        <f t="shared" si="9"/>
        <v>0</v>
      </c>
      <c r="EN23" s="11">
        <f t="shared" si="10"/>
        <v>0</v>
      </c>
      <c r="EO23" s="11">
        <f t="shared" si="11"/>
        <v>0</v>
      </c>
      <c r="EP23" s="11">
        <f t="shared" si="12"/>
        <v>0</v>
      </c>
      <c r="EQ23" s="11">
        <f t="shared" si="13"/>
        <v>0</v>
      </c>
      <c r="ER23" s="11">
        <f t="shared" si="14"/>
        <v>0</v>
      </c>
      <c r="ES23" s="11">
        <f t="shared" si="15"/>
        <v>0</v>
      </c>
      <c r="ET23" s="11">
        <f t="shared" si="16"/>
        <v>0</v>
      </c>
      <c r="EU23" s="11">
        <f t="shared" si="17"/>
        <v>0</v>
      </c>
      <c r="EV23" s="11">
        <f t="shared" si="18"/>
        <v>0</v>
      </c>
      <c r="EW23" s="11">
        <f t="shared" si="19"/>
        <v>0</v>
      </c>
      <c r="EX23" s="11">
        <f t="shared" si="20"/>
        <v>0</v>
      </c>
      <c r="EY23" s="11">
        <f t="shared" si="21"/>
        <v>0</v>
      </c>
      <c r="EZ23" s="11">
        <f t="shared" si="22"/>
        <v>0</v>
      </c>
      <c r="FA23" s="11">
        <f t="shared" si="23"/>
        <v>0</v>
      </c>
      <c r="FB23" s="11">
        <f t="shared" si="24"/>
        <v>0</v>
      </c>
      <c r="FC23" s="11">
        <f t="shared" si="25"/>
        <v>0</v>
      </c>
      <c r="FD23" s="11">
        <f t="shared" si="26"/>
        <v>0</v>
      </c>
      <c r="FE23" s="11">
        <f t="shared" si="27"/>
        <v>0</v>
      </c>
      <c r="FF23" s="11">
        <f t="shared" si="28"/>
        <v>0</v>
      </c>
      <c r="FG23" s="11">
        <f t="shared" si="29"/>
        <v>0</v>
      </c>
      <c r="FH23" s="11">
        <f t="shared" si="30"/>
        <v>0</v>
      </c>
      <c r="FI23" s="11">
        <f t="shared" si="31"/>
        <v>0</v>
      </c>
      <c r="FJ23" s="11">
        <f t="shared" si="32"/>
        <v>0</v>
      </c>
      <c r="FK23" s="11">
        <f t="shared" si="33"/>
        <v>0</v>
      </c>
      <c r="FL23" s="11">
        <f t="shared" si="34"/>
        <v>0</v>
      </c>
      <c r="FM23" s="11">
        <f t="shared" si="65"/>
        <v>0</v>
      </c>
      <c r="FO23" s="85">
        <v>1</v>
      </c>
      <c r="FP23" s="513">
        <f>DATE(YEAR(EXPEDIENTE!$F$25),FO23,1)</f>
        <v>45658</v>
      </c>
      <c r="FQ23" s="513" t="str">
        <f>IF('GASTOS EJER. 1'!I52="","",'GASTOS EJER. 1'!I52)</f>
        <v/>
      </c>
      <c r="FR23" s="514">
        <f>'GASTOS EJER. 1'!X20</f>
        <v>0</v>
      </c>
      <c r="FS23" s="514">
        <f>'GASTOS EJER. 1'!H52</f>
        <v>0</v>
      </c>
      <c r="FT23" s="483">
        <f>VLOOKUP(FP23,$ED$7:$FM$69,36,FALSE)</f>
        <v>0</v>
      </c>
      <c r="FU23" s="514">
        <f t="shared" ref="FU23:FU34" si="109">SUM(FR23:FT23)</f>
        <v>0</v>
      </c>
      <c r="FW23" s="498">
        <v>1</v>
      </c>
      <c r="FX23" s="510">
        <f>'GASTOS EJER. 1'!$C38</f>
        <v>0</v>
      </c>
      <c r="FY23" s="507" t="str">
        <f t="shared" ref="FY23:FZ30" si="110">CM24</f>
        <v/>
      </c>
      <c r="FZ23" s="507" t="str">
        <f t="shared" si="110"/>
        <v/>
      </c>
      <c r="GA23" s="511">
        <f t="shared" ref="GA23:GA30" si="111">CP24</f>
        <v>0</v>
      </c>
      <c r="GB23" s="512">
        <f>'GASTOS EJER. 1'!CM38</f>
        <v>0</v>
      </c>
      <c r="GC23" s="503" t="str">
        <f>IF(GB23=0,"",'GASTOS EJER. 1'!CT38)</f>
        <v/>
      </c>
      <c r="GD23" s="503" t="str">
        <f t="shared" ref="GD23:GD30" si="112">IF(GC23="","",EOMONTH(DATE(YEAR(GC23),MONTH(GC23)+1,1),0))</f>
        <v/>
      </c>
      <c r="GE23" s="501" t="e">
        <f>IF(AND(GD23&gt;=EXPEDIENTE!$F$25,GD23&lt;=EXPEDIENTE!$F$29),ROUNDDOWN(GB23/GA23,2),0)</f>
        <v>#DIV/0!</v>
      </c>
      <c r="GG23" s="14">
        <v>4</v>
      </c>
      <c r="GH23" s="482">
        <f t="shared" si="104"/>
        <v>45748</v>
      </c>
      <c r="GI23" s="482">
        <f t="shared" si="105"/>
        <v>45777</v>
      </c>
      <c r="GJ23" s="14" t="str">
        <f>IF(AND(GI23&gt;=EXPEDIENTE!$F$25,GH23&lt;=EXPEDIENTE!$F$29),"SI","NO")</f>
        <v>SI</v>
      </c>
      <c r="GK23" s="11">
        <f t="shared" si="66"/>
        <v>0</v>
      </c>
      <c r="GL23" s="11">
        <f t="shared" si="67"/>
        <v>0</v>
      </c>
      <c r="GM23" s="11">
        <f t="shared" si="68"/>
        <v>0</v>
      </c>
      <c r="GN23" s="11">
        <f t="shared" si="69"/>
        <v>0</v>
      </c>
      <c r="GO23" s="11">
        <f t="shared" si="70"/>
        <v>0</v>
      </c>
      <c r="GP23" s="11">
        <f t="shared" si="71"/>
        <v>0</v>
      </c>
      <c r="GQ23" s="11">
        <f t="shared" si="72"/>
        <v>0</v>
      </c>
      <c r="GR23" s="11">
        <f t="shared" si="73"/>
        <v>0</v>
      </c>
      <c r="GS23" s="11">
        <f t="shared" si="74"/>
        <v>0</v>
      </c>
      <c r="GT23" s="11">
        <f t="shared" si="75"/>
        <v>0</v>
      </c>
      <c r="GU23" s="11">
        <f t="shared" si="76"/>
        <v>0</v>
      </c>
      <c r="GV23" s="11">
        <f t="shared" si="77"/>
        <v>0</v>
      </c>
      <c r="GW23" s="11">
        <f t="shared" si="78"/>
        <v>0</v>
      </c>
      <c r="GX23" s="11">
        <f t="shared" si="79"/>
        <v>0</v>
      </c>
      <c r="GY23" s="11">
        <f t="shared" si="80"/>
        <v>0</v>
      </c>
      <c r="GZ23" s="11">
        <f t="shared" si="81"/>
        <v>0</v>
      </c>
      <c r="HA23" s="11">
        <f t="shared" si="82"/>
        <v>0</v>
      </c>
      <c r="HB23" s="11">
        <f t="shared" si="83"/>
        <v>0</v>
      </c>
      <c r="HC23" s="11">
        <f t="shared" si="84"/>
        <v>0</v>
      </c>
      <c r="HD23" s="11">
        <f t="shared" si="85"/>
        <v>0</v>
      </c>
      <c r="HE23" s="11">
        <f t="shared" si="86"/>
        <v>0</v>
      </c>
      <c r="HF23" s="11">
        <f t="shared" si="87"/>
        <v>0</v>
      </c>
      <c r="HG23" s="11">
        <f t="shared" si="88"/>
        <v>0</v>
      </c>
      <c r="HH23" s="11">
        <f t="shared" si="89"/>
        <v>0</v>
      </c>
      <c r="HI23" s="11">
        <f t="shared" si="90"/>
        <v>0</v>
      </c>
      <c r="HJ23" s="11">
        <f t="shared" si="91"/>
        <v>0</v>
      </c>
      <c r="HK23" s="11">
        <f t="shared" si="92"/>
        <v>0</v>
      </c>
      <c r="HL23" s="11">
        <f t="shared" si="93"/>
        <v>0</v>
      </c>
      <c r="HM23" s="11">
        <f t="shared" si="94"/>
        <v>0</v>
      </c>
      <c r="HN23" s="11">
        <f t="shared" si="95"/>
        <v>0</v>
      </c>
      <c r="HO23" s="11">
        <f t="shared" si="96"/>
        <v>0</v>
      </c>
      <c r="HP23" s="11">
        <f t="shared" si="97"/>
        <v>0</v>
      </c>
      <c r="HQ23" s="11">
        <f t="shared" si="98"/>
        <v>0</v>
      </c>
      <c r="HT23" s="85">
        <v>1</v>
      </c>
      <c r="HU23" s="513">
        <f>DATE(YEAR(EXPEDIENTE!$F$25),HT23,1)</f>
        <v>45658</v>
      </c>
      <c r="HV23" s="513" t="str">
        <f>IF('GASTOS EJER. 1'!BF52="","",'GASTOS EJER. 1'!BF52)</f>
        <v/>
      </c>
      <c r="HW23" s="514">
        <f>'GASTOS EJER. 1'!CM20</f>
        <v>0</v>
      </c>
      <c r="HX23" s="514">
        <f>'GASTOS EJER. 1'!BA52</f>
        <v>0</v>
      </c>
      <c r="HY23" s="483">
        <f>VLOOKUP(HU23,$GH$7:$HQ$69,36,FALSE)</f>
        <v>0</v>
      </c>
      <c r="HZ23" s="514">
        <f t="shared" ref="HZ23:HZ34" si="113">SUM(HW23:HY23)</f>
        <v>0</v>
      </c>
      <c r="JF23" s="480">
        <v>19</v>
      </c>
      <c r="JG23" s="474">
        <f t="shared" si="101"/>
        <v>6</v>
      </c>
    </row>
    <row r="24" spans="3:267" x14ac:dyDescent="0.3">
      <c r="C24" s="8">
        <v>18</v>
      </c>
      <c r="D24" s="12"/>
      <c r="E24" s="17"/>
      <c r="F24" s="18"/>
      <c r="G24" s="19"/>
      <c r="H24" s="19"/>
      <c r="I24" s="19"/>
      <c r="J24" s="12"/>
      <c r="K24" s="14">
        <f t="shared" si="43"/>
        <v>76</v>
      </c>
      <c r="L24" s="14">
        <f t="shared" si="44"/>
        <v>76</v>
      </c>
      <c r="M24" s="14" t="str">
        <f t="shared" si="45"/>
        <v>X</v>
      </c>
      <c r="V24" s="1134"/>
      <c r="W24" s="24"/>
      <c r="Y24" s="547">
        <f t="shared" si="46"/>
        <v>18</v>
      </c>
      <c r="Z24" s="478" t="str">
        <f>IF(Y24="","",IF(EDATE($Z$6,Y24)&gt;EXPEDIENTE!$F$27,"",EDATE($Z$6,Y24)))</f>
        <v/>
      </c>
      <c r="AA24" s="478" t="str">
        <f t="shared" si="0"/>
        <v/>
      </c>
      <c r="AB24" s="478" t="str">
        <f>IF(AA24="","",IF(YEAR(EXPEDIENTE!$F$25)=YEAR(AA24),AA24,""))</f>
        <v/>
      </c>
      <c r="AC24" s="478" t="str">
        <f>IF(AA24="","",IF(YEAR(EXPEDIENTE!$F$25)+1=YEAR(AA24),AA24,""))</f>
        <v/>
      </c>
      <c r="AD24" s="478" t="str">
        <f>IF(AA24="","",IF(YEAR(EXPEDIENTE!$F$25)+2=YEAR(AA24),AA24,""))</f>
        <v/>
      </c>
      <c r="AE24" s="478" t="str">
        <f>IF(AA24="","",IF(YEAR(EXPEDIENTE!$F$25)+3=YEAR(AA24),AA24,""))</f>
        <v/>
      </c>
      <c r="AG24" s="583">
        <v>1</v>
      </c>
      <c r="AH24" s="499">
        <f>'GASTOS EJER. 1'!M38</f>
        <v>0</v>
      </c>
      <c r="AI24" s="500">
        <f>'GASTOS EJER. 1'!X38</f>
        <v>0</v>
      </c>
      <c r="AJ24" s="586">
        <f>'GASTOS EJER. 1'!Y38</f>
        <v>0</v>
      </c>
      <c r="AK24" s="501">
        <f>AH24-AI24</f>
        <v>0</v>
      </c>
      <c r="AM24" s="502">
        <f>'GASTOS EJER. 1'!F38+'GASTOS EJER. 1'!L38-'GASTOS EJER. 1'!X38-'GASTOS EJER. 1'!Y38</f>
        <v>0</v>
      </c>
      <c r="AN24" s="503" t="str">
        <f>IF('GASTOS EJER. 1'!AA38="","",'GASTOS EJER. 1'!AA38)</f>
        <v/>
      </c>
      <c r="AO24" s="500">
        <f>'GASTOS EJER. 1'!Y38</f>
        <v>0</v>
      </c>
      <c r="AP24" s="504" t="str">
        <f>IF('GASTOS EJER. 1'!AB38="","",'GASTOS EJER. 1'!AB38)</f>
        <v/>
      </c>
      <c r="AQ24" s="505">
        <f>IF(AND(AN24&gt;=EXPEDIENTE!$I$25,AN24&lt;=EXPEDIENTE!$I$29),AM24,0)</f>
        <v>0</v>
      </c>
      <c r="AR24" s="481">
        <f>IF(AND(AP24&gt;=EXPEDIENTE!$I$25,AP24&lt;=EXPEDIENTE!$I$29),AO24,0)</f>
        <v>0</v>
      </c>
      <c r="AS24" s="501">
        <f>AQ24+AR24</f>
        <v>0</v>
      </c>
      <c r="AT24" s="506" t="str">
        <f>IF('GASTOS EJER. 1'!D38="","",'GASTOS EJER. 1'!D38)</f>
        <v/>
      </c>
      <c r="AU24" s="507" t="str">
        <f>IF('GASTOS EJER. 1'!E38="","",'GASTOS EJER. 1'!E38)</f>
        <v/>
      </c>
      <c r="AV24" s="593">
        <f>IF(OR(AT24="",AU24=""),0,DAYS360(AT24,AU24,TRUE)+1)</f>
        <v>0</v>
      </c>
      <c r="AW24" s="508">
        <f>IF(OR(AT24="",AU24=""),0,DATEDIF(AT24,AU24,"M")+1)</f>
        <v>0</v>
      </c>
      <c r="AX24" s="16">
        <f>IF(OR(AT24="",AU24=""),0,IF(YEAR(AT24)&lt;$AX$23,DATEDIF(DATE($AX$23,1,1),AU24,"M")+1,AW24))</f>
        <v>0</v>
      </c>
      <c r="AY24" s="603">
        <f>IF(OR(AT24="",AU24=""),0,ROUNDDOWN(AS24/AV24,2))</f>
        <v>0</v>
      </c>
      <c r="AZ24" s="606">
        <f>IF(OR(AT24="",AU24=""),0,ROUND(AS24/AW24,2))</f>
        <v>0</v>
      </c>
      <c r="BB24" s="596">
        <v>1</v>
      </c>
      <c r="BC24" s="597">
        <f t="shared" ref="BC24:BC35" si="114">DATE($BC$21,BB24,1)</f>
        <v>45658</v>
      </c>
      <c r="BD24" s="600">
        <f>IF($AH$24="",0,IF($BD$22=0,0,IF(EOMONTH($BC24,0)&lt;$AT$24,0,IF($AU$24&lt;$BC24,0,IF(AND($AT$24&lt;=$BC24,$AU$24&gt;= EOMONTH($BC24,0)),ROUND(30*$AY$24,2),IF(AND($BC24&lt;=$AT$24, EOMONTH($BC24,0)&gt;$AT$24, EOMONTH($BC24,0)&lt;=$AU$24),ROUND($AY$24*DAYS360($AT$24, EOMONTH($BC24,0),TRUE),2),IF(AND($BC24&gt;=$AT$24,$BC24&lt;=$AU$24, EOMONTH($BC24,0)&gt;$AU$24),ROUND($AY$24*(DAYS360($BC24,$AU$24,TRUE)+1),2))))))))</f>
        <v>0</v>
      </c>
      <c r="BE24" s="640">
        <f>IF($AH$25="",0,IF($BE$22=0,0,IF(EOMONTH($BC24,0)&lt;$AT$25,0,IF($AU$25&lt;$BC24,0,IF(AND($AT$25&lt;=$BC24,$AU$25&gt;= EOMONTH($BC24,0)),ROUND(30*$AY$25,2),IF(AND($BC24&lt;=$AT$25, EOMONTH($BC24,0)&gt;$AT$25, EOMONTH($BC24,0)&lt;=$AU$25),ROUND($AY$25*DAYS360($AT$25, EOMONTH($BC24,0),TRUE),2),IF(AND($BC24&gt;=$AT$25,$BC24&lt;=$AU$25, EOMONTH($BC24,0)&gt;$AU$25),ROUND($AY$25*(DAYS360($BC24,$AU$25,TRUE)+1),2))))))))</f>
        <v>0</v>
      </c>
      <c r="BF24" s="640">
        <f>IF($AH$26="",0,IF($BF$22=0,0,IF(EOMONTH($BC24,0)&lt;$AT$26,0,IF($AU$26&lt;$BC24,0,IF(AND($AT$26&lt;=$BC24,$AU$26&gt;= EOMONTH($BC24,0)),ROUND(30*$AY$26,2),IF(AND($BC24&lt;=$AT$26, EOMONTH($BC24,0)&gt;$AT$26, EOMONTH($BC24,0)&lt;=$AU$26),ROUND($AY$26*DAYS360($AT$26, EOMONTH($BC24,0),TRUE),2),IF(AND($BC24&gt;=$AT$26,$BC24&lt;=$AU$26, EOMONTH($BC24,0)&gt;$AU$26),ROUND($AY$26*(DAYS360($BC24,$AU$26,TRUE)+1),2))))))))</f>
        <v>0</v>
      </c>
      <c r="BG24" s="640">
        <f>IF($AH$27="",0,IF($BG$22=0,0,IF(EOMONTH($BC24,0)&lt;$AT$27,0,IF($AU$27&lt;$BC24,0,IF(AND($AT$27&lt;=$BC24,$AU$27&gt;= EOMONTH($BC24,0)),ROUND(30*$AY$27,2),IF(AND($BC24&lt;=$AT$27, EOMONTH($BC24,0)&gt;$AT$27, EOMONTH($BC24,0)&lt;=$AU$27),ROUND($AY$27*DAYS360($AT$27, EOMONTH($BC24,0),TRUE),2),IF(AND($BC24&gt;=$AT$27,$BC24&lt;=$AU$27, EOMONTH($BC24,0)&gt;$AU$27),ROUND($AY$27*(DAYS360($BC24,$AU$27,TRUE)+1),2))))))))</f>
        <v>0</v>
      </c>
      <c r="BH24" s="640">
        <f>IF($AH$28="",0,IF($BH$22=0,0,IF(EOMONTH($BC24,0)&lt;$AT$28,0,IF($AU$28&lt;$BC24,0,IF(AND($AT$28&lt;=$BC24,$AU$28&gt;= EOMONTH($BC24,0)),ROUND(30*$AY$28,2),IF(AND($BC24&lt;=$AT$28, EOMONTH($BC24,0)&gt;$AT$28, EOMONTH($BC24,0)&lt;=$AU$28),ROUND($AY$28*DAYS360($AT$28, EOMONTH($BC24,0),TRUE),2),IF(AND($BC24&gt;=$AT$28,$BC24&lt;=$AU$28, EOMONTH($BC24,0)&gt;$AU$28),ROUND($AY$28*(DAYS360($BC24,$AU$28,TRUE)+1),2))))))))</f>
        <v>0</v>
      </c>
      <c r="BI24" s="640">
        <f>IF($AH$29="",0,IF($BI$22=0,0,IF(EOMONTH($BC24,0)&lt;$AT$29,0,IF($AU$29&lt;$BC24,0,IF(AND($AT$29&lt;=$BC24,$AU$29&gt;= EOMONTH($BC24,0)),ROUND(30*$AY$29,2),IF(AND($BC24&lt;=$AT$29, EOMONTH($BC24,0)&gt;$AT$29, EOMONTH($BC24,0)&lt;=$AU$29),ROUND($AY$29*DAYS360($AT$29, EOMONTH($BC24,0),TRUE),2),IF(AND($BC24&gt;=$AT$29,$BC24&lt;=$AU$29, EOMONTH($BC24,0)&gt;$AU$29),ROUND($AY$29*(DAYS360($BC24,$AU$29,TRUE)+1),2))))))))</f>
        <v>0</v>
      </c>
      <c r="BJ24" s="640">
        <f>IF($AH$30="",0,IF($BJ$22=0,0,IF(EOMONTH($BC24,0)&lt;$AT$30,0,IF($AU$30&lt;$BC24,0,IF(AND($AT$30&lt;=$BC24,$AU$30&gt;= EOMONTH($BC24,0)),ROUND(30*$AY$30,2),IF(AND($BC24&lt;=$AT$30, EOMONTH($BC24,0)&gt;$AT$30, EOMONTH($BC24,0)&lt;=$AU$30),ROUND($AY$30*DAYS360($AT$30, EOMONTH($BC24,0),TRUE),2),IF(AND($BC24&gt;=$AT$30,$BC24&lt;=$AU$30, EOMONTH($BC24,0)&gt;$AU$30),ROUND($AY$30*(DAYS360($BC24,$AU$30,TRUE)+1),2))))))))</f>
        <v>0</v>
      </c>
      <c r="BK24" s="641">
        <f>IF($AH$31="",0,IF($BK$22=0,0,IF(EOMONTH($BC24,0)&lt;$AT$31,0,IF($AU$31&lt;$BC24,0,IF(AND($AT$31&lt;=$BC24,$AU$31&gt;= EOMONTH($BC24,0)),ROUND(30*$AY$31,2),IF(AND($BC24&lt;=$AT$31, EOMONTH($BC24,0)&gt;$AT$31, EOMONTH($BC24,0)&lt;=$AU$31),ROUND($AY$31*DAYS360($AT$31, EOMONTH($BC24,0),TRUE),2),IF(AND($BC24&gt;=$AT$31,$BC24&lt;=$AU$31, EOMONTH($BC24,0)&gt;$AU$31),ROUND($AY$31*(DAYS360($BC24,$AU$31,TRUE)+1),2))))))))</f>
        <v>0</v>
      </c>
      <c r="BL24" s="642">
        <f>SUM(BD24:BK24)</f>
        <v>0</v>
      </c>
      <c r="BN24" s="600">
        <f t="shared" ref="BN24:BN35" si="115">IF($AH$40="",0,IF($BN$22=0,0,IF(EOMONTH($BC24,0)&lt;$AT$40,0,IF($AU$40&lt;$BC24,0,IF(AND($AT$40&lt;=$BC24,$AU$40&gt;= EOMONTH($BC24,0)),ROUND(30*$AY$40,2),IF(AND($BC24&lt;=$AT$40, EOMONTH($BC24,0)&gt;$AT$40, EOMONTH($BC24,0)&lt;=$AU$40),ROUND($AY$40*DAYS360($AT$40, EOMONTH($BC24,0),TRUE),2),IF(AND($BC24&gt;=$AT$40,$BC24&lt;=$AU$40, EOMONTH($BC24,0)&gt;$AU$40),ROUND($AY$40*(DAYS360($BC24,$AU$40,TRUE)+1),2))))))))</f>
        <v>0</v>
      </c>
      <c r="BO24" s="640">
        <f t="shared" ref="BO24:BO35" si="116">IF($AH$41="",0,IF($BO$22=0,0,IF(EOMONTH($BC24,0)&lt;$AT$41,0,IF($AU$41&lt;$BC24,0,IF(AND($AT$41&lt;=$BC24,$AU$41&gt;= EOMONTH($BC24,0)),ROUND(30*$AY$41,2),IF(AND($BC24&lt;=$AT$41, EOMONTH($BC24,0)&gt;$AT$41, EOMONTH($BC24,0)&lt;=$AU$41),ROUND($AY$41*DAYS360($AT$41, EOMONTH($BC24,0),TRUE),2),IF(AND($BC24&gt;=$AT$41,$BC24&lt;=$AU$41, EOMONTH($BC24,0)&gt;$AU$41),ROUND($AY$41*(DAYS360($BC24,$AU$41,TRUE)+1),2))))))))</f>
        <v>0</v>
      </c>
      <c r="BP24" s="640">
        <f t="shared" ref="BP24:BP35" si="117">IF($AH$42="",0,IF($BP$22=0,0,IF(EOMONTH($BC24,0)&lt;$AT$42,0,IF($AU$42&lt;$BC24,0,IF(AND($AT$42&lt;=$BC24,$AU$42&gt;= EOMONTH($BC24,0)),ROUND(30*$AY$42,2),IF(AND($BC24&lt;=$AT$42, EOMONTH($BC24,0)&gt;$AT$42, EOMONTH($BC24,0)&lt;=$AU$42),ROUND($AY$42*DAYS360($AT$42, EOMONTH($BC24,0),TRUE),2),IF(AND($BC24&gt;=$AT$42,$BC24&lt;=$AU$42, EOMONTH($BC24,0)&gt;$AU$42),ROUND($AY$42*(DAYS360($BC24,$AU$42,TRUE)+1),2))))))))</f>
        <v>0</v>
      </c>
      <c r="BQ24" s="640">
        <f t="shared" ref="BQ24:BQ35" si="118">IF($AH$43="",0,IF($BQ$22=0,0,IF(EOMONTH($BC24,0)&lt;$AT$43,0,IF($AU$43&lt;$BC24,0,IF(AND($AT$43&lt;=$BC24,$AU$43&gt;= EOMONTH($BC24,0)),ROUND(30*$AY$43,2),IF(AND($BC24&lt;=$AT$43, EOMONTH($BC24,0)&gt;$AT$43, EOMONTH($BC24,0)&lt;=$AU$43),ROUND($AY$43*DAYS360($AT$43, EOMONTH($BC24,0),TRUE),2),IF(AND($BC24&gt;=$AT$43,$BC24&lt;=$AU$43, EOMONTH($BC24,0)&gt;$AU$43),ROUND($AY$43*(DAYS360($BC24,$AU$43,TRUE)+1),2))))))))</f>
        <v>0</v>
      </c>
      <c r="BR24" s="640">
        <f t="shared" ref="BR24:BR35" si="119">IF($AH$44="",0,IF($BR$22=0,0,IF(EOMONTH($BC24,0)&lt;$AT$44,0,IF($AU$44&lt;$BC24,0,IF(AND($AT$44&lt;=$BC24,$AU$44&gt;= EOMONTH($BC24,0)),ROUND(30*$AY$44,2),IF(AND($BC24&lt;=$AT$44, EOMONTH($BC24,0)&gt;$AT$44, EOMONTH($BC24,0)&lt;=$AU$44),ROUND($AY$44*DAYS360($AT$44, EOMONTH($BC24,0),TRUE),2),IF(AND($BC24&gt;=$AT$44,$BC24&lt;=$AU$44, EOMONTH($BC24,0)&gt;$AU$44),ROUND($AY$44*(DAYS360($BC24,$AU$44,TRUE)+1),2))))))))</f>
        <v>0</v>
      </c>
      <c r="BS24" s="640">
        <f t="shared" ref="BS24:BS35" si="120">IF($AH$45="",0,IF($BS$22=0,0,IF(EOMONTH($BC24,0)&lt;$AT$45,0,IF($AU$45&lt;$BC24,0,IF(AND($AT$45&lt;=$BC24,$AU$45&gt;= EOMONTH($BC24,0)),ROUND(30*$AY$45,2),IF(AND($BC24&lt;=$AT$45, EOMONTH($BC24,0)&gt;$AT$45, EOMONTH($BC24,0)&lt;=$AU$45),ROUND($AY$45*DAYS360($AT$45, EOMONTH($BC24,0),TRUE),2),IF(AND($BC24&gt;=$AT$45,$BC24&lt;=$AU$45, EOMONTH($BC24,0)&gt;$AU$45),ROUND($AY$45*(DAYS360($BC24,$AU$45,TRUE)+1),2))))))))</f>
        <v>0</v>
      </c>
      <c r="BT24" s="640">
        <f t="shared" ref="BT24:BT35" si="121">IF($AH$46="",0,IF($BT$22=0,0,IF(EOMONTH($BC24,0)&lt;$AT$46,0,IF($AU$46&lt;$BC24,0,IF(AND($AT$46&lt;=$BC24,$AU$46&gt;= EOMONTH($BC24,0)),ROUND(30*$AY$46,2),IF(AND($BC24&lt;=$AT$46, EOMONTH($BC24,0)&gt;$AT$46, EOMONTH($BC24,0)&lt;=$AU$46),ROUND($AY$46*DAYS360($AT$46, EOMONTH($BC24,0),TRUE),2),IF(AND($BC24&gt;=$AT$46,$BC24&lt;=$AU$46, EOMONTH($BC24,0)&gt;$AU$46),ROUND($AY$46*(DAYS360($BC24,$AU$46,TRUE)+1),2))))))))</f>
        <v>0</v>
      </c>
      <c r="BU24" s="641">
        <f t="shared" ref="BU24:BU35" si="122">IF($AH$47="",0,IF($BU$22=0,0,IF(EOMONTH($BC24,0)&lt;$AT$47,0,IF($AU$47&lt;$BC24,0,IF(AND($AT$47&lt;=$BC24,$AU$47&gt;= EOMONTH($BC24,0)),ROUND(30*$AY$47,2),IF(AND($BC24&lt;=$AT$47, EOMONTH($BC24,0)&gt;$AT$47, EOMONTH($BC24,0)&lt;=$AU$47),ROUND($AY$47*DAYS360($AT$47, EOMONTH($BC24,0),TRUE),2),IF(AND($BC24&gt;=$AT$47,$BC24&lt;=$AU$47, EOMONTH($BC24,0)&gt;$AU$47),ROUND($AY$47*(DAYS360($BC24,$AU$47,TRUE)+1),2))))))))</f>
        <v>0</v>
      </c>
      <c r="BV24" s="642">
        <f t="shared" ref="BV24:BV35" si="123">SUM(BN24:BU24)</f>
        <v>0</v>
      </c>
      <c r="BX24" s="653">
        <f>BL24+BV24</f>
        <v>0</v>
      </c>
      <c r="BZ24" s="615">
        <v>1</v>
      </c>
      <c r="CA24" s="499">
        <f>'GASTOS EJER. 1'!BN38</f>
        <v>0</v>
      </c>
      <c r="CB24" s="500">
        <f>'GASTOS EJER. 1'!CM38</f>
        <v>0</v>
      </c>
      <c r="CC24" s="586">
        <f>'GASTOS EJER. 1'!CP38</f>
        <v>0</v>
      </c>
      <c r="CD24" s="501">
        <f>CA24-CB24</f>
        <v>0</v>
      </c>
      <c r="CF24" s="502">
        <f>'GASTOS EJER. 1'!AW38+'GASTOS EJER. 1'!BM38-'GASTOS EJER. 1'!CM38-'GASTOS EJER. 1'!CP38</f>
        <v>0</v>
      </c>
      <c r="CG24" s="503" t="str">
        <f>IF('GASTOS EJER. 1'!CT38="","",'GASTOS EJER. 1'!CT38)</f>
        <v/>
      </c>
      <c r="CH24" s="500">
        <f>'GASTOS EJER. 1'!CP38</f>
        <v>0</v>
      </c>
      <c r="CI24" s="504" t="str">
        <f>IF('GASTOS EJER. 1'!CW38="","",'GASTOS EJER. 1'!CW38)</f>
        <v/>
      </c>
      <c r="CJ24" s="505">
        <f>IF(AND(CG24&gt;=EXPEDIENTE!$I$25,CG24&lt;=EXPEDIENTE!$I$29),CF24,0)</f>
        <v>0</v>
      </c>
      <c r="CK24" s="481">
        <f>IF(AND(CI24&gt;=EXPEDIENTE!$I$25,CI24&lt;=EXPEDIENTE!$I$29),CH24,0)</f>
        <v>0</v>
      </c>
      <c r="CL24" s="501">
        <f>CJ24+CK24</f>
        <v>0</v>
      </c>
      <c r="CM24" s="506" t="str">
        <f>IF('GASTOS EJER. 1'!AQ38="","",'GASTOS EJER. 1'!AQ38)</f>
        <v/>
      </c>
      <c r="CN24" s="507" t="str">
        <f>IF('GASTOS EJER. 1'!AT38="","",'GASTOS EJER. 1'!AT38)</f>
        <v/>
      </c>
      <c r="CO24" s="593">
        <f>IF(OR(CM24="",CN24=""),0,DAYS360(CM24,CN24,TRUE)+1)</f>
        <v>0</v>
      </c>
      <c r="CP24" s="508">
        <f>IF(OR(CM24="",CN24=""),0,DATEDIF(CM24,CN24,"M")+1)</f>
        <v>0</v>
      </c>
      <c r="CQ24" s="16">
        <f t="shared" ref="CQ24:CQ31" si="124">IF(OR(CM24="",CN24=""),0,IF(YEAR(CM24)&lt;$AX$23,DATEDIF(DATE($AX$23,1,1),CN24,"M")+1,CP24))</f>
        <v>0</v>
      </c>
      <c r="CR24" s="603">
        <f>IF(OR(CM24="",CN24=""),0,ROUNDDOWN(CL24/CO24,2))</f>
        <v>0</v>
      </c>
      <c r="CS24" s="606">
        <f>IF(OR(CM24="",CN24=""),0,ROUND(CL24/CP24,2))</f>
        <v>0</v>
      </c>
      <c r="CU24" s="620">
        <v>1</v>
      </c>
      <c r="CV24" s="597">
        <f t="shared" ref="CV24:CV35" si="125">DATE($BC$21,CU24,1)</f>
        <v>45658</v>
      </c>
      <c r="CW24" s="600">
        <f>IF($CA$24="",0,IF($CW$22=0,0,IF(EOMONTH($CV24,0)&lt;$CM$24,0,IF($CN$24&lt;$CV24,0,IF(AND($CM$24&lt;=$CV24,$CN$24&gt;= EOMONTH($CV24,0)),ROUND(30*$CR$24,2),IF(AND($CV24&lt;=$CM$24, EOMONTH($CV24,0)&gt;$CM$24, EOMONTH($CV24,0)&lt;=$CN$24),ROUND($CR$24*DAYS360($CM$24, EOMONTH($CV24,0),TRUE),2),IF(AND($CV24&gt;=$CM$24,$CV24&lt;=$CN$24, EOMONTH($CV24,0)&gt;$CN$24),ROUND($CR$24*(DAYS360($CV24,$CN$24,TRUE)+1),2))))))))</f>
        <v>0</v>
      </c>
      <c r="CX24" s="640">
        <f>IF($CA$25="",0,IF($CX$22=0,0,IF(EOMONTH($CV24,0)&lt;$CM$25,0,IF($CN$25&lt;$CV24,0,IF(AND($CM$25&lt;=$CV24,$CN$25&gt;= EOMONTH($CV24,0)),ROUND(30*$CR$25,2),IF(AND($CV24&lt;=$CM$25, EOMONTH($CV24,0)&gt;$CM$25, EOMONTH($CV24,0)&lt;=$CN$25),ROUND($CR$25*DAYS360($CM$25, EOMONTH($CV24,0),TRUE),2),IF(AND($CV24&gt;=$CM$25,$CV24&lt;=$CN$25, EOMONTH($CV24,0)&gt;$CN$25),ROUND($CR$25*(DAYS360($CV24,$CN$25,TRUE)+1),2))))))))</f>
        <v>0</v>
      </c>
      <c r="CY24" s="640">
        <f>IF($CA$26="",0,IF($CY$22=0,0,IF(EOMONTH($CV24,0)&lt;$CM$26,0,IF($CN$26&lt;$CV24,0,IF(AND($CM$26&lt;=$CV24,$CN$26&gt;= EOMONTH($CV24,0)),ROUND(30*$CR$26,2),IF(AND($CV24&lt;=$CM$26, EOMONTH($CV24,0)&gt;$CM$26, EOMONTH($CV24,0)&lt;=$CN$26),ROUND($CR$26*DAYS360($CM$26, EOMONTH($CV24,0),TRUE),2),IF(AND($CV24&gt;=$CM$26,$CV24&lt;=$CN$26, EOMONTH($CV24,0)&gt;$CN$26),ROUND($CR$26*(DAYS360($CV24,$CN$26,TRUE)+1),2))))))))</f>
        <v>0</v>
      </c>
      <c r="CZ24" s="640">
        <f>IF($CA$27="",0,IF($CZ$22=0,0,IF(EOMONTH($CV24,0)&lt;$CM$27,0,IF($CN$27&lt;$CV24,0,IF(AND($CM$27&lt;=$CV24,$CN$27&gt;= EOMONTH($CV24,0)),ROUND(30*$CR$27,2),IF(AND($CV24&lt;=$CM$27, EOMONTH($CV24,0)&gt;$CM$27, EOMONTH($CV24,0)&lt;=$CN$27),ROUND($CR$27*DAYS360($CM$27, EOMONTH($CV24,0),TRUE),2),IF(AND($CV24&gt;=$CM$27,$CV24&lt;=$CN$27, EOMONTH($CV24,0)&gt;$CN$27),ROUND($CR$27*(DAYS360($CV24,$CN$27,TRUE)+1),2))))))))</f>
        <v>0</v>
      </c>
      <c r="DA24" s="640">
        <f>IF($CA$28="",0,IF($DA$22=0,0,IF(EOMONTH($CV24,0)&lt;$CM$28,0,IF($CN$28&lt;$CV24,0,IF(AND($CM$28&lt;=$CV24,$CN$28&gt;= EOMONTH($CV24,0)),ROUND(30*$CR$28,2),IF(AND($CV24&lt;=$CM$28, EOMONTH($CV24,0)&gt;$CM$28, EOMONTH($CV24,0)&lt;=$CN$28),ROUND($CR$28*DAYS360($CM$28, EOMONTH($CV24,0),TRUE),2),IF(AND($CV24&gt;=$CM$28,$CV24&lt;=$CN$28, EOMONTH($CV24,0)&gt;$CN$28),ROUND($CR$28*(DAYS360($CV24,$CN$28,TRUE)+1),2))))))))</f>
        <v>0</v>
      </c>
      <c r="DB24" s="640">
        <f>IF($CA$29="",0,IF($DB$22=0,0,IF(EOMONTH($CV24,0)&lt;$CM$29,0,IF($CN$29&lt;$CV24,0,IF(AND($CM$29&lt;=$CV24,$CN$29&gt;= EOMONTH($CV24,0)),ROUND(30*$CR$29,2),IF(AND($CV24&lt;=$CM$29, EOMONTH($CV24,0)&gt;$CM$29, EOMONTH($CV24,0)&lt;=$CN$29),ROUND($CR$29*DAYS360($CM$29, EOMONTH($CV24,0),TRUE),2),IF(AND($CV24&gt;=$CM$29,$CV24&lt;=$CN$29, EOMONTH($CV24,0)&gt;$CN$29),ROUND($CR$29*(DAYS360($CV24,$CN$29,TRUE)+1),2))))))))</f>
        <v>0</v>
      </c>
      <c r="DC24" s="640">
        <f>IF($CA$30="",0,IF($DC$22=0,0,IF(EOMONTH($CV24,0)&lt;$CM$30,0,IF($CN$30&lt;$CV24,0,IF(AND($CM$30&lt;=$CV24,$CN$30&gt;= EOMONTH($CV24,0)),ROUND(30*$CR$30,2),IF(AND($CV24&lt;=$CM$30, EOMONTH($CV24,0)&gt;$CM$30, EOMONTH($CV24,0)&lt;=$CN$30),ROUND($CR$30*DAYS360($CM$30, EOMONTH($CV24,0),TRUE),2),IF(AND($CV24&gt;=$CM$30,$CV24&lt;=$CN$30, EOMONTH($CV24,0)&gt;$CN$30),ROUND($CR$30*(DAYS360($CV24,$CN$30,TRUE)+1),2))))))))</f>
        <v>0</v>
      </c>
      <c r="DD24" s="641">
        <f>IF($CA$31="",0,IF($DD$22=0,0,IF(EOMONTH($CV24,0)&lt;$CM$31,0,IF($CN$31&lt;$CV24,0,IF(AND($CM$31&lt;=$CV24,$CN$31&gt;= EOMONTH($CV24,0)),ROUND(30*$CR$31,2),IF(AND($CV24&lt;=$CM$31, EOMONTH($CV24,0)&gt;$CM$31, EOMONTH($CV24,0)&lt;=$CN$31),ROUND($CR$31*DAYS360($CM$31, EOMONTH($CV24,0),TRUE),2),IF(AND($CV24&gt;=$CM$31,$CV24&lt;=$CN$31, EOMONTH($CV24,0)&gt;$CN$31),ROUND($CR$31*(DAYS360($CV24,$CN$31,TRUE)+1),2))))))))</f>
        <v>0</v>
      </c>
      <c r="DE24" s="642">
        <f>SUM(CW24:DD24)</f>
        <v>0</v>
      </c>
      <c r="DG24" s="600">
        <f t="shared" ref="DG24:DG35" si="126">IF($CA$40="",0,IF($DG$22=0,0,IF(EOMONTH($CV24,0)&lt;$CM$40,0,IF($CN$40&lt;$CV24,0,IF(AND($CM$40&lt;=$CV24,$CN$40&gt;= EOMONTH($CV24,0)),ROUND(30*$CR$40,2),IF(AND($CV24&lt;=$CM$40, EOMONTH($CV24,0)&gt;$CM$40, EOMONTH($CV24,0)&lt;=$CN$40),ROUND($CR$40*DAYS360($CM$40, EOMONTH($CV24,0),TRUE),2),IF(AND($CV24&gt;=$CM$40,$CV24&lt;=$CN$40, EOMONTH($CV24,0)&gt;$CN$40),ROUND($CR$40*(DAYS360($CV24,$CN$40,TRUE)+1),2))))))))</f>
        <v>0</v>
      </c>
      <c r="DH24" s="640">
        <f t="shared" ref="DH24:DH35" si="127">IF($CA$41="",0,IF($DH$22=0,0,IF(EOMONTH($CV24,0)&lt;$CM$41,0,IF($CN$41&lt;$CV24,0,IF(AND($CM$41&lt;=$CV24,$CN$41&gt;= EOMONTH($CV24,0)),ROUND(30*$CR$41,2),IF(AND($CV24&lt;=$CM$41, EOMONTH($CV24,0)&gt;$CM$41, EOMONTH($CV24,0)&lt;=$CN$41),ROUND($CR$41*DAYS360($CM$41, EOMONTH($CV24,0),TRUE),2),IF(AND($CV24&gt;=$CM$41,$CV24&lt;=$CN$41, EOMONTH($CV24,0)&gt;$CN$41),ROUND($CR$41*(DAYS360($CV24,$CN$41,TRUE)+1),2))))))))</f>
        <v>0</v>
      </c>
      <c r="DI24" s="640">
        <f t="shared" ref="DI24:DI35" si="128">IF($CA$42="",0,IF($DI$22=0,0,IF(EOMONTH($CV24,0)&lt;$CM$42,0,IF($CN$42&lt;$CV24,0,IF(AND($CM$42&lt;=$CV24,$CN$42&gt;= EOMONTH($CV24,0)),ROUND(30*$CR$42,2),IF(AND($CV24&lt;=$CM$42, EOMONTH($CV24,0)&gt;$CM$42, EOMONTH($CV24,0)&lt;=$CN$42),ROUND($CR$42*DAYS360($CM$42, EOMONTH($CV24,0),TRUE),2),IF(AND($CV24&gt;=$CM$42,$CV24&lt;=$CN$42, EOMONTH($CV24,0)&gt;$CN$42),ROUND($CR$42*(DAYS360($CV24,$CN$42,TRUE)+1),2))))))))</f>
        <v>0</v>
      </c>
      <c r="DJ24" s="640">
        <f t="shared" ref="DJ24:DJ35" si="129">IF($CA$43="",0,IF($DJ$22=0,0,IF(EOMONTH($CV24,0)&lt;$CM$43,0,IF($CN$43&lt;$CV24,0,IF(AND($CM$43&lt;=$CV24,$CN$43&gt;= EOMONTH($CV24,0)),ROUND(30*$CR$43,2),IF(AND($CV24&lt;=$CM$43, EOMONTH($CV24,0)&gt;$CM$43, EOMONTH($CV24,0)&lt;=$CN$43),ROUND($CR$43*DAYS360($CM$43, EOMONTH($CV24,0),TRUE),2),IF(AND($CV24&gt;=$CM$43,$CV24&lt;=$CN$43, EOMONTH($CV24,0)&gt;$CN$43),ROUND($CR$43*(DAYS360($CV24,$CN$43,TRUE)+1),2))))))))</f>
        <v>0</v>
      </c>
      <c r="DK24" s="640">
        <f t="shared" ref="DK24:DK35" si="130">IF($CA$44="",0,IF($DK$22=0,0,IF(EOMONTH($CV24,0)&lt;$CM$44,0,IF($CN$44&lt;$CV24,0,IF(AND($CM$44&lt;=$CV24,$CN$44&gt;= EOMONTH($CV24,0)),ROUND(30*$CR$44,2),IF(AND($CV24&lt;=$CM$44, EOMONTH($CV24,0)&gt;$CM$44, EOMONTH($CV24,0)&lt;=$CN$44),ROUND($CR$44*DAYS360($CM$44, EOMONTH($CV24,0),TRUE),2),IF(AND($CV24&gt;=$CM$44,$CV24&lt;=$CN$44, EOMONTH($CV24,0)&gt;$CN$44),ROUND($CR$44*(DAYS360($CV24,$CN$44,TRUE)+1),2))))))))</f>
        <v>0</v>
      </c>
      <c r="DL24" s="640">
        <f t="shared" ref="DL24:DL35" si="131">IF($CA$45="",0,IF($DL$22=0,0,IF(EOMONTH($CV24,0)&lt;$CM$45,0,IF($CN$45&lt;$CV24,0,IF(AND($CM$45&lt;=$CV24,$CN$45&gt;= EOMONTH($CV24,0)),ROUND(30*$CR$45,2),IF(AND($CV24&lt;=$CM$45, EOMONTH($CV24,0)&gt;$CM$45, EOMONTH($CV24,0)&lt;=$CN$45),ROUND($CR$45*DAYS360($CM$45, EOMONTH($CV24,0),TRUE),2),IF(AND($CV24&gt;=$CM$45,$CV24&lt;=$CN$45, EOMONTH($CV24,0)&gt;$CN$45),ROUND($CR$45*(DAYS360($CV24,$CN$45,TRUE)+1),2))))))))</f>
        <v>0</v>
      </c>
      <c r="DM24" s="640">
        <f t="shared" ref="DM24:DM35" si="132">IF($CA$46="",0,IF($DM$22=0,0,IF(EOMONTH($CV24,0)&lt;$CM$46,0,IF($CN$46&lt;$CV24,0,IF(AND($CM$46&lt;=$CV24,$CN$46&gt;= EOMONTH($CV24,0)),ROUND(30*$CR$46,2),IF(AND($CV24&lt;=$CM$46, EOMONTH($CV24,0)&gt;$CM$46, EOMONTH($CV24,0)&lt;=$CN$46),ROUND($CR$46*DAYS360($CM$46, EOMONTH($CV24,0),TRUE),2),IF(AND($CV24&gt;=$CM$46,$CV24&lt;=$CN$46, EOMONTH($CV24,0)&gt;$CN$46),ROUND($CR$46*(DAYS360($CV24,$CN$46,TRUE)+1),2))))))))</f>
        <v>0</v>
      </c>
      <c r="DN24" s="641">
        <f t="shared" ref="DN24:DN35" si="133">IF($CA$47="",0,IF($DN$22=0,0,IF(EOMONTH($CV24,0)&lt;$CM$47,0,IF($CN$47&lt;$CV24,0,IF(AND($CM$47&lt;=$CV24,$CN$47&gt;= EOMONTH($CV24,0)),ROUND(30*$CR$47,2),IF(AND($CV24&lt;=$CM$47, EOMONTH($CV24,0)&gt;$CM$47, EOMONTH($CV24,0)&lt;=$CN$47),ROUND($CR$47*DAYS360($CM$47, EOMONTH($CV24,0),TRUE),2),IF(AND($CV24&gt;=$CM$47,$CV24&lt;=$CN$47, EOMONTH($CV24,0)&gt;$CN$47),ROUND($CR$47*(DAYS360($CV24,$CN$47,TRUE)+1),2))))))))</f>
        <v>0</v>
      </c>
      <c r="DO24" s="654">
        <f t="shared" ref="DO24:DO35" si="134">SUM(DG24:DN24)</f>
        <v>0</v>
      </c>
      <c r="DQ24" s="657">
        <f>DE24+DO24</f>
        <v>0</v>
      </c>
      <c r="DS24" s="515">
        <v>2</v>
      </c>
      <c r="DT24" s="526">
        <f>'GASTOS EJER. 1'!$C39</f>
        <v>0</v>
      </c>
      <c r="DU24" s="524" t="str">
        <f t="shared" si="106"/>
        <v/>
      </c>
      <c r="DV24" s="524" t="str">
        <f t="shared" si="106"/>
        <v/>
      </c>
      <c r="DW24" s="14">
        <f t="shared" si="107"/>
        <v>0</v>
      </c>
      <c r="DX24" s="527">
        <f>'GASTOS EJER. 1'!X39</f>
        <v>0</v>
      </c>
      <c r="DY24" s="520" t="str">
        <f>IF(DX24=0,"",'GASTOS EJER. 1'!AA39)</f>
        <v/>
      </c>
      <c r="DZ24" s="520" t="str">
        <f t="shared" si="108"/>
        <v/>
      </c>
      <c r="EA24" s="518" t="e">
        <f>IF(AND(DZ24&gt;=EXPEDIENTE!$F$25,DZ24&lt;=EXPEDIENTE!$F$29),ROUNDDOWN(DX24/DW24,2),0)</f>
        <v>#DIV/0!</v>
      </c>
      <c r="EC24" s="14">
        <v>5</v>
      </c>
      <c r="ED24" s="482">
        <f t="shared" si="102"/>
        <v>45778</v>
      </c>
      <c r="EE24" s="482">
        <f t="shared" si="103"/>
        <v>45808</v>
      </c>
      <c r="EF24" s="14" t="str">
        <f>IF(AND(EE24&gt;=EXPEDIENTE!$F$25,ED24&lt;=EXPEDIENTE!$F$29),"SI","NO")</f>
        <v>SI</v>
      </c>
      <c r="EG24" s="11">
        <f t="shared" si="3"/>
        <v>0</v>
      </c>
      <c r="EH24" s="11">
        <f t="shared" si="4"/>
        <v>0</v>
      </c>
      <c r="EI24" s="11">
        <f t="shared" si="5"/>
        <v>0</v>
      </c>
      <c r="EJ24" s="11">
        <f t="shared" si="6"/>
        <v>0</v>
      </c>
      <c r="EK24" s="11">
        <f t="shared" si="7"/>
        <v>0</v>
      </c>
      <c r="EL24" s="11">
        <f t="shared" si="8"/>
        <v>0</v>
      </c>
      <c r="EM24" s="11">
        <f t="shared" si="9"/>
        <v>0</v>
      </c>
      <c r="EN24" s="11">
        <f t="shared" si="10"/>
        <v>0</v>
      </c>
      <c r="EO24" s="11">
        <f t="shared" si="11"/>
        <v>0</v>
      </c>
      <c r="EP24" s="11">
        <f t="shared" si="12"/>
        <v>0</v>
      </c>
      <c r="EQ24" s="11">
        <f t="shared" si="13"/>
        <v>0</v>
      </c>
      <c r="ER24" s="11">
        <f t="shared" si="14"/>
        <v>0</v>
      </c>
      <c r="ES24" s="11">
        <f t="shared" si="15"/>
        <v>0</v>
      </c>
      <c r="ET24" s="11">
        <f t="shared" si="16"/>
        <v>0</v>
      </c>
      <c r="EU24" s="11">
        <f t="shared" si="17"/>
        <v>0</v>
      </c>
      <c r="EV24" s="11">
        <f t="shared" si="18"/>
        <v>0</v>
      </c>
      <c r="EW24" s="11">
        <f t="shared" si="19"/>
        <v>0</v>
      </c>
      <c r="EX24" s="11">
        <f t="shared" si="20"/>
        <v>0</v>
      </c>
      <c r="EY24" s="11">
        <f t="shared" si="21"/>
        <v>0</v>
      </c>
      <c r="EZ24" s="11">
        <f t="shared" si="22"/>
        <v>0</v>
      </c>
      <c r="FA24" s="11">
        <f t="shared" si="23"/>
        <v>0</v>
      </c>
      <c r="FB24" s="11">
        <f t="shared" si="24"/>
        <v>0</v>
      </c>
      <c r="FC24" s="11">
        <f t="shared" si="25"/>
        <v>0</v>
      </c>
      <c r="FD24" s="11">
        <f t="shared" si="26"/>
        <v>0</v>
      </c>
      <c r="FE24" s="11">
        <f t="shared" si="27"/>
        <v>0</v>
      </c>
      <c r="FF24" s="11">
        <f t="shared" si="28"/>
        <v>0</v>
      </c>
      <c r="FG24" s="11">
        <f t="shared" si="29"/>
        <v>0</v>
      </c>
      <c r="FH24" s="11">
        <f t="shared" si="30"/>
        <v>0</v>
      </c>
      <c r="FI24" s="11">
        <f t="shared" si="31"/>
        <v>0</v>
      </c>
      <c r="FJ24" s="11">
        <f t="shared" si="32"/>
        <v>0</v>
      </c>
      <c r="FK24" s="11">
        <f t="shared" si="33"/>
        <v>0</v>
      </c>
      <c r="FL24" s="11">
        <f t="shared" si="34"/>
        <v>0</v>
      </c>
      <c r="FM24" s="11">
        <f t="shared" si="65"/>
        <v>0</v>
      </c>
      <c r="FO24" s="85">
        <v>2</v>
      </c>
      <c r="FP24" s="520">
        <f>DATE(YEAR(EXPEDIENTE!$F$25),FO24,1)</f>
        <v>45689</v>
      </c>
      <c r="FQ24" s="520" t="str">
        <f>IF('GASTOS EJER. 1'!I53="","",'GASTOS EJER. 1'!I53)</f>
        <v/>
      </c>
      <c r="FR24" s="527">
        <f>'GASTOS EJER. 1'!X21</f>
        <v>0</v>
      </c>
      <c r="FS24" s="527">
        <f>'GASTOS EJER. 1'!H53</f>
        <v>0</v>
      </c>
      <c r="FT24" s="11">
        <f t="shared" ref="FT24:FT34" si="135">VLOOKUP(FP24,$ED$7:$FM$69,36,FALSE)</f>
        <v>0</v>
      </c>
      <c r="FU24" s="527">
        <f t="shared" si="109"/>
        <v>0</v>
      </c>
      <c r="FW24" s="515">
        <v>2</v>
      </c>
      <c r="FX24" s="526">
        <f>'GASTOS EJER. 1'!$C39</f>
        <v>0</v>
      </c>
      <c r="FY24" s="524" t="str">
        <f t="shared" si="110"/>
        <v/>
      </c>
      <c r="FZ24" s="524" t="str">
        <f t="shared" si="110"/>
        <v/>
      </c>
      <c r="GA24" s="14">
        <f t="shared" si="111"/>
        <v>0</v>
      </c>
      <c r="GB24" s="527">
        <f>'GASTOS EJER. 1'!CM39</f>
        <v>0</v>
      </c>
      <c r="GC24" s="520" t="str">
        <f>IF(GB24=0,"",'GASTOS EJER. 1'!CT39)</f>
        <v/>
      </c>
      <c r="GD24" s="520" t="str">
        <f t="shared" si="112"/>
        <v/>
      </c>
      <c r="GE24" s="518" t="e">
        <f>IF(AND(GD24&gt;=EXPEDIENTE!$F$25,GD24&lt;=EXPEDIENTE!$F$29),ROUNDDOWN(GB24/GA24,2),0)</f>
        <v>#DIV/0!</v>
      </c>
      <c r="GG24" s="14">
        <v>5</v>
      </c>
      <c r="GH24" s="482">
        <f t="shared" si="104"/>
        <v>45778</v>
      </c>
      <c r="GI24" s="482">
        <f t="shared" si="105"/>
        <v>45808</v>
      </c>
      <c r="GJ24" s="14" t="str">
        <f>IF(AND(GI24&gt;=EXPEDIENTE!$F$25,GH24&lt;=EXPEDIENTE!$F$29),"SI","NO")</f>
        <v>SI</v>
      </c>
      <c r="GK24" s="11">
        <f t="shared" si="66"/>
        <v>0</v>
      </c>
      <c r="GL24" s="11">
        <f t="shared" si="67"/>
        <v>0</v>
      </c>
      <c r="GM24" s="11">
        <f t="shared" si="68"/>
        <v>0</v>
      </c>
      <c r="GN24" s="11">
        <f t="shared" si="69"/>
        <v>0</v>
      </c>
      <c r="GO24" s="11">
        <f t="shared" si="70"/>
        <v>0</v>
      </c>
      <c r="GP24" s="11">
        <f t="shared" si="71"/>
        <v>0</v>
      </c>
      <c r="GQ24" s="11">
        <f t="shared" si="72"/>
        <v>0</v>
      </c>
      <c r="GR24" s="11">
        <f t="shared" si="73"/>
        <v>0</v>
      </c>
      <c r="GS24" s="11">
        <f t="shared" si="74"/>
        <v>0</v>
      </c>
      <c r="GT24" s="11">
        <f t="shared" si="75"/>
        <v>0</v>
      </c>
      <c r="GU24" s="11">
        <f t="shared" si="76"/>
        <v>0</v>
      </c>
      <c r="GV24" s="11">
        <f t="shared" si="77"/>
        <v>0</v>
      </c>
      <c r="GW24" s="11">
        <f t="shared" si="78"/>
        <v>0</v>
      </c>
      <c r="GX24" s="11">
        <f t="shared" si="79"/>
        <v>0</v>
      </c>
      <c r="GY24" s="11">
        <f t="shared" si="80"/>
        <v>0</v>
      </c>
      <c r="GZ24" s="11">
        <f t="shared" si="81"/>
        <v>0</v>
      </c>
      <c r="HA24" s="11">
        <f t="shared" si="82"/>
        <v>0</v>
      </c>
      <c r="HB24" s="11">
        <f t="shared" si="83"/>
        <v>0</v>
      </c>
      <c r="HC24" s="11">
        <f t="shared" si="84"/>
        <v>0</v>
      </c>
      <c r="HD24" s="11">
        <f t="shared" si="85"/>
        <v>0</v>
      </c>
      <c r="HE24" s="11">
        <f t="shared" si="86"/>
        <v>0</v>
      </c>
      <c r="HF24" s="11">
        <f t="shared" si="87"/>
        <v>0</v>
      </c>
      <c r="HG24" s="11">
        <f t="shared" si="88"/>
        <v>0</v>
      </c>
      <c r="HH24" s="11">
        <f t="shared" si="89"/>
        <v>0</v>
      </c>
      <c r="HI24" s="11">
        <f t="shared" si="90"/>
        <v>0</v>
      </c>
      <c r="HJ24" s="11">
        <f t="shared" si="91"/>
        <v>0</v>
      </c>
      <c r="HK24" s="11">
        <f t="shared" si="92"/>
        <v>0</v>
      </c>
      <c r="HL24" s="11">
        <f t="shared" si="93"/>
        <v>0</v>
      </c>
      <c r="HM24" s="11">
        <f t="shared" si="94"/>
        <v>0</v>
      </c>
      <c r="HN24" s="11">
        <f t="shared" si="95"/>
        <v>0</v>
      </c>
      <c r="HO24" s="11">
        <f t="shared" si="96"/>
        <v>0</v>
      </c>
      <c r="HP24" s="11">
        <f t="shared" si="97"/>
        <v>0</v>
      </c>
      <c r="HQ24" s="11">
        <f t="shared" si="98"/>
        <v>0</v>
      </c>
      <c r="HT24" s="85">
        <v>2</v>
      </c>
      <c r="HU24" s="520">
        <f>DATE(YEAR(EXPEDIENTE!$F$25),HT24,1)</f>
        <v>45689</v>
      </c>
      <c r="HV24" s="520" t="str">
        <f>IF('GASTOS EJER. 1'!BF53="","",'GASTOS EJER. 1'!BF53)</f>
        <v/>
      </c>
      <c r="HW24" s="527">
        <f>'GASTOS EJER. 1'!CM21</f>
        <v>0</v>
      </c>
      <c r="HX24" s="527">
        <f>'GASTOS EJER. 1'!BA53</f>
        <v>0</v>
      </c>
      <c r="HY24" s="11">
        <f t="shared" ref="HY24:HY34" si="136">VLOOKUP(HU24,$GH$7:$HQ$69,36,FALSE)</f>
        <v>0</v>
      </c>
      <c r="HZ24" s="527">
        <f t="shared" si="113"/>
        <v>0</v>
      </c>
      <c r="JF24" s="485">
        <v>20</v>
      </c>
      <c r="JG24" s="474">
        <f t="shared" si="101"/>
        <v>6</v>
      </c>
    </row>
    <row r="25" spans="3:267" x14ac:dyDescent="0.3">
      <c r="C25" s="8">
        <v>19</v>
      </c>
      <c r="D25" s="12"/>
      <c r="E25" s="17"/>
      <c r="F25" s="18"/>
      <c r="G25" s="19"/>
      <c r="H25" s="19"/>
      <c r="I25" s="19"/>
      <c r="J25" s="12"/>
      <c r="K25" s="14">
        <f t="shared" si="43"/>
        <v>76</v>
      </c>
      <c r="L25" s="14">
        <f t="shared" si="44"/>
        <v>76</v>
      </c>
      <c r="M25" s="14" t="str">
        <f t="shared" si="45"/>
        <v>X</v>
      </c>
      <c r="V25" s="1134"/>
      <c r="W25" s="24"/>
      <c r="Y25" s="547">
        <f t="shared" si="46"/>
        <v>19</v>
      </c>
      <c r="Z25" s="478" t="str">
        <f>IF(Y25="","",IF(EDATE($Z$6,Y25)&gt;EXPEDIENTE!$F$27,"",EDATE($Z$6,Y25)))</f>
        <v/>
      </c>
      <c r="AA25" s="478" t="str">
        <f t="shared" si="0"/>
        <v/>
      </c>
      <c r="AB25" s="478" t="str">
        <f>IF(AA25="","",IF(YEAR(EXPEDIENTE!$F$25)=YEAR(AA25),AA25,""))</f>
        <v/>
      </c>
      <c r="AC25" s="478" t="str">
        <f>IF(AA25="","",IF(YEAR(EXPEDIENTE!$F$25)+1=YEAR(AA25),AA25,""))</f>
        <v/>
      </c>
      <c r="AD25" s="478" t="str">
        <f>IF(AA25="","",IF(YEAR(EXPEDIENTE!$F$25)+2=YEAR(AA25),AA25,""))</f>
        <v/>
      </c>
      <c r="AE25" s="478" t="str">
        <f>IF(AA25="","",IF(YEAR(EXPEDIENTE!$F$25)+3=YEAR(AA25),AA25,""))</f>
        <v/>
      </c>
      <c r="AG25" s="584">
        <v>2</v>
      </c>
      <c r="AH25" s="516">
        <f>'GASTOS EJER. 1'!M39</f>
        <v>0</v>
      </c>
      <c r="AI25" s="517">
        <f>'GASTOS EJER. 1'!X39</f>
        <v>0</v>
      </c>
      <c r="AJ25" s="587">
        <f>'GASTOS EJER. 1'!Y39</f>
        <v>0</v>
      </c>
      <c r="AK25" s="518">
        <f t="shared" ref="AK25:AK31" si="137">AH25-AI25</f>
        <v>0</v>
      </c>
      <c r="AM25" s="519">
        <f>'GASTOS EJER. 1'!F39+'GASTOS EJER. 1'!L39-'GASTOS EJER. 1'!X39-'GASTOS EJER. 1'!Y39</f>
        <v>0</v>
      </c>
      <c r="AN25" s="520" t="str">
        <f>IF('GASTOS EJER. 1'!AA39="","",'GASTOS EJER. 1'!AA39)</f>
        <v/>
      </c>
      <c r="AO25" s="517">
        <f>'GASTOS EJER. 1'!Y39</f>
        <v>0</v>
      </c>
      <c r="AP25" s="521" t="str">
        <f>IF('GASTOS EJER. 1'!AB39="","",'GASTOS EJER. 1'!AB39)</f>
        <v/>
      </c>
      <c r="AQ25" s="522">
        <f>IF(AND(AN25&gt;=EXPEDIENTE!$I$25,AN25&lt;=EXPEDIENTE!$I$29),AM25,0)</f>
        <v>0</v>
      </c>
      <c r="AR25" s="11">
        <f>IF(AND(AP25&gt;=EXPEDIENTE!$I$25,AP25&lt;=EXPEDIENTE!$I$29),AO25,0)</f>
        <v>0</v>
      </c>
      <c r="AS25" s="518">
        <f t="shared" ref="AS25:AS31" si="138">AQ25+AR25</f>
        <v>0</v>
      </c>
      <c r="AT25" s="523" t="str">
        <f>IF('GASTOS EJER. 1'!D39="","",'GASTOS EJER. 1'!D39)</f>
        <v/>
      </c>
      <c r="AU25" s="524" t="str">
        <f>IF('GASTOS EJER. 1'!E39="","",'GASTOS EJER. 1'!E39)</f>
        <v/>
      </c>
      <c r="AV25" s="594">
        <f t="shared" ref="AV25:AV31" si="139">IF(OR(AT25="",AU25=""),0,DAYS360(AT25,AU25,TRUE)+1)</f>
        <v>0</v>
      </c>
      <c r="AW25" s="525">
        <f t="shared" ref="AW25:AW31" si="140">IF(OR(AT25="",AU25=""),0,DATEDIF(AT25,AU25,"M")+1)</f>
        <v>0</v>
      </c>
      <c r="AX25" s="24">
        <f t="shared" ref="AX25:AX31" si="141">IF(OR(AT25="",AU25=""),0,IF(YEAR(AT25)&lt;$AX$23,DATEDIF(DATE($AX$23,1,1),AU25,"M")+1,AW25))</f>
        <v>0</v>
      </c>
      <c r="AY25" s="604">
        <f t="shared" ref="AY25:AY31" si="142">IF(OR(AT25="",AU25=""),0,ROUNDDOWN(AS25/AV25,2))</f>
        <v>0</v>
      </c>
      <c r="AZ25" s="607">
        <f t="shared" ref="AZ25:AZ31" si="143">IF(OR(AT25="",AU25=""),0,ROUND(AS25/AW25,2))</f>
        <v>0</v>
      </c>
      <c r="BB25" s="596">
        <v>2</v>
      </c>
      <c r="BC25" s="598">
        <f t="shared" si="114"/>
        <v>45689</v>
      </c>
      <c r="BD25" s="601">
        <f t="shared" ref="BD25:BD35" si="144">IF($AH$24="",0,IF($BD$22=0,0,IF(EOMONTH($BC25,0)&lt;$AT$24,0,IF($AU$24&lt;$BC25,0,IF(AND($AT$24&lt;=$BC25,$AU$24&gt;= EOMONTH($BC25,0)),ROUND(30*$AY$24,2),IF(AND($BC25&lt;=$AT$24, EOMONTH($BC25,0)&gt;$AT$24, EOMONTH($BC25,0)&lt;=$AU$24),ROUND($AY$24*DAYS360($AT$24, EOMONTH($BC25,0),TRUE),2),IF(AND($BC25&gt;=$AT$24,$BC25&lt;=$AU$24, EOMONTH($BC25,0)&gt;$AU$24),ROUND($AY$24*(DAYS360($BC25,$AU$24,TRUE)+1),2))))))))</f>
        <v>0</v>
      </c>
      <c r="BE25" s="643">
        <f t="shared" ref="BE25:BE35" si="145">IF($AH$25="",0,IF($BE$22=0,0,IF(EOMONTH($BC25,0)&lt;$AT$25,0,IF($AU$25&lt;$BC25,0,IF(AND($AT$25&lt;=$BC25,$AU$25&gt;= EOMONTH($BC25,0)),ROUND(30*$AY$25,2),IF(AND($BC25&lt;=$AT$25, EOMONTH($BC25,0)&gt;$AT$25, EOMONTH($BC25,0)&lt;=$AU$25),ROUND($AY$25*DAYS360($AT$25, EOMONTH($BC25,0),TRUE),2),IF(AND($BC25&gt;=$AT$25,$BC25&lt;=$AU$25, EOMONTH($BC25,0)&gt;$AU$25),ROUND($AY$25*(DAYS360($BC25,$AU$25,TRUE)+1),2))))))))</f>
        <v>0</v>
      </c>
      <c r="BF25" s="643">
        <f t="shared" ref="BF25:BF35" si="146">IF($AH$26="",0,IF($BF$22=0,0,IF(EOMONTH($BC25,0)&lt;$AT$26,0,IF($AU$26&lt;$BC25,0,IF(AND($AT$26&lt;=$BC25,$AU$26&gt;= EOMONTH($BC25,0)),ROUND(30*$AY$26,2),IF(AND($BC25&lt;=$AT$26, EOMONTH($BC25,0)&gt;$AT$26, EOMONTH($BC25,0)&lt;=$AU$26),ROUND($AY$26*DAYS360($AT$26, EOMONTH($BC25,0),TRUE),2),IF(AND($BC25&gt;=$AT$26,$BC25&lt;=$AU$26, EOMONTH($BC25,0)&gt;$AU$26),ROUND($AY$26*(DAYS360($BC25,$AU$26,TRUE)+1),2))))))))</f>
        <v>0</v>
      </c>
      <c r="BG25" s="643">
        <f t="shared" ref="BG25:BG35" si="147">IF($AH$27="",0,IF($BG$22=0,0,IF(EOMONTH($BC25,0)&lt;$AT$27,0,IF($AU$27&lt;$BC25,0,IF(AND($AT$27&lt;=$BC25,$AU$27&gt;= EOMONTH($BC25,0)),ROUND(30*$AY$27,2),IF(AND($BC25&lt;=$AT$27, EOMONTH($BC25,0)&gt;$AT$27, EOMONTH($BC25,0)&lt;=$AU$27),ROUND($AY$27*DAYS360($AT$27, EOMONTH($BC25,0),TRUE),2),IF(AND($BC25&gt;=$AT$27,$BC25&lt;=$AU$27, EOMONTH($BC25,0)&gt;$AU$27),ROUND($AY$27*(DAYS360($BC25,$AU$27,TRUE)+1),2))))))))</f>
        <v>0</v>
      </c>
      <c r="BH25" s="643">
        <f t="shared" ref="BH25:BH35" si="148">IF($AH$28="",0,IF($BH$22=0,0,IF(EOMONTH($BC25,0)&lt;$AT$28,0,IF($AU$28&lt;$BC25,0,IF(AND($AT$28&lt;=$BC25,$AU$28&gt;= EOMONTH($BC25,0)),ROUND(30*$AY$28,2),IF(AND($BC25&lt;=$AT$28, EOMONTH($BC25,0)&gt;$AT$28, EOMONTH($BC25,0)&lt;=$AU$28),ROUND($AY$28*DAYS360($AT$28, EOMONTH($BC25,0),TRUE),2),IF(AND($BC25&gt;=$AT$28,$BC25&lt;=$AU$28, EOMONTH($BC25,0)&gt;$AU$28),ROUND($AY$28*(DAYS360($BC25,$AU$28,TRUE)+1),2))))))))</f>
        <v>0</v>
      </c>
      <c r="BI25" s="643">
        <f t="shared" ref="BI25:BI35" si="149">IF($AH$29="",0,IF($BI$22=0,0,IF(EOMONTH($BC25,0)&lt;$AT$29,0,IF($AU$29&lt;$BC25,0,IF(AND($AT$29&lt;=$BC25,$AU$29&gt;= EOMONTH($BC25,0)),ROUND(30*$AY$29,2),IF(AND($BC25&lt;=$AT$29, EOMONTH($BC25,0)&gt;$AT$29, EOMONTH($BC25,0)&lt;=$AU$29),ROUND($AY$29*DAYS360($AT$29, EOMONTH($BC25,0),TRUE),2),IF(AND($BC25&gt;=$AT$29,$BC25&lt;=$AU$29, EOMONTH($BC25,0)&gt;$AU$29),ROUND($AY$29*(DAYS360($BC25,$AU$29,TRUE)+1),2))))))))</f>
        <v>0</v>
      </c>
      <c r="BJ25" s="643">
        <f t="shared" ref="BJ25:BJ35" si="150">IF($AH$30="",0,IF($BJ$22=0,0,IF(EOMONTH($BC25,0)&lt;$AT$30,0,IF($AU$30&lt;$BC25,0,IF(AND($AT$30&lt;=$BC25,$AU$30&gt;= EOMONTH($BC25,0)),ROUND(30*$AY$30,2),IF(AND($BC25&lt;=$AT$30, EOMONTH($BC25,0)&gt;$AT$30, EOMONTH($BC25,0)&lt;=$AU$30),ROUND($AY$30*DAYS360($AT$30, EOMONTH($BC25,0),TRUE),2),IF(AND($BC25&gt;=$AT$30,$BC25&lt;=$AU$30, EOMONTH($BC25,0)&gt;$AU$30),ROUND($AY$30*(DAYS360($BC25,$AU$30,TRUE)+1),2))))))))</f>
        <v>0</v>
      </c>
      <c r="BK25" s="644">
        <f t="shared" ref="BK25:BK35" si="151">IF($AH$31="",0,IF($BK$22=0,0,IF(EOMONTH($BC25,0)&lt;$AT$31,0,IF($AU$31&lt;$BC25,0,IF(AND($AT$31&lt;=$BC25,$AU$31&gt;= EOMONTH($BC25,0)),ROUND(30*$AY$31,2),IF(AND($BC25&lt;=$AT$31, EOMONTH($BC25,0)&gt;$AT$31, EOMONTH($BC25,0)&lt;=$AU$31),ROUND($AY$31*DAYS360($AT$31, EOMONTH($BC25,0),TRUE),2),IF(AND($BC25&gt;=$AT$31,$BC25&lt;=$AU$31, EOMONTH($BC25,0)&gt;$AU$31),ROUND($AY$31*(DAYS360($BC25,$AU$31,TRUE)+1),2))))))))</f>
        <v>0</v>
      </c>
      <c r="BL25" s="645">
        <f t="shared" ref="BL25:BL35" si="152">SUM(BD25:BK25)</f>
        <v>0</v>
      </c>
      <c r="BN25" s="621">
        <f t="shared" si="115"/>
        <v>0</v>
      </c>
      <c r="BO25" s="649">
        <f t="shared" si="116"/>
        <v>0</v>
      </c>
      <c r="BP25" s="649">
        <f t="shared" si="117"/>
        <v>0</v>
      </c>
      <c r="BQ25" s="649">
        <f t="shared" si="118"/>
        <v>0</v>
      </c>
      <c r="BR25" s="649">
        <f t="shared" si="119"/>
        <v>0</v>
      </c>
      <c r="BS25" s="649">
        <f t="shared" si="120"/>
        <v>0</v>
      </c>
      <c r="BT25" s="649">
        <f t="shared" si="121"/>
        <v>0</v>
      </c>
      <c r="BU25" s="650">
        <f t="shared" si="122"/>
        <v>0</v>
      </c>
      <c r="BV25" s="645">
        <f t="shared" si="123"/>
        <v>0</v>
      </c>
      <c r="BX25" s="645">
        <f t="shared" ref="BX25:BX35" si="153">BL25+BV25</f>
        <v>0</v>
      </c>
      <c r="BZ25" s="616">
        <v>2</v>
      </c>
      <c r="CA25" s="516">
        <f>'GASTOS EJER. 1'!BN39</f>
        <v>0</v>
      </c>
      <c r="CB25" s="517">
        <f>'GASTOS EJER. 1'!CM39</f>
        <v>0</v>
      </c>
      <c r="CC25" s="587">
        <f>'GASTOS EJER. 1'!CP39</f>
        <v>0</v>
      </c>
      <c r="CD25" s="518">
        <f t="shared" ref="CD25:CD31" si="154">CA25-CB25</f>
        <v>0</v>
      </c>
      <c r="CF25" s="519">
        <f>'GASTOS EJER. 1'!AW39+'GASTOS EJER. 1'!BM39-'GASTOS EJER. 1'!CM39-'GASTOS EJER. 1'!CP39</f>
        <v>0</v>
      </c>
      <c r="CG25" s="520" t="str">
        <f>IF('GASTOS EJER. 1'!CT39="","",'GASTOS EJER. 1'!CT39)</f>
        <v/>
      </c>
      <c r="CH25" s="517">
        <f>'GASTOS EJER. 1'!CP39</f>
        <v>0</v>
      </c>
      <c r="CI25" s="521" t="str">
        <f>IF('GASTOS EJER. 1'!CW39="","",'GASTOS EJER. 1'!CW39)</f>
        <v/>
      </c>
      <c r="CJ25" s="522">
        <f>IF(AND(CG25&gt;=EXPEDIENTE!$I$25,CG25&lt;=EXPEDIENTE!$I$29),CF25,0)</f>
        <v>0</v>
      </c>
      <c r="CK25" s="11">
        <f>IF(AND(CI25&gt;=EXPEDIENTE!$I$25,CI25&lt;=EXPEDIENTE!$I$29),CH25,0)</f>
        <v>0</v>
      </c>
      <c r="CL25" s="518">
        <f t="shared" ref="CL25:CL31" si="155">CJ25+CK25</f>
        <v>0</v>
      </c>
      <c r="CM25" s="523" t="str">
        <f>IF('GASTOS EJER. 1'!AQ39="","",'GASTOS EJER. 1'!AQ39)</f>
        <v/>
      </c>
      <c r="CN25" s="524" t="str">
        <f>IF('GASTOS EJER. 1'!AT39="","",'GASTOS EJER. 1'!AT39)</f>
        <v/>
      </c>
      <c r="CO25" s="594">
        <f t="shared" ref="CO25:CO31" si="156">IF(OR(CM25="",CN25=""),0,DAYS360(CM25,CN25,TRUE)+1)</f>
        <v>0</v>
      </c>
      <c r="CP25" s="525">
        <f t="shared" ref="CP25:CP31" si="157">IF(OR(CM25="",CN25=""),0,DATEDIF(CM25,CN25,"M")+1)</f>
        <v>0</v>
      </c>
      <c r="CQ25" s="24">
        <f t="shared" si="124"/>
        <v>0</v>
      </c>
      <c r="CR25" s="604">
        <f t="shared" ref="CR25:CR31" si="158">IF(OR(CM25="",CN25=""),0,ROUNDDOWN(CL25/CO25,2))</f>
        <v>0</v>
      </c>
      <c r="CS25" s="607">
        <f t="shared" ref="CS25:CS31" si="159">IF(OR(CM25="",CN25=""),0,ROUND(CL25/CP25,2))</f>
        <v>0</v>
      </c>
      <c r="CU25" s="620">
        <v>2</v>
      </c>
      <c r="CV25" s="598">
        <f t="shared" si="125"/>
        <v>45689</v>
      </c>
      <c r="CW25" s="621">
        <f t="shared" ref="CW25:CW35" si="160">IF($CA$24="",0,IF($CW$22=0,0,IF(EOMONTH($CV25,0)&lt;$CM$24,0,IF($CN$24&lt;$CV25,0,IF(AND($CM$24&lt;=$CV25,$CN$24&gt;= EOMONTH($CV25,0)),ROUND(30*$CR$24,2),IF(AND($CV25&lt;=$CM$24, EOMONTH($CV25,0)&gt;$CM$24, EOMONTH($CV25,0)&lt;=$CN$24),ROUND($CR$24*DAYS360($CM$24, EOMONTH($CV25,0),TRUE),2),IF(AND($CV25&gt;=$CM$24,$CV25&lt;=$CN$24, EOMONTH($CV25,0)&gt;$CN$24),ROUND($CR$24*(DAYS360($CV25,$CN$24,TRUE)+1),2))))))))</f>
        <v>0</v>
      </c>
      <c r="CX25" s="649">
        <f t="shared" ref="CX25:CX35" si="161">IF($CA$25="",0,IF($CX$22=0,0,IF(EOMONTH($CV25,0)&lt;$CM$25,0,IF($CN$25&lt;$CV25,0,IF(AND($CM$25&lt;=$CV25,$CN$25&gt;= EOMONTH($CV25,0)),ROUND(30*$CR$25,2),IF(AND($CV25&lt;=$CM$25, EOMONTH($CV25,0)&gt;$CM$25, EOMONTH($CV25,0)&lt;=$CN$25),ROUND($CR$25*DAYS360($CM$25, EOMONTH($CV25,0),TRUE),2),IF(AND($CV25&gt;=$CM$25,$CV25&lt;=$CN$25, EOMONTH($CV25,0)&gt;$CN$25),ROUND($CR$25*(DAYS360($CV25,$CN$25,TRUE)+1),2))))))))</f>
        <v>0</v>
      </c>
      <c r="CY25" s="649">
        <f t="shared" ref="CY25:CY35" si="162">IF($CA$26="",0,IF($CY$22=0,0,IF(EOMONTH($CV25,0)&lt;$CM$26,0,IF($CN$26&lt;$CV25,0,IF(AND($CM$26&lt;=$CV25,$CN$26&gt;= EOMONTH($CV25,0)),ROUND(30*$CR$26,2),IF(AND($CV25&lt;=$CM$26, EOMONTH($CV25,0)&gt;$CM$26, EOMONTH($CV25,0)&lt;=$CN$26),ROUND($CR$26*DAYS360($CM$26, EOMONTH($CV25,0),TRUE),2),IF(AND($CV25&gt;=$CM$26,$CV25&lt;=$CN$26, EOMONTH($CV25,0)&gt;$CN$26),ROUND($CR$26*(DAYS360($CV25,$CN$26,TRUE)+1),2))))))))</f>
        <v>0</v>
      </c>
      <c r="CZ25" s="649">
        <f t="shared" ref="CZ25:CZ35" si="163">IF($CA$27="",0,IF($CZ$22=0,0,IF(EOMONTH($CV25,0)&lt;$CM$27,0,IF($CN$27&lt;$CV25,0,IF(AND($CM$27&lt;=$CV25,$CN$27&gt;= EOMONTH($CV25,0)),ROUND(30*$CR$27,2),IF(AND($CV25&lt;=$CM$27, EOMONTH($CV25,0)&gt;$CM$27, EOMONTH($CV25,0)&lt;=$CN$27),ROUND($CR$27*DAYS360($CM$27, EOMONTH($CV25,0),TRUE),2),IF(AND($CV25&gt;=$CM$27,$CV25&lt;=$CN$27, EOMONTH($CV25,0)&gt;$CN$27),ROUND($CR$27*(DAYS360($CV25,$CN$27,TRUE)+1),2))))))))</f>
        <v>0</v>
      </c>
      <c r="DA25" s="649">
        <f t="shared" ref="DA25:DA35" si="164">IF($CA$28="",0,IF($DA$22=0,0,IF(EOMONTH($CV25,0)&lt;$CM$28,0,IF($CN$28&lt;$CV25,0,IF(AND($CM$28&lt;=$CV25,$CN$28&gt;= EOMONTH($CV25,0)),ROUND(30*$CR$28,2),IF(AND($CV25&lt;=$CM$28, EOMONTH($CV25,0)&gt;$CM$28, EOMONTH($CV25,0)&lt;=$CN$28),ROUND($CR$28*DAYS360($CM$28, EOMONTH($CV25,0),TRUE),2),IF(AND($CV25&gt;=$CM$28,$CV25&lt;=$CN$28, EOMONTH($CV25,0)&gt;$CN$28),ROUND($CR$28*(DAYS360($CV25,$CN$28,TRUE)+1),2))))))))</f>
        <v>0</v>
      </c>
      <c r="DB25" s="649">
        <f t="shared" ref="DB25:DB35" si="165">IF($CA$29="",0,IF($DB$22=0,0,IF(EOMONTH($CV25,0)&lt;$CM$29,0,IF($CN$29&lt;$CV25,0,IF(AND($CM$29&lt;=$CV25,$CN$29&gt;= EOMONTH($CV25,0)),ROUND(30*$CR$29,2),IF(AND($CV25&lt;=$CM$29, EOMONTH($CV25,0)&gt;$CM$29, EOMONTH($CV25,0)&lt;=$CN$29),ROUND($CR$29*DAYS360($CM$29, EOMONTH($CV25,0),TRUE),2),IF(AND($CV25&gt;=$CM$29,$CV25&lt;=$CN$29, EOMONTH($CV25,0)&gt;$CN$29),ROUND($CR$29*(DAYS360($CV25,$CN$29,TRUE)+1),2))))))))</f>
        <v>0</v>
      </c>
      <c r="DC25" s="649">
        <f t="shared" ref="DC25:DC35" si="166">IF($CA$30="",0,IF($DC$22=0,0,IF(EOMONTH($CV25,0)&lt;$CM$30,0,IF($CN$30&lt;$CV25,0,IF(AND($CM$30&lt;=$CV25,$CN$30&gt;= EOMONTH($CV25,0)),ROUND(30*$CR$30,2),IF(AND($CV25&lt;=$CM$30, EOMONTH($CV25,0)&gt;$CM$30, EOMONTH($CV25,0)&lt;=$CN$30),ROUND($CR$30*DAYS360($CM$30, EOMONTH($CV25,0),TRUE),2),IF(AND($CV25&gt;=$CM$30,$CV25&lt;=$CN$30, EOMONTH($CV25,0)&gt;$CN$30),ROUND($CR$30*(DAYS360($CV25,$CN$30,TRUE)+1),2))))))))</f>
        <v>0</v>
      </c>
      <c r="DD25" s="650">
        <f t="shared" ref="DD25:DD35" si="167">IF($CA$31="",0,IF($DD$22=0,0,IF(EOMONTH($CV25,0)&lt;$CM$31,0,IF($CN$31&lt;$CV25,0,IF(AND($CM$31&lt;=$CV25,$CN$31&gt;= EOMONTH($CV25,0)),ROUND(30*$CR$31,2),IF(AND($CV25&lt;=$CM$31, EOMONTH($CV25,0)&gt;$CM$31, EOMONTH($CV25,0)&lt;=$CN$31),ROUND($CR$31*DAYS360($CM$31, EOMONTH($CV25,0),TRUE),2),IF(AND($CV25&gt;=$CM$31,$CV25&lt;=$CN$31, EOMONTH($CV25,0)&gt;$CN$31),ROUND($CR$31*(DAYS360($CV25,$CN$31,TRUE)+1),2))))))))</f>
        <v>0</v>
      </c>
      <c r="DE25" s="645">
        <f t="shared" ref="DE25:DE35" si="168">SUM(CW25:DD25)</f>
        <v>0</v>
      </c>
      <c r="DG25" s="621">
        <f t="shared" si="126"/>
        <v>0</v>
      </c>
      <c r="DH25" s="649">
        <f t="shared" si="127"/>
        <v>0</v>
      </c>
      <c r="DI25" s="649">
        <f t="shared" si="128"/>
        <v>0</v>
      </c>
      <c r="DJ25" s="649">
        <f t="shared" si="129"/>
        <v>0</v>
      </c>
      <c r="DK25" s="649">
        <f t="shared" si="130"/>
        <v>0</v>
      </c>
      <c r="DL25" s="649">
        <f t="shared" si="131"/>
        <v>0</v>
      </c>
      <c r="DM25" s="649">
        <f t="shared" si="132"/>
        <v>0</v>
      </c>
      <c r="DN25" s="650">
        <f t="shared" si="133"/>
        <v>0</v>
      </c>
      <c r="DO25" s="655">
        <f t="shared" si="134"/>
        <v>0</v>
      </c>
      <c r="DQ25" s="655">
        <f t="shared" ref="DQ25:DQ35" si="169">DE25+DO25</f>
        <v>0</v>
      </c>
      <c r="DS25" s="515">
        <v>3</v>
      </c>
      <c r="DT25" s="526">
        <f>'GASTOS EJER. 1'!$C40</f>
        <v>0</v>
      </c>
      <c r="DU25" s="524" t="str">
        <f t="shared" si="106"/>
        <v/>
      </c>
      <c r="DV25" s="524" t="str">
        <f t="shared" si="106"/>
        <v/>
      </c>
      <c r="DW25" s="14">
        <f t="shared" si="107"/>
        <v>0</v>
      </c>
      <c r="DX25" s="527">
        <f>'GASTOS EJER. 1'!X40</f>
        <v>0</v>
      </c>
      <c r="DY25" s="520" t="str">
        <f>IF(DX25=0,"",'GASTOS EJER. 1'!AA40)</f>
        <v/>
      </c>
      <c r="DZ25" s="520" t="str">
        <f t="shared" si="108"/>
        <v/>
      </c>
      <c r="EA25" s="518" t="e">
        <f>IF(AND(DZ25&gt;=EXPEDIENTE!$F$25,DZ25&lt;=EXPEDIENTE!$F$29),ROUNDDOWN(DX25/DW25,2),0)</f>
        <v>#DIV/0!</v>
      </c>
      <c r="EC25" s="14">
        <v>6</v>
      </c>
      <c r="ED25" s="482">
        <f t="shared" si="102"/>
        <v>45809</v>
      </c>
      <c r="EE25" s="482">
        <f t="shared" si="103"/>
        <v>45838</v>
      </c>
      <c r="EF25" s="14" t="str">
        <f>IF(AND(EE25&gt;=EXPEDIENTE!$F$25,ED25&lt;=EXPEDIENTE!$F$29),"SI","NO")</f>
        <v>SI</v>
      </c>
      <c r="EG25" s="11">
        <f t="shared" si="3"/>
        <v>0</v>
      </c>
      <c r="EH25" s="11">
        <f t="shared" si="4"/>
        <v>0</v>
      </c>
      <c r="EI25" s="11">
        <f t="shared" si="5"/>
        <v>0</v>
      </c>
      <c r="EJ25" s="11">
        <f t="shared" si="6"/>
        <v>0</v>
      </c>
      <c r="EK25" s="11">
        <f t="shared" si="7"/>
        <v>0</v>
      </c>
      <c r="EL25" s="11">
        <f t="shared" si="8"/>
        <v>0</v>
      </c>
      <c r="EM25" s="11">
        <f t="shared" si="9"/>
        <v>0</v>
      </c>
      <c r="EN25" s="11">
        <f t="shared" si="10"/>
        <v>0</v>
      </c>
      <c r="EO25" s="11">
        <f t="shared" si="11"/>
        <v>0</v>
      </c>
      <c r="EP25" s="11">
        <f t="shared" si="12"/>
        <v>0</v>
      </c>
      <c r="EQ25" s="11">
        <f t="shared" si="13"/>
        <v>0</v>
      </c>
      <c r="ER25" s="11">
        <f t="shared" si="14"/>
        <v>0</v>
      </c>
      <c r="ES25" s="11">
        <f t="shared" si="15"/>
        <v>0</v>
      </c>
      <c r="ET25" s="11">
        <f t="shared" si="16"/>
        <v>0</v>
      </c>
      <c r="EU25" s="11">
        <f t="shared" si="17"/>
        <v>0</v>
      </c>
      <c r="EV25" s="11">
        <f t="shared" si="18"/>
        <v>0</v>
      </c>
      <c r="EW25" s="11">
        <f t="shared" si="19"/>
        <v>0</v>
      </c>
      <c r="EX25" s="11">
        <f t="shared" si="20"/>
        <v>0</v>
      </c>
      <c r="EY25" s="11">
        <f t="shared" si="21"/>
        <v>0</v>
      </c>
      <c r="EZ25" s="11">
        <f t="shared" si="22"/>
        <v>0</v>
      </c>
      <c r="FA25" s="11">
        <f t="shared" si="23"/>
        <v>0</v>
      </c>
      <c r="FB25" s="11">
        <f t="shared" si="24"/>
        <v>0</v>
      </c>
      <c r="FC25" s="11">
        <f t="shared" si="25"/>
        <v>0</v>
      </c>
      <c r="FD25" s="11">
        <f t="shared" si="26"/>
        <v>0</v>
      </c>
      <c r="FE25" s="11">
        <f t="shared" si="27"/>
        <v>0</v>
      </c>
      <c r="FF25" s="11">
        <f t="shared" si="28"/>
        <v>0</v>
      </c>
      <c r="FG25" s="11">
        <f t="shared" si="29"/>
        <v>0</v>
      </c>
      <c r="FH25" s="11">
        <f t="shared" si="30"/>
        <v>0</v>
      </c>
      <c r="FI25" s="11">
        <f t="shared" si="31"/>
        <v>0</v>
      </c>
      <c r="FJ25" s="11">
        <f t="shared" si="32"/>
        <v>0</v>
      </c>
      <c r="FK25" s="11">
        <f t="shared" si="33"/>
        <v>0</v>
      </c>
      <c r="FL25" s="11">
        <f t="shared" si="34"/>
        <v>0</v>
      </c>
      <c r="FM25" s="11">
        <f t="shared" si="65"/>
        <v>0</v>
      </c>
      <c r="FO25" s="85">
        <v>3</v>
      </c>
      <c r="FP25" s="520">
        <f>DATE(YEAR(EXPEDIENTE!$F$25),FO25,1)</f>
        <v>45717</v>
      </c>
      <c r="FQ25" s="520" t="str">
        <f>IF('GASTOS EJER. 1'!I54="","",'GASTOS EJER. 1'!I54)</f>
        <v/>
      </c>
      <c r="FR25" s="527">
        <f>'GASTOS EJER. 1'!X22</f>
        <v>0</v>
      </c>
      <c r="FS25" s="527">
        <f>'GASTOS EJER. 1'!H54</f>
        <v>0</v>
      </c>
      <c r="FT25" s="11">
        <f t="shared" si="135"/>
        <v>0</v>
      </c>
      <c r="FU25" s="527">
        <f t="shared" si="109"/>
        <v>0</v>
      </c>
      <c r="FW25" s="515">
        <v>3</v>
      </c>
      <c r="FX25" s="526">
        <f>'GASTOS EJER. 1'!$C40</f>
        <v>0</v>
      </c>
      <c r="FY25" s="524" t="str">
        <f t="shared" si="110"/>
        <v/>
      </c>
      <c r="FZ25" s="524" t="str">
        <f t="shared" si="110"/>
        <v/>
      </c>
      <c r="GA25" s="14">
        <f t="shared" si="111"/>
        <v>0</v>
      </c>
      <c r="GB25" s="527">
        <f>'GASTOS EJER. 1'!CM40</f>
        <v>0</v>
      </c>
      <c r="GC25" s="520" t="str">
        <f>IF(GB25=0,"",'GASTOS EJER. 1'!CT40)</f>
        <v/>
      </c>
      <c r="GD25" s="520" t="str">
        <f t="shared" si="112"/>
        <v/>
      </c>
      <c r="GE25" s="518" t="e">
        <f>IF(AND(GD25&gt;=EXPEDIENTE!$F$25,GD25&lt;=EXPEDIENTE!$F$29),ROUNDDOWN(GB25/GA25,2),0)</f>
        <v>#DIV/0!</v>
      </c>
      <c r="GG25" s="14">
        <v>6</v>
      </c>
      <c r="GH25" s="482">
        <f t="shared" si="104"/>
        <v>45809</v>
      </c>
      <c r="GI25" s="482">
        <f t="shared" si="105"/>
        <v>45838</v>
      </c>
      <c r="GJ25" s="14" t="str">
        <f>IF(AND(GI25&gt;=EXPEDIENTE!$F$25,GH25&lt;=EXPEDIENTE!$F$29),"SI","NO")</f>
        <v>SI</v>
      </c>
      <c r="GK25" s="11">
        <f t="shared" si="66"/>
        <v>0</v>
      </c>
      <c r="GL25" s="11">
        <f t="shared" si="67"/>
        <v>0</v>
      </c>
      <c r="GM25" s="11">
        <f t="shared" si="68"/>
        <v>0</v>
      </c>
      <c r="GN25" s="11">
        <f t="shared" si="69"/>
        <v>0</v>
      </c>
      <c r="GO25" s="11">
        <f t="shared" si="70"/>
        <v>0</v>
      </c>
      <c r="GP25" s="11">
        <f t="shared" si="71"/>
        <v>0</v>
      </c>
      <c r="GQ25" s="11">
        <f t="shared" si="72"/>
        <v>0</v>
      </c>
      <c r="GR25" s="11">
        <f t="shared" si="73"/>
        <v>0</v>
      </c>
      <c r="GS25" s="11">
        <f t="shared" si="74"/>
        <v>0</v>
      </c>
      <c r="GT25" s="11">
        <f t="shared" si="75"/>
        <v>0</v>
      </c>
      <c r="GU25" s="11">
        <f t="shared" si="76"/>
        <v>0</v>
      </c>
      <c r="GV25" s="11">
        <f t="shared" si="77"/>
        <v>0</v>
      </c>
      <c r="GW25" s="11">
        <f t="shared" si="78"/>
        <v>0</v>
      </c>
      <c r="GX25" s="11">
        <f t="shared" si="79"/>
        <v>0</v>
      </c>
      <c r="GY25" s="11">
        <f t="shared" si="80"/>
        <v>0</v>
      </c>
      <c r="GZ25" s="11">
        <f t="shared" si="81"/>
        <v>0</v>
      </c>
      <c r="HA25" s="11">
        <f t="shared" si="82"/>
        <v>0</v>
      </c>
      <c r="HB25" s="11">
        <f t="shared" si="83"/>
        <v>0</v>
      </c>
      <c r="HC25" s="11">
        <f t="shared" si="84"/>
        <v>0</v>
      </c>
      <c r="HD25" s="11">
        <f t="shared" si="85"/>
        <v>0</v>
      </c>
      <c r="HE25" s="11">
        <f t="shared" si="86"/>
        <v>0</v>
      </c>
      <c r="HF25" s="11">
        <f t="shared" si="87"/>
        <v>0</v>
      </c>
      <c r="HG25" s="11">
        <f t="shared" si="88"/>
        <v>0</v>
      </c>
      <c r="HH25" s="11">
        <f t="shared" si="89"/>
        <v>0</v>
      </c>
      <c r="HI25" s="11">
        <f t="shared" si="90"/>
        <v>0</v>
      </c>
      <c r="HJ25" s="11">
        <f t="shared" si="91"/>
        <v>0</v>
      </c>
      <c r="HK25" s="11">
        <f t="shared" si="92"/>
        <v>0</v>
      </c>
      <c r="HL25" s="11">
        <f t="shared" si="93"/>
        <v>0</v>
      </c>
      <c r="HM25" s="11">
        <f t="shared" si="94"/>
        <v>0</v>
      </c>
      <c r="HN25" s="11">
        <f t="shared" si="95"/>
        <v>0</v>
      </c>
      <c r="HO25" s="11">
        <f t="shared" si="96"/>
        <v>0</v>
      </c>
      <c r="HP25" s="11">
        <f t="shared" si="97"/>
        <v>0</v>
      </c>
      <c r="HQ25" s="11">
        <f t="shared" si="98"/>
        <v>0</v>
      </c>
      <c r="HT25" s="85">
        <v>3</v>
      </c>
      <c r="HU25" s="520">
        <f>DATE(YEAR(EXPEDIENTE!$F$25),HT25,1)</f>
        <v>45717</v>
      </c>
      <c r="HV25" s="520" t="str">
        <f>IF('GASTOS EJER. 1'!BF54="","",'GASTOS EJER. 1'!BF54)</f>
        <v/>
      </c>
      <c r="HW25" s="527">
        <f>'GASTOS EJER. 1'!CM22</f>
        <v>0</v>
      </c>
      <c r="HX25" s="527">
        <f>'GASTOS EJER. 1'!BA54</f>
        <v>0</v>
      </c>
      <c r="HY25" s="11">
        <f t="shared" si="136"/>
        <v>0</v>
      </c>
      <c r="HZ25" s="527">
        <f t="shared" si="113"/>
        <v>0</v>
      </c>
      <c r="JF25" s="477">
        <v>21</v>
      </c>
      <c r="JG25" s="474">
        <f t="shared" si="101"/>
        <v>8</v>
      </c>
    </row>
    <row r="26" spans="3:267" x14ac:dyDescent="0.3">
      <c r="C26" s="8">
        <v>20</v>
      </c>
      <c r="D26" s="12"/>
      <c r="E26" s="17"/>
      <c r="F26" s="18"/>
      <c r="G26" s="19"/>
      <c r="H26" s="19"/>
      <c r="I26" s="19"/>
      <c r="J26" s="12"/>
      <c r="K26" s="14">
        <f t="shared" si="43"/>
        <v>76</v>
      </c>
      <c r="L26" s="14">
        <f t="shared" si="44"/>
        <v>76</v>
      </c>
      <c r="M26" s="14" t="str">
        <f t="shared" si="45"/>
        <v>X</v>
      </c>
      <c r="V26" s="1134"/>
      <c r="W26" s="24"/>
      <c r="Y26" s="547">
        <f t="shared" si="46"/>
        <v>20</v>
      </c>
      <c r="Z26" s="478" t="str">
        <f>IF(Y26="","",IF(EDATE($Z$6,Y26)&gt;EXPEDIENTE!$F$27,"",EDATE($Z$6,Y26)))</f>
        <v/>
      </c>
      <c r="AA26" s="478" t="str">
        <f t="shared" si="0"/>
        <v/>
      </c>
      <c r="AB26" s="478" t="str">
        <f>IF(AA26="","",IF(YEAR(EXPEDIENTE!$F$25)=YEAR(AA26),AA26,""))</f>
        <v/>
      </c>
      <c r="AC26" s="478" t="str">
        <f>IF(AA26="","",IF(YEAR(EXPEDIENTE!$F$25)+1=YEAR(AA26),AA26,""))</f>
        <v/>
      </c>
      <c r="AD26" s="478" t="str">
        <f>IF(AA26="","",IF(YEAR(EXPEDIENTE!$F$25)+2=YEAR(AA26),AA26,""))</f>
        <v/>
      </c>
      <c r="AE26" s="478" t="str">
        <f>IF(AA26="","",IF(YEAR(EXPEDIENTE!$F$25)+3=YEAR(AA26),AA26,""))</f>
        <v/>
      </c>
      <c r="AG26" s="584">
        <v>3</v>
      </c>
      <c r="AH26" s="516">
        <f>'GASTOS EJER. 1'!M40</f>
        <v>0</v>
      </c>
      <c r="AI26" s="517">
        <f>'GASTOS EJER. 1'!X40</f>
        <v>0</v>
      </c>
      <c r="AJ26" s="587">
        <f>'GASTOS EJER. 1'!Y40</f>
        <v>0</v>
      </c>
      <c r="AK26" s="518">
        <f t="shared" si="137"/>
        <v>0</v>
      </c>
      <c r="AM26" s="519">
        <f>'GASTOS EJER. 1'!F40+'GASTOS EJER. 1'!L40-'GASTOS EJER. 1'!X40-'GASTOS EJER. 1'!Y40</f>
        <v>0</v>
      </c>
      <c r="AN26" s="520" t="str">
        <f>IF('GASTOS EJER. 1'!AA40="","",'GASTOS EJER. 1'!AA40)</f>
        <v/>
      </c>
      <c r="AO26" s="517">
        <f>'GASTOS EJER. 1'!Y40</f>
        <v>0</v>
      </c>
      <c r="AP26" s="521" t="str">
        <f>IF('GASTOS EJER. 1'!AB40="","",'GASTOS EJER. 1'!AB40)</f>
        <v/>
      </c>
      <c r="AQ26" s="522">
        <f>IF(AND(AN26&gt;=EXPEDIENTE!$I$25,AN26&lt;=EXPEDIENTE!$I$29),AM26,0)</f>
        <v>0</v>
      </c>
      <c r="AR26" s="11">
        <f>IF(AND(AP26&gt;=EXPEDIENTE!$I$25,AP26&lt;=EXPEDIENTE!$I$29),AO26,0)</f>
        <v>0</v>
      </c>
      <c r="AS26" s="518">
        <f t="shared" si="138"/>
        <v>0</v>
      </c>
      <c r="AT26" s="523" t="str">
        <f>IF('GASTOS EJER. 1'!D40="","",'GASTOS EJER. 1'!D40)</f>
        <v/>
      </c>
      <c r="AU26" s="524" t="str">
        <f>IF('GASTOS EJER. 1'!E40="","",'GASTOS EJER. 1'!E40)</f>
        <v/>
      </c>
      <c r="AV26" s="594">
        <f t="shared" si="139"/>
        <v>0</v>
      </c>
      <c r="AW26" s="525">
        <f t="shared" si="140"/>
        <v>0</v>
      </c>
      <c r="AX26" s="24">
        <f t="shared" si="141"/>
        <v>0</v>
      </c>
      <c r="AY26" s="604">
        <f t="shared" si="142"/>
        <v>0</v>
      </c>
      <c r="AZ26" s="607">
        <f t="shared" si="143"/>
        <v>0</v>
      </c>
      <c r="BB26" s="596">
        <v>3</v>
      </c>
      <c r="BC26" s="598">
        <f t="shared" si="114"/>
        <v>45717</v>
      </c>
      <c r="BD26" s="601">
        <f t="shared" si="144"/>
        <v>0</v>
      </c>
      <c r="BE26" s="643">
        <f t="shared" si="145"/>
        <v>0</v>
      </c>
      <c r="BF26" s="643">
        <f t="shared" si="146"/>
        <v>0</v>
      </c>
      <c r="BG26" s="643">
        <f t="shared" si="147"/>
        <v>0</v>
      </c>
      <c r="BH26" s="643">
        <f t="shared" si="148"/>
        <v>0</v>
      </c>
      <c r="BI26" s="643">
        <f t="shared" si="149"/>
        <v>0</v>
      </c>
      <c r="BJ26" s="643">
        <f t="shared" si="150"/>
        <v>0</v>
      </c>
      <c r="BK26" s="644">
        <f t="shared" si="151"/>
        <v>0</v>
      </c>
      <c r="BL26" s="645">
        <f t="shared" si="152"/>
        <v>0</v>
      </c>
      <c r="BN26" s="621">
        <f t="shared" si="115"/>
        <v>0</v>
      </c>
      <c r="BO26" s="649">
        <f t="shared" si="116"/>
        <v>0</v>
      </c>
      <c r="BP26" s="649">
        <f t="shared" si="117"/>
        <v>0</v>
      </c>
      <c r="BQ26" s="649">
        <f t="shared" si="118"/>
        <v>0</v>
      </c>
      <c r="BR26" s="649">
        <f t="shared" si="119"/>
        <v>0</v>
      </c>
      <c r="BS26" s="649">
        <f t="shared" si="120"/>
        <v>0</v>
      </c>
      <c r="BT26" s="649">
        <f t="shared" si="121"/>
        <v>0</v>
      </c>
      <c r="BU26" s="650">
        <f t="shared" si="122"/>
        <v>0</v>
      </c>
      <c r="BV26" s="645">
        <f t="shared" si="123"/>
        <v>0</v>
      </c>
      <c r="BX26" s="645">
        <f t="shared" si="153"/>
        <v>0</v>
      </c>
      <c r="BZ26" s="616">
        <v>3</v>
      </c>
      <c r="CA26" s="516">
        <f>'GASTOS EJER. 1'!BN40</f>
        <v>0</v>
      </c>
      <c r="CB26" s="517">
        <f>'GASTOS EJER. 1'!CM40</f>
        <v>0</v>
      </c>
      <c r="CC26" s="587">
        <f>'GASTOS EJER. 1'!CP40</f>
        <v>0</v>
      </c>
      <c r="CD26" s="518">
        <f t="shared" si="154"/>
        <v>0</v>
      </c>
      <c r="CF26" s="519">
        <f>'GASTOS EJER. 1'!AW40+'GASTOS EJER. 1'!BM40-'GASTOS EJER. 1'!CM40-'GASTOS EJER. 1'!CP40</f>
        <v>0</v>
      </c>
      <c r="CG26" s="520" t="str">
        <f>IF('GASTOS EJER. 1'!CT40="","",'GASTOS EJER. 1'!CT40)</f>
        <v/>
      </c>
      <c r="CH26" s="517">
        <f>'GASTOS EJER. 1'!CP40</f>
        <v>0</v>
      </c>
      <c r="CI26" s="521" t="str">
        <f>IF('GASTOS EJER. 1'!CW40="","",'GASTOS EJER. 1'!CW40)</f>
        <v/>
      </c>
      <c r="CJ26" s="522">
        <f>IF(AND(CG26&gt;=EXPEDIENTE!$I$25,CG26&lt;=EXPEDIENTE!$I$29),CF26,0)</f>
        <v>0</v>
      </c>
      <c r="CK26" s="11">
        <f>IF(AND(CI26&gt;=EXPEDIENTE!$I$25,CI26&lt;=EXPEDIENTE!$I$29),CH26,0)</f>
        <v>0</v>
      </c>
      <c r="CL26" s="518">
        <f t="shared" si="155"/>
        <v>0</v>
      </c>
      <c r="CM26" s="523" t="str">
        <f>IF('GASTOS EJER. 1'!AQ40="","",'GASTOS EJER. 1'!AQ40)</f>
        <v/>
      </c>
      <c r="CN26" s="524" t="str">
        <f>IF('GASTOS EJER. 1'!AT40="","",'GASTOS EJER. 1'!AT40)</f>
        <v/>
      </c>
      <c r="CO26" s="594">
        <f t="shared" si="156"/>
        <v>0</v>
      </c>
      <c r="CP26" s="525">
        <f t="shared" si="157"/>
        <v>0</v>
      </c>
      <c r="CQ26" s="24">
        <f t="shared" si="124"/>
        <v>0</v>
      </c>
      <c r="CR26" s="604">
        <f t="shared" si="158"/>
        <v>0</v>
      </c>
      <c r="CS26" s="607">
        <f t="shared" si="159"/>
        <v>0</v>
      </c>
      <c r="CU26" s="620">
        <v>3</v>
      </c>
      <c r="CV26" s="598">
        <f t="shared" si="125"/>
        <v>45717</v>
      </c>
      <c r="CW26" s="621">
        <f t="shared" si="160"/>
        <v>0</v>
      </c>
      <c r="CX26" s="649">
        <f t="shared" si="161"/>
        <v>0</v>
      </c>
      <c r="CY26" s="649">
        <f t="shared" si="162"/>
        <v>0</v>
      </c>
      <c r="CZ26" s="649">
        <f t="shared" si="163"/>
        <v>0</v>
      </c>
      <c r="DA26" s="649">
        <f t="shared" si="164"/>
        <v>0</v>
      </c>
      <c r="DB26" s="649">
        <f t="shared" si="165"/>
        <v>0</v>
      </c>
      <c r="DC26" s="649">
        <f t="shared" si="166"/>
        <v>0</v>
      </c>
      <c r="DD26" s="650">
        <f t="shared" si="167"/>
        <v>0</v>
      </c>
      <c r="DE26" s="645">
        <f t="shared" si="168"/>
        <v>0</v>
      </c>
      <c r="DG26" s="621">
        <f t="shared" si="126"/>
        <v>0</v>
      </c>
      <c r="DH26" s="649">
        <f t="shared" si="127"/>
        <v>0</v>
      </c>
      <c r="DI26" s="649">
        <f t="shared" si="128"/>
        <v>0</v>
      </c>
      <c r="DJ26" s="649">
        <f t="shared" si="129"/>
        <v>0</v>
      </c>
      <c r="DK26" s="649">
        <f t="shared" si="130"/>
        <v>0</v>
      </c>
      <c r="DL26" s="649">
        <f t="shared" si="131"/>
        <v>0</v>
      </c>
      <c r="DM26" s="649">
        <f t="shared" si="132"/>
        <v>0</v>
      </c>
      <c r="DN26" s="650">
        <f t="shared" si="133"/>
        <v>0</v>
      </c>
      <c r="DO26" s="655">
        <f t="shared" si="134"/>
        <v>0</v>
      </c>
      <c r="DQ26" s="655">
        <f t="shared" si="169"/>
        <v>0</v>
      </c>
      <c r="DS26" s="515">
        <v>4</v>
      </c>
      <c r="DT26" s="526">
        <f>'GASTOS EJER. 1'!$C41</f>
        <v>0</v>
      </c>
      <c r="DU26" s="524" t="str">
        <f t="shared" si="106"/>
        <v/>
      </c>
      <c r="DV26" s="524" t="str">
        <f t="shared" si="106"/>
        <v/>
      </c>
      <c r="DW26" s="14">
        <f t="shared" si="107"/>
        <v>0</v>
      </c>
      <c r="DX26" s="527">
        <f>'GASTOS EJER. 1'!X41</f>
        <v>0</v>
      </c>
      <c r="DY26" s="520" t="str">
        <f>IF(DX26=0,"",'GASTOS EJER. 1'!AA41)</f>
        <v/>
      </c>
      <c r="DZ26" s="520" t="str">
        <f t="shared" si="108"/>
        <v/>
      </c>
      <c r="EA26" s="518" t="e">
        <f>IF(AND(DZ26&gt;=EXPEDIENTE!$F$25,DZ26&lt;=EXPEDIENTE!$F$29),ROUNDDOWN(DX26/DW26,2),0)</f>
        <v>#DIV/0!</v>
      </c>
      <c r="EC26" s="14">
        <v>7</v>
      </c>
      <c r="ED26" s="482">
        <f t="shared" si="102"/>
        <v>45839</v>
      </c>
      <c r="EE26" s="482">
        <f t="shared" si="103"/>
        <v>45869</v>
      </c>
      <c r="EF26" s="14" t="str">
        <f>IF(AND(EE26&gt;=EXPEDIENTE!$F$25,ED26&lt;=EXPEDIENTE!$F$29),"SI","NO")</f>
        <v>SI</v>
      </c>
      <c r="EG26" s="11">
        <f t="shared" si="3"/>
        <v>0</v>
      </c>
      <c r="EH26" s="11">
        <f t="shared" si="4"/>
        <v>0</v>
      </c>
      <c r="EI26" s="11">
        <f t="shared" si="5"/>
        <v>0</v>
      </c>
      <c r="EJ26" s="11">
        <f t="shared" si="6"/>
        <v>0</v>
      </c>
      <c r="EK26" s="11">
        <f t="shared" si="7"/>
        <v>0</v>
      </c>
      <c r="EL26" s="11">
        <f t="shared" si="8"/>
        <v>0</v>
      </c>
      <c r="EM26" s="11">
        <f t="shared" si="9"/>
        <v>0</v>
      </c>
      <c r="EN26" s="11">
        <f t="shared" si="10"/>
        <v>0</v>
      </c>
      <c r="EO26" s="11">
        <f t="shared" si="11"/>
        <v>0</v>
      </c>
      <c r="EP26" s="11">
        <f t="shared" si="12"/>
        <v>0</v>
      </c>
      <c r="EQ26" s="11">
        <f t="shared" si="13"/>
        <v>0</v>
      </c>
      <c r="ER26" s="11">
        <f t="shared" si="14"/>
        <v>0</v>
      </c>
      <c r="ES26" s="11">
        <f t="shared" si="15"/>
        <v>0</v>
      </c>
      <c r="ET26" s="11">
        <f t="shared" si="16"/>
        <v>0</v>
      </c>
      <c r="EU26" s="11">
        <f t="shared" si="17"/>
        <v>0</v>
      </c>
      <c r="EV26" s="11">
        <f t="shared" si="18"/>
        <v>0</v>
      </c>
      <c r="EW26" s="11">
        <f t="shared" si="19"/>
        <v>0</v>
      </c>
      <c r="EX26" s="11">
        <f t="shared" si="20"/>
        <v>0</v>
      </c>
      <c r="EY26" s="11">
        <f t="shared" si="21"/>
        <v>0</v>
      </c>
      <c r="EZ26" s="11">
        <f t="shared" si="22"/>
        <v>0</v>
      </c>
      <c r="FA26" s="11">
        <f t="shared" si="23"/>
        <v>0</v>
      </c>
      <c r="FB26" s="11">
        <f t="shared" si="24"/>
        <v>0</v>
      </c>
      <c r="FC26" s="11">
        <f t="shared" si="25"/>
        <v>0</v>
      </c>
      <c r="FD26" s="11">
        <f t="shared" si="26"/>
        <v>0</v>
      </c>
      <c r="FE26" s="11">
        <f t="shared" si="27"/>
        <v>0</v>
      </c>
      <c r="FF26" s="11">
        <f t="shared" si="28"/>
        <v>0</v>
      </c>
      <c r="FG26" s="11">
        <f t="shared" si="29"/>
        <v>0</v>
      </c>
      <c r="FH26" s="11">
        <f t="shared" si="30"/>
        <v>0</v>
      </c>
      <c r="FI26" s="11">
        <f t="shared" si="31"/>
        <v>0</v>
      </c>
      <c r="FJ26" s="11">
        <f t="shared" si="32"/>
        <v>0</v>
      </c>
      <c r="FK26" s="11">
        <f t="shared" si="33"/>
        <v>0</v>
      </c>
      <c r="FL26" s="11">
        <f t="shared" si="34"/>
        <v>0</v>
      </c>
      <c r="FM26" s="11">
        <f t="shared" si="65"/>
        <v>0</v>
      </c>
      <c r="FO26" s="85">
        <v>4</v>
      </c>
      <c r="FP26" s="520">
        <f>DATE(YEAR(EXPEDIENTE!$F$25),FO26,1)</f>
        <v>45748</v>
      </c>
      <c r="FQ26" s="520" t="str">
        <f>IF('GASTOS EJER. 1'!I55="","",'GASTOS EJER. 1'!I55)</f>
        <v/>
      </c>
      <c r="FR26" s="527">
        <f>'GASTOS EJER. 1'!X23</f>
        <v>0</v>
      </c>
      <c r="FS26" s="527">
        <f>'GASTOS EJER. 1'!H55</f>
        <v>0</v>
      </c>
      <c r="FT26" s="11">
        <f t="shared" si="135"/>
        <v>0</v>
      </c>
      <c r="FU26" s="527">
        <f t="shared" si="109"/>
        <v>0</v>
      </c>
      <c r="FW26" s="515">
        <v>4</v>
      </c>
      <c r="FX26" s="526">
        <f>'GASTOS EJER. 1'!$C41</f>
        <v>0</v>
      </c>
      <c r="FY26" s="524" t="str">
        <f t="shared" si="110"/>
        <v/>
      </c>
      <c r="FZ26" s="524" t="str">
        <f t="shared" si="110"/>
        <v/>
      </c>
      <c r="GA26" s="14">
        <f t="shared" si="111"/>
        <v>0</v>
      </c>
      <c r="GB26" s="527">
        <f>'GASTOS EJER. 1'!CM41</f>
        <v>0</v>
      </c>
      <c r="GC26" s="520" t="str">
        <f>IF(GB26=0,"",'GASTOS EJER. 1'!CT41)</f>
        <v/>
      </c>
      <c r="GD26" s="520" t="str">
        <f t="shared" si="112"/>
        <v/>
      </c>
      <c r="GE26" s="518" t="e">
        <f>IF(AND(GD26&gt;=EXPEDIENTE!$F$25,GD26&lt;=EXPEDIENTE!$F$29),ROUNDDOWN(GB26/GA26,2),0)</f>
        <v>#DIV/0!</v>
      </c>
      <c r="GG26" s="14">
        <v>7</v>
      </c>
      <c r="GH26" s="482">
        <f t="shared" si="104"/>
        <v>45839</v>
      </c>
      <c r="GI26" s="482">
        <f t="shared" si="105"/>
        <v>45869</v>
      </c>
      <c r="GJ26" s="14" t="str">
        <f>IF(AND(GI26&gt;=EXPEDIENTE!$F$25,GH26&lt;=EXPEDIENTE!$F$29),"SI","NO")</f>
        <v>SI</v>
      </c>
      <c r="GK26" s="11">
        <f t="shared" si="66"/>
        <v>0</v>
      </c>
      <c r="GL26" s="11">
        <f t="shared" si="67"/>
        <v>0</v>
      </c>
      <c r="GM26" s="11">
        <f t="shared" si="68"/>
        <v>0</v>
      </c>
      <c r="GN26" s="11">
        <f t="shared" si="69"/>
        <v>0</v>
      </c>
      <c r="GO26" s="11">
        <f t="shared" si="70"/>
        <v>0</v>
      </c>
      <c r="GP26" s="11">
        <f t="shared" si="71"/>
        <v>0</v>
      </c>
      <c r="GQ26" s="11">
        <f t="shared" si="72"/>
        <v>0</v>
      </c>
      <c r="GR26" s="11">
        <f t="shared" si="73"/>
        <v>0</v>
      </c>
      <c r="GS26" s="11">
        <f t="shared" si="74"/>
        <v>0</v>
      </c>
      <c r="GT26" s="11">
        <f t="shared" si="75"/>
        <v>0</v>
      </c>
      <c r="GU26" s="11">
        <f t="shared" si="76"/>
        <v>0</v>
      </c>
      <c r="GV26" s="11">
        <f t="shared" si="77"/>
        <v>0</v>
      </c>
      <c r="GW26" s="11">
        <f t="shared" si="78"/>
        <v>0</v>
      </c>
      <c r="GX26" s="11">
        <f t="shared" si="79"/>
        <v>0</v>
      </c>
      <c r="GY26" s="11">
        <f t="shared" si="80"/>
        <v>0</v>
      </c>
      <c r="GZ26" s="11">
        <f t="shared" si="81"/>
        <v>0</v>
      </c>
      <c r="HA26" s="11">
        <f t="shared" si="82"/>
        <v>0</v>
      </c>
      <c r="HB26" s="11">
        <f t="shared" si="83"/>
        <v>0</v>
      </c>
      <c r="HC26" s="11">
        <f t="shared" si="84"/>
        <v>0</v>
      </c>
      <c r="HD26" s="11">
        <f t="shared" si="85"/>
        <v>0</v>
      </c>
      <c r="HE26" s="11">
        <f t="shared" si="86"/>
        <v>0</v>
      </c>
      <c r="HF26" s="11">
        <f t="shared" si="87"/>
        <v>0</v>
      </c>
      <c r="HG26" s="11">
        <f t="shared" si="88"/>
        <v>0</v>
      </c>
      <c r="HH26" s="11">
        <f t="shared" si="89"/>
        <v>0</v>
      </c>
      <c r="HI26" s="11">
        <f t="shared" si="90"/>
        <v>0</v>
      </c>
      <c r="HJ26" s="11">
        <f t="shared" si="91"/>
        <v>0</v>
      </c>
      <c r="HK26" s="11">
        <f t="shared" si="92"/>
        <v>0</v>
      </c>
      <c r="HL26" s="11">
        <f t="shared" si="93"/>
        <v>0</v>
      </c>
      <c r="HM26" s="11">
        <f t="shared" si="94"/>
        <v>0</v>
      </c>
      <c r="HN26" s="11">
        <f t="shared" si="95"/>
        <v>0</v>
      </c>
      <c r="HO26" s="11">
        <f t="shared" si="96"/>
        <v>0</v>
      </c>
      <c r="HP26" s="11">
        <f t="shared" si="97"/>
        <v>0</v>
      </c>
      <c r="HQ26" s="11">
        <f t="shared" si="98"/>
        <v>0</v>
      </c>
      <c r="HT26" s="85">
        <v>4</v>
      </c>
      <c r="HU26" s="520">
        <f>DATE(YEAR(EXPEDIENTE!$F$25),HT26,1)</f>
        <v>45748</v>
      </c>
      <c r="HV26" s="520" t="str">
        <f>IF('GASTOS EJER. 1'!BF55="","",'GASTOS EJER. 1'!BF55)</f>
        <v/>
      </c>
      <c r="HW26" s="527">
        <f>'GASTOS EJER. 1'!CM23</f>
        <v>0</v>
      </c>
      <c r="HX26" s="527">
        <f>'GASTOS EJER. 1'!BA55</f>
        <v>0</v>
      </c>
      <c r="HY26" s="11">
        <f t="shared" si="136"/>
        <v>0</v>
      </c>
      <c r="HZ26" s="527">
        <f t="shared" si="113"/>
        <v>0</v>
      </c>
      <c r="JF26" s="480">
        <v>22</v>
      </c>
      <c r="JG26" s="474">
        <f t="shared" si="101"/>
        <v>8</v>
      </c>
    </row>
    <row r="27" spans="3:267" ht="15.75" thickBot="1" x14ac:dyDescent="0.35">
      <c r="C27" s="8">
        <v>21</v>
      </c>
      <c r="D27" s="12"/>
      <c r="E27" s="17"/>
      <c r="F27" s="18"/>
      <c r="G27" s="19"/>
      <c r="H27" s="19"/>
      <c r="I27" s="19"/>
      <c r="J27" s="12"/>
      <c r="K27" s="14">
        <f t="shared" si="43"/>
        <v>76</v>
      </c>
      <c r="L27" s="14">
        <f t="shared" si="44"/>
        <v>76</v>
      </c>
      <c r="M27" s="14" t="str">
        <f t="shared" si="45"/>
        <v>X</v>
      </c>
      <c r="V27" s="1135"/>
      <c r="W27" s="20" t="s">
        <v>453</v>
      </c>
      <c r="Y27" s="547">
        <f t="shared" si="46"/>
        <v>21</v>
      </c>
      <c r="Z27" s="478" t="str">
        <f>IF(Y27="","",IF(EDATE($Z$6,Y27)&gt;EXPEDIENTE!$F$27,"",EDATE($Z$6,Y27)))</f>
        <v/>
      </c>
      <c r="AA27" s="478" t="str">
        <f t="shared" si="0"/>
        <v/>
      </c>
      <c r="AB27" s="478" t="str">
        <f>IF(AA27="","",IF(YEAR(EXPEDIENTE!$F$25)=YEAR(AA27),AA27,""))</f>
        <v/>
      </c>
      <c r="AC27" s="478" t="str">
        <f>IF(AA27="","",IF(YEAR(EXPEDIENTE!$F$25)+1=YEAR(AA27),AA27,""))</f>
        <v/>
      </c>
      <c r="AD27" s="478" t="str">
        <f>IF(AA27="","",IF(YEAR(EXPEDIENTE!$F$25)+2=YEAR(AA27),AA27,""))</f>
        <v/>
      </c>
      <c r="AE27" s="478" t="str">
        <f>IF(AA27="","",IF(YEAR(EXPEDIENTE!$F$25)+3=YEAR(AA27),AA27,""))</f>
        <v/>
      </c>
      <c r="AG27" s="584">
        <v>4</v>
      </c>
      <c r="AH27" s="516">
        <f>'GASTOS EJER. 1'!M41</f>
        <v>0</v>
      </c>
      <c r="AI27" s="517">
        <f>'GASTOS EJER. 1'!X41</f>
        <v>0</v>
      </c>
      <c r="AJ27" s="587">
        <f>'GASTOS EJER. 1'!Y41</f>
        <v>0</v>
      </c>
      <c r="AK27" s="518">
        <f t="shared" si="137"/>
        <v>0</v>
      </c>
      <c r="AM27" s="519">
        <f>'GASTOS EJER. 1'!F41+'GASTOS EJER. 1'!L41-'GASTOS EJER. 1'!X41-'GASTOS EJER. 1'!Y41</f>
        <v>0</v>
      </c>
      <c r="AN27" s="520" t="str">
        <f>IF('GASTOS EJER. 1'!AA41="","",'GASTOS EJER. 1'!AA41)</f>
        <v/>
      </c>
      <c r="AO27" s="517">
        <f>'GASTOS EJER. 1'!Y41</f>
        <v>0</v>
      </c>
      <c r="AP27" s="521" t="str">
        <f>IF('GASTOS EJER. 1'!AB41="","",'GASTOS EJER. 1'!AB41)</f>
        <v/>
      </c>
      <c r="AQ27" s="522">
        <f>IF(AND(AN27&gt;=EXPEDIENTE!$I$25,AN27&lt;=EXPEDIENTE!$I$29),AM27,0)</f>
        <v>0</v>
      </c>
      <c r="AR27" s="11">
        <f>IF(AND(AP27&gt;=EXPEDIENTE!$I$25,AP27&lt;=EXPEDIENTE!$I$29),AO27,0)</f>
        <v>0</v>
      </c>
      <c r="AS27" s="518">
        <f t="shared" si="138"/>
        <v>0</v>
      </c>
      <c r="AT27" s="523" t="str">
        <f>IF('GASTOS EJER. 1'!D41="","",'GASTOS EJER. 1'!D41)</f>
        <v/>
      </c>
      <c r="AU27" s="524" t="str">
        <f>IF('GASTOS EJER. 1'!E41="","",'GASTOS EJER. 1'!E41)</f>
        <v/>
      </c>
      <c r="AV27" s="594">
        <f t="shared" si="139"/>
        <v>0</v>
      </c>
      <c r="AW27" s="525">
        <f t="shared" si="140"/>
        <v>0</v>
      </c>
      <c r="AX27" s="24">
        <f t="shared" si="141"/>
        <v>0</v>
      </c>
      <c r="AY27" s="604">
        <f t="shared" si="142"/>
        <v>0</v>
      </c>
      <c r="AZ27" s="607">
        <f t="shared" si="143"/>
        <v>0</v>
      </c>
      <c r="BB27" s="596">
        <v>4</v>
      </c>
      <c r="BC27" s="598">
        <f t="shared" si="114"/>
        <v>45748</v>
      </c>
      <c r="BD27" s="601">
        <f t="shared" si="144"/>
        <v>0</v>
      </c>
      <c r="BE27" s="643">
        <f t="shared" si="145"/>
        <v>0</v>
      </c>
      <c r="BF27" s="643">
        <f t="shared" si="146"/>
        <v>0</v>
      </c>
      <c r="BG27" s="643">
        <f t="shared" si="147"/>
        <v>0</v>
      </c>
      <c r="BH27" s="643">
        <f t="shared" si="148"/>
        <v>0</v>
      </c>
      <c r="BI27" s="643">
        <f t="shared" si="149"/>
        <v>0</v>
      </c>
      <c r="BJ27" s="643">
        <f t="shared" si="150"/>
        <v>0</v>
      </c>
      <c r="BK27" s="644">
        <f t="shared" si="151"/>
        <v>0</v>
      </c>
      <c r="BL27" s="645">
        <f t="shared" si="152"/>
        <v>0</v>
      </c>
      <c r="BN27" s="621">
        <f t="shared" si="115"/>
        <v>0</v>
      </c>
      <c r="BO27" s="649">
        <f t="shared" si="116"/>
        <v>0</v>
      </c>
      <c r="BP27" s="649">
        <f t="shared" si="117"/>
        <v>0</v>
      </c>
      <c r="BQ27" s="649">
        <f t="shared" si="118"/>
        <v>0</v>
      </c>
      <c r="BR27" s="649">
        <f t="shared" si="119"/>
        <v>0</v>
      </c>
      <c r="BS27" s="649">
        <f t="shared" si="120"/>
        <v>0</v>
      </c>
      <c r="BT27" s="649">
        <f t="shared" si="121"/>
        <v>0</v>
      </c>
      <c r="BU27" s="650">
        <f t="shared" si="122"/>
        <v>0</v>
      </c>
      <c r="BV27" s="645">
        <f t="shared" si="123"/>
        <v>0</v>
      </c>
      <c r="BX27" s="645">
        <f t="shared" si="153"/>
        <v>0</v>
      </c>
      <c r="BZ27" s="616">
        <v>4</v>
      </c>
      <c r="CA27" s="516">
        <f>'GASTOS EJER. 1'!BN41</f>
        <v>0</v>
      </c>
      <c r="CB27" s="517">
        <f>'GASTOS EJER. 1'!CM41</f>
        <v>0</v>
      </c>
      <c r="CC27" s="587">
        <f>'GASTOS EJER. 1'!CP41</f>
        <v>0</v>
      </c>
      <c r="CD27" s="518">
        <f t="shared" si="154"/>
        <v>0</v>
      </c>
      <c r="CF27" s="519">
        <f>'GASTOS EJER. 1'!AW41+'GASTOS EJER. 1'!BM41-'GASTOS EJER. 1'!CM41-'GASTOS EJER. 1'!CP41</f>
        <v>0</v>
      </c>
      <c r="CG27" s="520" t="str">
        <f>IF('GASTOS EJER. 1'!CT41="","",'GASTOS EJER. 1'!CT41)</f>
        <v/>
      </c>
      <c r="CH27" s="517">
        <f>'GASTOS EJER. 1'!CP41</f>
        <v>0</v>
      </c>
      <c r="CI27" s="521" t="str">
        <f>IF('GASTOS EJER. 1'!CW41="","",'GASTOS EJER. 1'!CW41)</f>
        <v/>
      </c>
      <c r="CJ27" s="522">
        <f>IF(AND(CG27&gt;=EXPEDIENTE!$I$25,CG27&lt;=EXPEDIENTE!$I$29),CF27,0)</f>
        <v>0</v>
      </c>
      <c r="CK27" s="11">
        <f>IF(AND(CI27&gt;=EXPEDIENTE!$I$25,CI27&lt;=EXPEDIENTE!$I$29),CH27,0)</f>
        <v>0</v>
      </c>
      <c r="CL27" s="518">
        <f t="shared" si="155"/>
        <v>0</v>
      </c>
      <c r="CM27" s="523" t="str">
        <f>IF('GASTOS EJER. 1'!AQ41="","",'GASTOS EJER. 1'!AQ41)</f>
        <v/>
      </c>
      <c r="CN27" s="524" t="str">
        <f>IF('GASTOS EJER. 1'!AT41="","",'GASTOS EJER. 1'!AT41)</f>
        <v/>
      </c>
      <c r="CO27" s="594">
        <f t="shared" si="156"/>
        <v>0</v>
      </c>
      <c r="CP27" s="525">
        <f t="shared" si="157"/>
        <v>0</v>
      </c>
      <c r="CQ27" s="24">
        <f t="shared" si="124"/>
        <v>0</v>
      </c>
      <c r="CR27" s="604">
        <f t="shared" si="158"/>
        <v>0</v>
      </c>
      <c r="CS27" s="607">
        <f t="shared" si="159"/>
        <v>0</v>
      </c>
      <c r="CU27" s="620">
        <v>4</v>
      </c>
      <c r="CV27" s="598">
        <f t="shared" si="125"/>
        <v>45748</v>
      </c>
      <c r="CW27" s="621">
        <f t="shared" si="160"/>
        <v>0</v>
      </c>
      <c r="CX27" s="649">
        <f t="shared" si="161"/>
        <v>0</v>
      </c>
      <c r="CY27" s="649">
        <f t="shared" si="162"/>
        <v>0</v>
      </c>
      <c r="CZ27" s="649">
        <f t="shared" si="163"/>
        <v>0</v>
      </c>
      <c r="DA27" s="649">
        <f t="shared" si="164"/>
        <v>0</v>
      </c>
      <c r="DB27" s="649">
        <f t="shared" si="165"/>
        <v>0</v>
      </c>
      <c r="DC27" s="649">
        <f t="shared" si="166"/>
        <v>0</v>
      </c>
      <c r="DD27" s="650">
        <f t="shared" si="167"/>
        <v>0</v>
      </c>
      <c r="DE27" s="645">
        <f t="shared" si="168"/>
        <v>0</v>
      </c>
      <c r="DG27" s="621">
        <f t="shared" si="126"/>
        <v>0</v>
      </c>
      <c r="DH27" s="649">
        <f t="shared" si="127"/>
        <v>0</v>
      </c>
      <c r="DI27" s="649">
        <f t="shared" si="128"/>
        <v>0</v>
      </c>
      <c r="DJ27" s="649">
        <f t="shared" si="129"/>
        <v>0</v>
      </c>
      <c r="DK27" s="649">
        <f t="shared" si="130"/>
        <v>0</v>
      </c>
      <c r="DL27" s="649">
        <f t="shared" si="131"/>
        <v>0</v>
      </c>
      <c r="DM27" s="649">
        <f t="shared" si="132"/>
        <v>0</v>
      </c>
      <c r="DN27" s="650">
        <f t="shared" si="133"/>
        <v>0</v>
      </c>
      <c r="DO27" s="655">
        <f t="shared" si="134"/>
        <v>0</v>
      </c>
      <c r="DQ27" s="655">
        <f t="shared" si="169"/>
        <v>0</v>
      </c>
      <c r="DS27" s="515">
        <v>5</v>
      </c>
      <c r="DT27" s="526">
        <f>'GASTOS EJER. 1'!$C42</f>
        <v>0</v>
      </c>
      <c r="DU27" s="524" t="str">
        <f t="shared" si="106"/>
        <v/>
      </c>
      <c r="DV27" s="524" t="str">
        <f t="shared" si="106"/>
        <v/>
      </c>
      <c r="DW27" s="14">
        <f t="shared" si="107"/>
        <v>0</v>
      </c>
      <c r="DX27" s="527">
        <f>'GASTOS EJER. 1'!X42</f>
        <v>0</v>
      </c>
      <c r="DY27" s="520" t="str">
        <f>IF(DX27=0,"",'GASTOS EJER. 1'!AA42)</f>
        <v/>
      </c>
      <c r="DZ27" s="520" t="str">
        <f t="shared" si="108"/>
        <v/>
      </c>
      <c r="EA27" s="518" t="e">
        <f>IF(AND(DZ27&gt;=EXPEDIENTE!$F$25,DZ27&lt;=EXPEDIENTE!$F$29),ROUNDDOWN(DX27/DW27,2),0)</f>
        <v>#DIV/0!</v>
      </c>
      <c r="EC27" s="14">
        <v>8</v>
      </c>
      <c r="ED27" s="482">
        <f t="shared" si="102"/>
        <v>45870</v>
      </c>
      <c r="EE27" s="482">
        <f t="shared" si="103"/>
        <v>45900</v>
      </c>
      <c r="EF27" s="14" t="str">
        <f>IF(AND(EE27&gt;=EXPEDIENTE!$F$25,ED27&lt;=EXPEDIENTE!$F$29),"SI","NO")</f>
        <v>SI</v>
      </c>
      <c r="EG27" s="11">
        <f t="shared" si="3"/>
        <v>0</v>
      </c>
      <c r="EH27" s="11">
        <f t="shared" si="4"/>
        <v>0</v>
      </c>
      <c r="EI27" s="11">
        <f t="shared" si="5"/>
        <v>0</v>
      </c>
      <c r="EJ27" s="11">
        <f t="shared" si="6"/>
        <v>0</v>
      </c>
      <c r="EK27" s="11">
        <f t="shared" si="7"/>
        <v>0</v>
      </c>
      <c r="EL27" s="11">
        <f t="shared" si="8"/>
        <v>0</v>
      </c>
      <c r="EM27" s="11">
        <f t="shared" si="9"/>
        <v>0</v>
      </c>
      <c r="EN27" s="11">
        <f t="shared" si="10"/>
        <v>0</v>
      </c>
      <c r="EO27" s="11">
        <f t="shared" si="11"/>
        <v>0</v>
      </c>
      <c r="EP27" s="11">
        <f t="shared" si="12"/>
        <v>0</v>
      </c>
      <c r="EQ27" s="11">
        <f t="shared" si="13"/>
        <v>0</v>
      </c>
      <c r="ER27" s="11">
        <f t="shared" si="14"/>
        <v>0</v>
      </c>
      <c r="ES27" s="11">
        <f t="shared" si="15"/>
        <v>0</v>
      </c>
      <c r="ET27" s="11">
        <f t="shared" si="16"/>
        <v>0</v>
      </c>
      <c r="EU27" s="11">
        <f t="shared" si="17"/>
        <v>0</v>
      </c>
      <c r="EV27" s="11">
        <f t="shared" si="18"/>
        <v>0</v>
      </c>
      <c r="EW27" s="11">
        <f t="shared" si="19"/>
        <v>0</v>
      </c>
      <c r="EX27" s="11">
        <f t="shared" si="20"/>
        <v>0</v>
      </c>
      <c r="EY27" s="11">
        <f t="shared" si="21"/>
        <v>0</v>
      </c>
      <c r="EZ27" s="11">
        <f t="shared" si="22"/>
        <v>0</v>
      </c>
      <c r="FA27" s="11">
        <f t="shared" si="23"/>
        <v>0</v>
      </c>
      <c r="FB27" s="11">
        <f t="shared" si="24"/>
        <v>0</v>
      </c>
      <c r="FC27" s="11">
        <f t="shared" si="25"/>
        <v>0</v>
      </c>
      <c r="FD27" s="11">
        <f t="shared" si="26"/>
        <v>0</v>
      </c>
      <c r="FE27" s="11">
        <f t="shared" si="27"/>
        <v>0</v>
      </c>
      <c r="FF27" s="11">
        <f t="shared" si="28"/>
        <v>0</v>
      </c>
      <c r="FG27" s="11">
        <f t="shared" si="29"/>
        <v>0</v>
      </c>
      <c r="FH27" s="11">
        <f t="shared" si="30"/>
        <v>0</v>
      </c>
      <c r="FI27" s="11">
        <f t="shared" si="31"/>
        <v>0</v>
      </c>
      <c r="FJ27" s="11">
        <f t="shared" si="32"/>
        <v>0</v>
      </c>
      <c r="FK27" s="11">
        <f t="shared" si="33"/>
        <v>0</v>
      </c>
      <c r="FL27" s="11">
        <f t="shared" si="34"/>
        <v>0</v>
      </c>
      <c r="FM27" s="11">
        <f t="shared" si="65"/>
        <v>0</v>
      </c>
      <c r="FO27" s="85">
        <v>5</v>
      </c>
      <c r="FP27" s="520">
        <f>DATE(YEAR(EXPEDIENTE!$F$25),FO27,1)</f>
        <v>45778</v>
      </c>
      <c r="FQ27" s="520" t="str">
        <f>IF('GASTOS EJER. 1'!I56="","",'GASTOS EJER. 1'!I56)</f>
        <v/>
      </c>
      <c r="FR27" s="527">
        <f>'GASTOS EJER. 1'!X24</f>
        <v>0</v>
      </c>
      <c r="FS27" s="527">
        <f>'GASTOS EJER. 1'!H56</f>
        <v>0</v>
      </c>
      <c r="FT27" s="11">
        <f t="shared" si="135"/>
        <v>0</v>
      </c>
      <c r="FU27" s="527">
        <f t="shared" si="109"/>
        <v>0</v>
      </c>
      <c r="FW27" s="515">
        <v>5</v>
      </c>
      <c r="FX27" s="526">
        <f>'GASTOS EJER. 1'!$C42</f>
        <v>0</v>
      </c>
      <c r="FY27" s="524" t="str">
        <f t="shared" si="110"/>
        <v/>
      </c>
      <c r="FZ27" s="524" t="str">
        <f t="shared" si="110"/>
        <v/>
      </c>
      <c r="GA27" s="14">
        <f t="shared" si="111"/>
        <v>0</v>
      </c>
      <c r="GB27" s="527">
        <f>'GASTOS EJER. 1'!CM42</f>
        <v>0</v>
      </c>
      <c r="GC27" s="520" t="str">
        <f>IF(GB27=0,"",'GASTOS EJER. 1'!CT42)</f>
        <v/>
      </c>
      <c r="GD27" s="520" t="str">
        <f t="shared" si="112"/>
        <v/>
      </c>
      <c r="GE27" s="518" t="e">
        <f>IF(AND(GD27&gt;=EXPEDIENTE!$F$25,GD27&lt;=EXPEDIENTE!$F$29),ROUNDDOWN(GB27/GA27,2),0)</f>
        <v>#DIV/0!</v>
      </c>
      <c r="GG27" s="14">
        <v>8</v>
      </c>
      <c r="GH27" s="482">
        <f t="shared" si="104"/>
        <v>45870</v>
      </c>
      <c r="GI27" s="482">
        <f t="shared" si="105"/>
        <v>45900</v>
      </c>
      <c r="GJ27" s="14" t="str">
        <f>IF(AND(GI27&gt;=EXPEDIENTE!$F$25,GH27&lt;=EXPEDIENTE!$F$29),"SI","NO")</f>
        <v>SI</v>
      </c>
      <c r="GK27" s="11">
        <f t="shared" si="66"/>
        <v>0</v>
      </c>
      <c r="GL27" s="11">
        <f t="shared" si="67"/>
        <v>0</v>
      </c>
      <c r="GM27" s="11">
        <f t="shared" si="68"/>
        <v>0</v>
      </c>
      <c r="GN27" s="11">
        <f t="shared" si="69"/>
        <v>0</v>
      </c>
      <c r="GO27" s="11">
        <f t="shared" si="70"/>
        <v>0</v>
      </c>
      <c r="GP27" s="11">
        <f t="shared" si="71"/>
        <v>0</v>
      </c>
      <c r="GQ27" s="11">
        <f t="shared" si="72"/>
        <v>0</v>
      </c>
      <c r="GR27" s="11">
        <f t="shared" si="73"/>
        <v>0</v>
      </c>
      <c r="GS27" s="11">
        <f t="shared" si="74"/>
        <v>0</v>
      </c>
      <c r="GT27" s="11">
        <f t="shared" si="75"/>
        <v>0</v>
      </c>
      <c r="GU27" s="11">
        <f t="shared" si="76"/>
        <v>0</v>
      </c>
      <c r="GV27" s="11">
        <f t="shared" si="77"/>
        <v>0</v>
      </c>
      <c r="GW27" s="11">
        <f t="shared" si="78"/>
        <v>0</v>
      </c>
      <c r="GX27" s="11">
        <f t="shared" si="79"/>
        <v>0</v>
      </c>
      <c r="GY27" s="11">
        <f t="shared" si="80"/>
        <v>0</v>
      </c>
      <c r="GZ27" s="11">
        <f t="shared" si="81"/>
        <v>0</v>
      </c>
      <c r="HA27" s="11">
        <f t="shared" si="82"/>
        <v>0</v>
      </c>
      <c r="HB27" s="11">
        <f t="shared" si="83"/>
        <v>0</v>
      </c>
      <c r="HC27" s="11">
        <f t="shared" si="84"/>
        <v>0</v>
      </c>
      <c r="HD27" s="11">
        <f t="shared" si="85"/>
        <v>0</v>
      </c>
      <c r="HE27" s="11">
        <f t="shared" si="86"/>
        <v>0</v>
      </c>
      <c r="HF27" s="11">
        <f t="shared" si="87"/>
        <v>0</v>
      </c>
      <c r="HG27" s="11">
        <f t="shared" si="88"/>
        <v>0</v>
      </c>
      <c r="HH27" s="11">
        <f t="shared" si="89"/>
        <v>0</v>
      </c>
      <c r="HI27" s="11">
        <f t="shared" si="90"/>
        <v>0</v>
      </c>
      <c r="HJ27" s="11">
        <f t="shared" si="91"/>
        <v>0</v>
      </c>
      <c r="HK27" s="11">
        <f t="shared" si="92"/>
        <v>0</v>
      </c>
      <c r="HL27" s="11">
        <f t="shared" si="93"/>
        <v>0</v>
      </c>
      <c r="HM27" s="11">
        <f t="shared" si="94"/>
        <v>0</v>
      </c>
      <c r="HN27" s="11">
        <f t="shared" si="95"/>
        <v>0</v>
      </c>
      <c r="HO27" s="11">
        <f t="shared" si="96"/>
        <v>0</v>
      </c>
      <c r="HP27" s="11">
        <f t="shared" si="97"/>
        <v>0</v>
      </c>
      <c r="HQ27" s="11">
        <f t="shared" si="98"/>
        <v>0</v>
      </c>
      <c r="HT27" s="85">
        <v>5</v>
      </c>
      <c r="HU27" s="520">
        <f>DATE(YEAR(EXPEDIENTE!$F$25),HT27,1)</f>
        <v>45778</v>
      </c>
      <c r="HV27" s="520" t="str">
        <f>IF('GASTOS EJER. 1'!BF56="","",'GASTOS EJER. 1'!BF56)</f>
        <v/>
      </c>
      <c r="HW27" s="527">
        <f>'GASTOS EJER. 1'!CM24</f>
        <v>0</v>
      </c>
      <c r="HX27" s="527">
        <f>'GASTOS EJER. 1'!BA56</f>
        <v>0</v>
      </c>
      <c r="HY27" s="11">
        <f t="shared" si="136"/>
        <v>0</v>
      </c>
      <c r="HZ27" s="527">
        <f t="shared" si="113"/>
        <v>0</v>
      </c>
      <c r="JF27" s="480">
        <v>23</v>
      </c>
      <c r="JG27" s="474">
        <f t="shared" si="101"/>
        <v>8</v>
      </c>
    </row>
    <row r="28" spans="3:267" x14ac:dyDescent="0.3">
      <c r="C28" s="8">
        <v>22</v>
      </c>
      <c r="D28" s="12"/>
      <c r="E28" s="17"/>
      <c r="F28" s="18"/>
      <c r="G28" s="19"/>
      <c r="H28" s="19"/>
      <c r="I28" s="19"/>
      <c r="J28" s="12"/>
      <c r="K28" s="14">
        <f t="shared" si="43"/>
        <v>76</v>
      </c>
      <c r="L28" s="14">
        <f t="shared" si="44"/>
        <v>76</v>
      </c>
      <c r="M28" s="14" t="str">
        <f t="shared" si="45"/>
        <v>X</v>
      </c>
      <c r="V28" s="1134" t="s">
        <v>454</v>
      </c>
      <c r="W28" s="16" t="s">
        <v>455</v>
      </c>
      <c r="Y28" s="547">
        <f t="shared" si="46"/>
        <v>22</v>
      </c>
      <c r="Z28" s="478" t="str">
        <f>IF(Y28="","",IF(EDATE($Z$6,Y28)&gt;EXPEDIENTE!$F$27,"",EDATE($Z$6,Y28)))</f>
        <v/>
      </c>
      <c r="AA28" s="478" t="str">
        <f t="shared" si="0"/>
        <v/>
      </c>
      <c r="AB28" s="478" t="str">
        <f>IF(AA28="","",IF(YEAR(EXPEDIENTE!$F$25)=YEAR(AA28),AA28,""))</f>
        <v/>
      </c>
      <c r="AC28" s="478" t="str">
        <f>IF(AA28="","",IF(YEAR(EXPEDIENTE!$F$25)+1=YEAR(AA28),AA28,""))</f>
        <v/>
      </c>
      <c r="AD28" s="478" t="str">
        <f>IF(AA28="","",IF(YEAR(EXPEDIENTE!$F$25)+2=YEAR(AA28),AA28,""))</f>
        <v/>
      </c>
      <c r="AE28" s="478" t="str">
        <f>IF(AA28="","",IF(YEAR(EXPEDIENTE!$F$25)+3=YEAR(AA28),AA28,""))</f>
        <v/>
      </c>
      <c r="AG28" s="584">
        <v>5</v>
      </c>
      <c r="AH28" s="516">
        <f>'GASTOS EJER. 1'!M42</f>
        <v>0</v>
      </c>
      <c r="AI28" s="517">
        <f>'GASTOS EJER. 1'!X42</f>
        <v>0</v>
      </c>
      <c r="AJ28" s="587">
        <f>'GASTOS EJER. 1'!Y42</f>
        <v>0</v>
      </c>
      <c r="AK28" s="518">
        <f t="shared" si="137"/>
        <v>0</v>
      </c>
      <c r="AM28" s="519">
        <f>'GASTOS EJER. 1'!F42+'GASTOS EJER. 1'!L42-'GASTOS EJER. 1'!X42-'GASTOS EJER. 1'!Y42</f>
        <v>0</v>
      </c>
      <c r="AN28" s="520" t="str">
        <f>IF('GASTOS EJER. 1'!AA42="","",'GASTOS EJER. 1'!AA42)</f>
        <v/>
      </c>
      <c r="AO28" s="517">
        <f>'GASTOS EJER. 1'!Y42</f>
        <v>0</v>
      </c>
      <c r="AP28" s="521" t="str">
        <f>IF('GASTOS EJER. 1'!AB42="","",'GASTOS EJER. 1'!AB42)</f>
        <v/>
      </c>
      <c r="AQ28" s="522">
        <f>IF(AND(AN28&gt;=EXPEDIENTE!$I$25,AN28&lt;=EXPEDIENTE!$I$29),AM28,0)</f>
        <v>0</v>
      </c>
      <c r="AR28" s="11">
        <f>IF(AND(AP28&gt;=EXPEDIENTE!$I$25,AP28&lt;=EXPEDIENTE!$I$29),AO28,0)</f>
        <v>0</v>
      </c>
      <c r="AS28" s="518">
        <f t="shared" si="138"/>
        <v>0</v>
      </c>
      <c r="AT28" s="523" t="str">
        <f>IF('GASTOS EJER. 1'!D42="","",'GASTOS EJER. 1'!D42)</f>
        <v/>
      </c>
      <c r="AU28" s="524" t="str">
        <f>IF('GASTOS EJER. 1'!E42="","",'GASTOS EJER. 1'!E42)</f>
        <v/>
      </c>
      <c r="AV28" s="594">
        <f t="shared" si="139"/>
        <v>0</v>
      </c>
      <c r="AW28" s="525">
        <f t="shared" si="140"/>
        <v>0</v>
      </c>
      <c r="AX28" s="24">
        <f t="shared" si="141"/>
        <v>0</v>
      </c>
      <c r="AY28" s="604">
        <f t="shared" si="142"/>
        <v>0</v>
      </c>
      <c r="AZ28" s="607">
        <f t="shared" si="143"/>
        <v>0</v>
      </c>
      <c r="BB28" s="596">
        <v>5</v>
      </c>
      <c r="BC28" s="598">
        <f t="shared" si="114"/>
        <v>45778</v>
      </c>
      <c r="BD28" s="601">
        <f t="shared" si="144"/>
        <v>0</v>
      </c>
      <c r="BE28" s="643">
        <f t="shared" si="145"/>
        <v>0</v>
      </c>
      <c r="BF28" s="643">
        <f t="shared" si="146"/>
        <v>0</v>
      </c>
      <c r="BG28" s="643">
        <f t="shared" si="147"/>
        <v>0</v>
      </c>
      <c r="BH28" s="643">
        <f t="shared" si="148"/>
        <v>0</v>
      </c>
      <c r="BI28" s="643">
        <f t="shared" si="149"/>
        <v>0</v>
      </c>
      <c r="BJ28" s="643">
        <f t="shared" si="150"/>
        <v>0</v>
      </c>
      <c r="BK28" s="644">
        <f t="shared" si="151"/>
        <v>0</v>
      </c>
      <c r="BL28" s="645">
        <f t="shared" si="152"/>
        <v>0</v>
      </c>
      <c r="BN28" s="621">
        <f t="shared" si="115"/>
        <v>0</v>
      </c>
      <c r="BO28" s="649">
        <f t="shared" si="116"/>
        <v>0</v>
      </c>
      <c r="BP28" s="649">
        <f t="shared" si="117"/>
        <v>0</v>
      </c>
      <c r="BQ28" s="649">
        <f t="shared" si="118"/>
        <v>0</v>
      </c>
      <c r="BR28" s="649">
        <f t="shared" si="119"/>
        <v>0</v>
      </c>
      <c r="BS28" s="649">
        <f t="shared" si="120"/>
        <v>0</v>
      </c>
      <c r="BT28" s="649">
        <f t="shared" si="121"/>
        <v>0</v>
      </c>
      <c r="BU28" s="650">
        <f t="shared" si="122"/>
        <v>0</v>
      </c>
      <c r="BV28" s="645">
        <f t="shared" si="123"/>
        <v>0</v>
      </c>
      <c r="BX28" s="645">
        <f t="shared" si="153"/>
        <v>0</v>
      </c>
      <c r="BZ28" s="616">
        <v>5</v>
      </c>
      <c r="CA28" s="516">
        <f>'GASTOS EJER. 1'!BN42</f>
        <v>0</v>
      </c>
      <c r="CB28" s="517">
        <f>'GASTOS EJER. 1'!CM42</f>
        <v>0</v>
      </c>
      <c r="CC28" s="587">
        <f>'GASTOS EJER. 1'!CP42</f>
        <v>0</v>
      </c>
      <c r="CD28" s="518">
        <f t="shared" si="154"/>
        <v>0</v>
      </c>
      <c r="CF28" s="519">
        <f>'GASTOS EJER. 1'!AW42+'GASTOS EJER. 1'!BM42-'GASTOS EJER. 1'!CM42-'GASTOS EJER. 1'!CP42</f>
        <v>0</v>
      </c>
      <c r="CG28" s="520" t="str">
        <f>IF('GASTOS EJER. 1'!CT42="","",'GASTOS EJER. 1'!CT42)</f>
        <v/>
      </c>
      <c r="CH28" s="517">
        <f>'GASTOS EJER. 1'!CP42</f>
        <v>0</v>
      </c>
      <c r="CI28" s="521" t="str">
        <f>IF('GASTOS EJER. 1'!CW42="","",'GASTOS EJER. 1'!CW42)</f>
        <v/>
      </c>
      <c r="CJ28" s="522">
        <f>IF(AND(CG28&gt;=EXPEDIENTE!$I$25,CG28&lt;=EXPEDIENTE!$I$29),CF28,0)</f>
        <v>0</v>
      </c>
      <c r="CK28" s="11">
        <f>IF(AND(CI28&gt;=EXPEDIENTE!$I$25,CI28&lt;=EXPEDIENTE!$I$29),CH28,0)</f>
        <v>0</v>
      </c>
      <c r="CL28" s="518">
        <f t="shared" si="155"/>
        <v>0</v>
      </c>
      <c r="CM28" s="523" t="str">
        <f>IF('GASTOS EJER. 1'!AQ42="","",'GASTOS EJER. 1'!AQ42)</f>
        <v/>
      </c>
      <c r="CN28" s="524" t="str">
        <f>IF('GASTOS EJER. 1'!AT42="","",'GASTOS EJER. 1'!AT42)</f>
        <v/>
      </c>
      <c r="CO28" s="594">
        <f t="shared" si="156"/>
        <v>0</v>
      </c>
      <c r="CP28" s="525">
        <f t="shared" si="157"/>
        <v>0</v>
      </c>
      <c r="CQ28" s="24">
        <f t="shared" si="124"/>
        <v>0</v>
      </c>
      <c r="CR28" s="604">
        <f t="shared" si="158"/>
        <v>0</v>
      </c>
      <c r="CS28" s="607">
        <f t="shared" si="159"/>
        <v>0</v>
      </c>
      <c r="CU28" s="620">
        <v>5</v>
      </c>
      <c r="CV28" s="598">
        <f t="shared" si="125"/>
        <v>45778</v>
      </c>
      <c r="CW28" s="621">
        <f t="shared" si="160"/>
        <v>0</v>
      </c>
      <c r="CX28" s="649">
        <f t="shared" si="161"/>
        <v>0</v>
      </c>
      <c r="CY28" s="649">
        <f t="shared" si="162"/>
        <v>0</v>
      </c>
      <c r="CZ28" s="649">
        <f t="shared" si="163"/>
        <v>0</v>
      </c>
      <c r="DA28" s="649">
        <f t="shared" si="164"/>
        <v>0</v>
      </c>
      <c r="DB28" s="649">
        <f t="shared" si="165"/>
        <v>0</v>
      </c>
      <c r="DC28" s="649">
        <f t="shared" si="166"/>
        <v>0</v>
      </c>
      <c r="DD28" s="650">
        <f t="shared" si="167"/>
        <v>0</v>
      </c>
      <c r="DE28" s="645">
        <f t="shared" si="168"/>
        <v>0</v>
      </c>
      <c r="DG28" s="621">
        <f t="shared" si="126"/>
        <v>0</v>
      </c>
      <c r="DH28" s="649">
        <f t="shared" si="127"/>
        <v>0</v>
      </c>
      <c r="DI28" s="649">
        <f t="shared" si="128"/>
        <v>0</v>
      </c>
      <c r="DJ28" s="649">
        <f t="shared" si="129"/>
        <v>0</v>
      </c>
      <c r="DK28" s="649">
        <f t="shared" si="130"/>
        <v>0</v>
      </c>
      <c r="DL28" s="649">
        <f t="shared" si="131"/>
        <v>0</v>
      </c>
      <c r="DM28" s="649">
        <f t="shared" si="132"/>
        <v>0</v>
      </c>
      <c r="DN28" s="650">
        <f t="shared" si="133"/>
        <v>0</v>
      </c>
      <c r="DO28" s="655">
        <f t="shared" si="134"/>
        <v>0</v>
      </c>
      <c r="DQ28" s="655">
        <f t="shared" si="169"/>
        <v>0</v>
      </c>
      <c r="DS28" s="515">
        <v>6</v>
      </c>
      <c r="DT28" s="526">
        <f>'GASTOS EJER. 1'!$C43</f>
        <v>0</v>
      </c>
      <c r="DU28" s="524" t="str">
        <f t="shared" si="106"/>
        <v/>
      </c>
      <c r="DV28" s="524" t="str">
        <f t="shared" si="106"/>
        <v/>
      </c>
      <c r="DW28" s="14">
        <f t="shared" si="107"/>
        <v>0</v>
      </c>
      <c r="DX28" s="527">
        <f>'GASTOS EJER. 1'!X43</f>
        <v>0</v>
      </c>
      <c r="DY28" s="520" t="str">
        <f>IF(DX28=0,"",'GASTOS EJER. 1'!AA43)</f>
        <v/>
      </c>
      <c r="DZ28" s="520" t="str">
        <f t="shared" si="108"/>
        <v/>
      </c>
      <c r="EA28" s="518" t="e">
        <f>IF(AND(DZ28&gt;=EXPEDIENTE!$F$25,DZ28&lt;=EXPEDIENTE!$F$29),ROUNDDOWN(DX28/DW28,2),0)</f>
        <v>#DIV/0!</v>
      </c>
      <c r="EC28" s="14">
        <v>9</v>
      </c>
      <c r="ED28" s="482">
        <f t="shared" si="102"/>
        <v>45901</v>
      </c>
      <c r="EE28" s="482">
        <f t="shared" si="103"/>
        <v>45930</v>
      </c>
      <c r="EF28" s="14" t="str">
        <f>IF(AND(EE28&gt;=EXPEDIENTE!$F$25,ED28&lt;=EXPEDIENTE!$F$29),"SI","NO")</f>
        <v>SI</v>
      </c>
      <c r="EG28" s="11">
        <f t="shared" si="3"/>
        <v>0</v>
      </c>
      <c r="EH28" s="11">
        <f t="shared" si="4"/>
        <v>0</v>
      </c>
      <c r="EI28" s="11">
        <f t="shared" si="5"/>
        <v>0</v>
      </c>
      <c r="EJ28" s="11">
        <f t="shared" si="6"/>
        <v>0</v>
      </c>
      <c r="EK28" s="11">
        <f t="shared" si="7"/>
        <v>0</v>
      </c>
      <c r="EL28" s="11">
        <f t="shared" si="8"/>
        <v>0</v>
      </c>
      <c r="EM28" s="11">
        <f t="shared" si="9"/>
        <v>0</v>
      </c>
      <c r="EN28" s="11">
        <f t="shared" si="10"/>
        <v>0</v>
      </c>
      <c r="EO28" s="11">
        <f t="shared" si="11"/>
        <v>0</v>
      </c>
      <c r="EP28" s="11">
        <f t="shared" si="12"/>
        <v>0</v>
      </c>
      <c r="EQ28" s="11">
        <f t="shared" si="13"/>
        <v>0</v>
      </c>
      <c r="ER28" s="11">
        <f t="shared" si="14"/>
        <v>0</v>
      </c>
      <c r="ES28" s="11">
        <f t="shared" si="15"/>
        <v>0</v>
      </c>
      <c r="ET28" s="11">
        <f t="shared" si="16"/>
        <v>0</v>
      </c>
      <c r="EU28" s="11">
        <f t="shared" si="17"/>
        <v>0</v>
      </c>
      <c r="EV28" s="11">
        <f t="shared" si="18"/>
        <v>0</v>
      </c>
      <c r="EW28" s="11">
        <f t="shared" si="19"/>
        <v>0</v>
      </c>
      <c r="EX28" s="11">
        <f t="shared" si="20"/>
        <v>0</v>
      </c>
      <c r="EY28" s="11">
        <f t="shared" si="21"/>
        <v>0</v>
      </c>
      <c r="EZ28" s="11">
        <f t="shared" si="22"/>
        <v>0</v>
      </c>
      <c r="FA28" s="11">
        <f t="shared" si="23"/>
        <v>0</v>
      </c>
      <c r="FB28" s="11">
        <f t="shared" si="24"/>
        <v>0</v>
      </c>
      <c r="FC28" s="11">
        <f t="shared" si="25"/>
        <v>0</v>
      </c>
      <c r="FD28" s="11">
        <f t="shared" si="26"/>
        <v>0</v>
      </c>
      <c r="FE28" s="11">
        <f t="shared" si="27"/>
        <v>0</v>
      </c>
      <c r="FF28" s="11">
        <f t="shared" si="28"/>
        <v>0</v>
      </c>
      <c r="FG28" s="11">
        <f t="shared" si="29"/>
        <v>0</v>
      </c>
      <c r="FH28" s="11">
        <f t="shared" si="30"/>
        <v>0</v>
      </c>
      <c r="FI28" s="11">
        <f t="shared" si="31"/>
        <v>0</v>
      </c>
      <c r="FJ28" s="11">
        <f t="shared" si="32"/>
        <v>0</v>
      </c>
      <c r="FK28" s="11">
        <f t="shared" si="33"/>
        <v>0</v>
      </c>
      <c r="FL28" s="11">
        <f t="shared" si="34"/>
        <v>0</v>
      </c>
      <c r="FM28" s="11">
        <f t="shared" si="65"/>
        <v>0</v>
      </c>
      <c r="FO28" s="85">
        <v>6</v>
      </c>
      <c r="FP28" s="520">
        <f>DATE(YEAR(EXPEDIENTE!$F$25),FO28,1)</f>
        <v>45809</v>
      </c>
      <c r="FQ28" s="520" t="str">
        <f>IF('GASTOS EJER. 1'!I57="","",'GASTOS EJER. 1'!I57)</f>
        <v/>
      </c>
      <c r="FR28" s="527">
        <f>'GASTOS EJER. 1'!X25</f>
        <v>0</v>
      </c>
      <c r="FS28" s="527">
        <f>'GASTOS EJER. 1'!H57</f>
        <v>0</v>
      </c>
      <c r="FT28" s="11">
        <f t="shared" si="135"/>
        <v>0</v>
      </c>
      <c r="FU28" s="527">
        <f t="shared" si="109"/>
        <v>0</v>
      </c>
      <c r="FW28" s="515">
        <v>6</v>
      </c>
      <c r="FX28" s="526">
        <f>'GASTOS EJER. 1'!$C43</f>
        <v>0</v>
      </c>
      <c r="FY28" s="524" t="str">
        <f t="shared" si="110"/>
        <v/>
      </c>
      <c r="FZ28" s="524" t="str">
        <f t="shared" si="110"/>
        <v/>
      </c>
      <c r="GA28" s="14">
        <f t="shared" si="111"/>
        <v>0</v>
      </c>
      <c r="GB28" s="527">
        <f>'GASTOS EJER. 1'!CM43</f>
        <v>0</v>
      </c>
      <c r="GC28" s="520" t="str">
        <f>IF(GB28=0,"",'GASTOS EJER. 1'!CT43)</f>
        <v/>
      </c>
      <c r="GD28" s="520" t="str">
        <f t="shared" si="112"/>
        <v/>
      </c>
      <c r="GE28" s="518" t="e">
        <f>IF(AND(GD28&gt;=EXPEDIENTE!$F$25,GD28&lt;=EXPEDIENTE!$F$29),ROUNDDOWN(GB28/GA28,2),0)</f>
        <v>#DIV/0!</v>
      </c>
      <c r="GG28" s="14">
        <v>9</v>
      </c>
      <c r="GH28" s="482">
        <f t="shared" si="104"/>
        <v>45901</v>
      </c>
      <c r="GI28" s="482">
        <f t="shared" si="105"/>
        <v>45930</v>
      </c>
      <c r="GJ28" s="14" t="str">
        <f>IF(AND(GI28&gt;=EXPEDIENTE!$F$25,GH28&lt;=EXPEDIENTE!$F$29),"SI","NO")</f>
        <v>SI</v>
      </c>
      <c r="GK28" s="11">
        <f t="shared" si="66"/>
        <v>0</v>
      </c>
      <c r="GL28" s="11">
        <f t="shared" si="67"/>
        <v>0</v>
      </c>
      <c r="GM28" s="11">
        <f t="shared" si="68"/>
        <v>0</v>
      </c>
      <c r="GN28" s="11">
        <f t="shared" si="69"/>
        <v>0</v>
      </c>
      <c r="GO28" s="11">
        <f t="shared" si="70"/>
        <v>0</v>
      </c>
      <c r="GP28" s="11">
        <f t="shared" si="71"/>
        <v>0</v>
      </c>
      <c r="GQ28" s="11">
        <f t="shared" si="72"/>
        <v>0</v>
      </c>
      <c r="GR28" s="11">
        <f t="shared" si="73"/>
        <v>0</v>
      </c>
      <c r="GS28" s="11">
        <f t="shared" si="74"/>
        <v>0</v>
      </c>
      <c r="GT28" s="11">
        <f t="shared" si="75"/>
        <v>0</v>
      </c>
      <c r="GU28" s="11">
        <f t="shared" si="76"/>
        <v>0</v>
      </c>
      <c r="GV28" s="11">
        <f t="shared" si="77"/>
        <v>0</v>
      </c>
      <c r="GW28" s="11">
        <f t="shared" si="78"/>
        <v>0</v>
      </c>
      <c r="GX28" s="11">
        <f t="shared" si="79"/>
        <v>0</v>
      </c>
      <c r="GY28" s="11">
        <f t="shared" si="80"/>
        <v>0</v>
      </c>
      <c r="GZ28" s="11">
        <f t="shared" si="81"/>
        <v>0</v>
      </c>
      <c r="HA28" s="11">
        <f t="shared" si="82"/>
        <v>0</v>
      </c>
      <c r="HB28" s="11">
        <f t="shared" si="83"/>
        <v>0</v>
      </c>
      <c r="HC28" s="11">
        <f t="shared" si="84"/>
        <v>0</v>
      </c>
      <c r="HD28" s="11">
        <f t="shared" si="85"/>
        <v>0</v>
      </c>
      <c r="HE28" s="11">
        <f t="shared" si="86"/>
        <v>0</v>
      </c>
      <c r="HF28" s="11">
        <f t="shared" si="87"/>
        <v>0</v>
      </c>
      <c r="HG28" s="11">
        <f t="shared" si="88"/>
        <v>0</v>
      </c>
      <c r="HH28" s="11">
        <f t="shared" si="89"/>
        <v>0</v>
      </c>
      <c r="HI28" s="11">
        <f t="shared" si="90"/>
        <v>0</v>
      </c>
      <c r="HJ28" s="11">
        <f t="shared" si="91"/>
        <v>0</v>
      </c>
      <c r="HK28" s="11">
        <f t="shared" si="92"/>
        <v>0</v>
      </c>
      <c r="HL28" s="11">
        <f t="shared" si="93"/>
        <v>0</v>
      </c>
      <c r="HM28" s="11">
        <f t="shared" si="94"/>
        <v>0</v>
      </c>
      <c r="HN28" s="11">
        <f t="shared" si="95"/>
        <v>0</v>
      </c>
      <c r="HO28" s="11">
        <f t="shared" si="96"/>
        <v>0</v>
      </c>
      <c r="HP28" s="11">
        <f t="shared" si="97"/>
        <v>0</v>
      </c>
      <c r="HQ28" s="11">
        <f t="shared" si="98"/>
        <v>0</v>
      </c>
      <c r="HT28" s="85">
        <v>6</v>
      </c>
      <c r="HU28" s="520">
        <f>DATE(YEAR(EXPEDIENTE!$F$25),HT28,1)</f>
        <v>45809</v>
      </c>
      <c r="HV28" s="520" t="str">
        <f>IF('GASTOS EJER. 1'!BF57="","",'GASTOS EJER. 1'!BF57)</f>
        <v/>
      </c>
      <c r="HW28" s="527">
        <f>'GASTOS EJER. 1'!CM25</f>
        <v>0</v>
      </c>
      <c r="HX28" s="527">
        <f>'GASTOS EJER. 1'!BA57</f>
        <v>0</v>
      </c>
      <c r="HY28" s="11">
        <f t="shared" si="136"/>
        <v>0</v>
      </c>
      <c r="HZ28" s="527">
        <f t="shared" si="113"/>
        <v>0</v>
      </c>
      <c r="JF28" s="480">
        <v>24</v>
      </c>
      <c r="JG28" s="474">
        <f t="shared" si="101"/>
        <v>8</v>
      </c>
    </row>
    <row r="29" spans="3:267" x14ac:dyDescent="0.3">
      <c r="C29" s="8">
        <v>23</v>
      </c>
      <c r="D29" s="12"/>
      <c r="E29" s="17"/>
      <c r="F29" s="18"/>
      <c r="G29" s="19"/>
      <c r="H29" s="19"/>
      <c r="I29" s="19"/>
      <c r="J29" s="12"/>
      <c r="K29" s="14">
        <f t="shared" si="43"/>
        <v>76</v>
      </c>
      <c r="L29" s="14">
        <f t="shared" si="44"/>
        <v>76</v>
      </c>
      <c r="M29" s="14" t="str">
        <f t="shared" si="45"/>
        <v>X</v>
      </c>
      <c r="V29" s="1134"/>
      <c r="W29" s="24" t="s">
        <v>456</v>
      </c>
      <c r="Y29" s="547">
        <f t="shared" si="46"/>
        <v>23</v>
      </c>
      <c r="Z29" s="478" t="str">
        <f>IF(Y29="","",IF(EDATE($Z$6,Y29)&gt;EXPEDIENTE!$F$27,"",EDATE($Z$6,Y29)))</f>
        <v/>
      </c>
      <c r="AA29" s="478" t="str">
        <f>IF(Z29="","",TEXT(Z29,"mmm-aa"))</f>
        <v/>
      </c>
      <c r="AB29" s="478" t="str">
        <f>IF(AA29="","",IF(YEAR(EXPEDIENTE!$F$25)=YEAR(AA29),AA29,""))</f>
        <v/>
      </c>
      <c r="AC29" s="478" t="str">
        <f>IF(AA29="","",IF(YEAR(EXPEDIENTE!$F$25)+1=YEAR(AA29),AA29,""))</f>
        <v/>
      </c>
      <c r="AD29" s="478" t="str">
        <f>IF(AA29="","",IF(YEAR(EXPEDIENTE!$F$25)+2=YEAR(AA29),AA29,""))</f>
        <v/>
      </c>
      <c r="AE29" s="478" t="str">
        <f>IF(AA29="","",IF(YEAR(EXPEDIENTE!$F$25)+3=YEAR(AA29),AA29,""))</f>
        <v/>
      </c>
      <c r="AG29" s="584">
        <v>6</v>
      </c>
      <c r="AH29" s="516">
        <f>'GASTOS EJER. 1'!M43</f>
        <v>0</v>
      </c>
      <c r="AI29" s="517">
        <f>'GASTOS EJER. 1'!X43</f>
        <v>0</v>
      </c>
      <c r="AJ29" s="587">
        <f>'GASTOS EJER. 1'!Y43</f>
        <v>0</v>
      </c>
      <c r="AK29" s="518">
        <f t="shared" si="137"/>
        <v>0</v>
      </c>
      <c r="AM29" s="519">
        <f>'GASTOS EJER. 1'!F43+'GASTOS EJER. 1'!L43-'GASTOS EJER. 1'!X43-'GASTOS EJER. 1'!Y43</f>
        <v>0</v>
      </c>
      <c r="AN29" s="520" t="str">
        <f>IF('GASTOS EJER. 1'!AA43="","",'GASTOS EJER. 1'!AA43)</f>
        <v/>
      </c>
      <c r="AO29" s="517">
        <f>'GASTOS EJER. 1'!Y43</f>
        <v>0</v>
      </c>
      <c r="AP29" s="521" t="str">
        <f>IF('GASTOS EJER. 1'!AB43="","",'GASTOS EJER. 1'!AB43)</f>
        <v/>
      </c>
      <c r="AQ29" s="522">
        <f>IF(AND(AN29&gt;=EXPEDIENTE!$I$25,AN29&lt;=EXPEDIENTE!$I$29),AM29,0)</f>
        <v>0</v>
      </c>
      <c r="AR29" s="11">
        <f>IF(AND(AP29&gt;=EXPEDIENTE!$I$25,AP29&lt;=EXPEDIENTE!$I$29),AO29,0)</f>
        <v>0</v>
      </c>
      <c r="AS29" s="518">
        <f t="shared" si="138"/>
        <v>0</v>
      </c>
      <c r="AT29" s="523" t="str">
        <f>IF('GASTOS EJER. 1'!D43="","",'GASTOS EJER. 1'!D43)</f>
        <v/>
      </c>
      <c r="AU29" s="524" t="str">
        <f>IF('GASTOS EJER. 1'!E43="","",'GASTOS EJER. 1'!E43)</f>
        <v/>
      </c>
      <c r="AV29" s="594">
        <f t="shared" si="139"/>
        <v>0</v>
      </c>
      <c r="AW29" s="525">
        <f t="shared" si="140"/>
        <v>0</v>
      </c>
      <c r="AX29" s="24">
        <f t="shared" si="141"/>
        <v>0</v>
      </c>
      <c r="AY29" s="604">
        <f t="shared" si="142"/>
        <v>0</v>
      </c>
      <c r="AZ29" s="607">
        <f t="shared" si="143"/>
        <v>0</v>
      </c>
      <c r="BB29" s="596">
        <v>6</v>
      </c>
      <c r="BC29" s="598">
        <f t="shared" si="114"/>
        <v>45809</v>
      </c>
      <c r="BD29" s="601">
        <f t="shared" si="144"/>
        <v>0</v>
      </c>
      <c r="BE29" s="643">
        <f t="shared" si="145"/>
        <v>0</v>
      </c>
      <c r="BF29" s="643">
        <f t="shared" si="146"/>
        <v>0</v>
      </c>
      <c r="BG29" s="643">
        <f t="shared" si="147"/>
        <v>0</v>
      </c>
      <c r="BH29" s="643">
        <f t="shared" si="148"/>
        <v>0</v>
      </c>
      <c r="BI29" s="643">
        <f t="shared" si="149"/>
        <v>0</v>
      </c>
      <c r="BJ29" s="643">
        <f t="shared" si="150"/>
        <v>0</v>
      </c>
      <c r="BK29" s="644">
        <f t="shared" si="151"/>
        <v>0</v>
      </c>
      <c r="BL29" s="645">
        <f t="shared" si="152"/>
        <v>0</v>
      </c>
      <c r="BN29" s="621">
        <f t="shared" si="115"/>
        <v>0</v>
      </c>
      <c r="BO29" s="649">
        <f t="shared" si="116"/>
        <v>0</v>
      </c>
      <c r="BP29" s="649">
        <f t="shared" si="117"/>
        <v>0</v>
      </c>
      <c r="BQ29" s="649">
        <f t="shared" si="118"/>
        <v>0</v>
      </c>
      <c r="BR29" s="649">
        <f t="shared" si="119"/>
        <v>0</v>
      </c>
      <c r="BS29" s="649">
        <f t="shared" si="120"/>
        <v>0</v>
      </c>
      <c r="BT29" s="649">
        <f t="shared" si="121"/>
        <v>0</v>
      </c>
      <c r="BU29" s="650">
        <f t="shared" si="122"/>
        <v>0</v>
      </c>
      <c r="BV29" s="645">
        <f t="shared" si="123"/>
        <v>0</v>
      </c>
      <c r="BX29" s="645">
        <f t="shared" si="153"/>
        <v>0</v>
      </c>
      <c r="BZ29" s="616">
        <v>6</v>
      </c>
      <c r="CA29" s="516">
        <f>'GASTOS EJER. 1'!BN43</f>
        <v>0</v>
      </c>
      <c r="CB29" s="517">
        <f>'GASTOS EJER. 1'!CM43</f>
        <v>0</v>
      </c>
      <c r="CC29" s="587">
        <f>'GASTOS EJER. 1'!CP43</f>
        <v>0</v>
      </c>
      <c r="CD29" s="518">
        <f t="shared" si="154"/>
        <v>0</v>
      </c>
      <c r="CF29" s="519">
        <f>'GASTOS EJER. 1'!AW43+'GASTOS EJER. 1'!BM43-'GASTOS EJER. 1'!CM43-'GASTOS EJER. 1'!CP43</f>
        <v>0</v>
      </c>
      <c r="CG29" s="520" t="str">
        <f>IF('GASTOS EJER. 1'!CT43="","",'GASTOS EJER. 1'!CT43)</f>
        <v/>
      </c>
      <c r="CH29" s="517">
        <f>'GASTOS EJER. 1'!CP43</f>
        <v>0</v>
      </c>
      <c r="CI29" s="521" t="str">
        <f>IF('GASTOS EJER. 1'!CW43="","",'GASTOS EJER. 1'!CW43)</f>
        <v/>
      </c>
      <c r="CJ29" s="522">
        <f>IF(AND(CG29&gt;=EXPEDIENTE!$I$25,CG29&lt;=EXPEDIENTE!$I$29),CF29,0)</f>
        <v>0</v>
      </c>
      <c r="CK29" s="11">
        <f>IF(AND(CI29&gt;=EXPEDIENTE!$I$25,CI29&lt;=EXPEDIENTE!$I$29),CH29,0)</f>
        <v>0</v>
      </c>
      <c r="CL29" s="518">
        <f t="shared" si="155"/>
        <v>0</v>
      </c>
      <c r="CM29" s="523" t="str">
        <f>IF('GASTOS EJER. 1'!AQ43="","",'GASTOS EJER. 1'!AQ43)</f>
        <v/>
      </c>
      <c r="CN29" s="524" t="str">
        <f>IF('GASTOS EJER. 1'!AT43="","",'GASTOS EJER. 1'!AT43)</f>
        <v/>
      </c>
      <c r="CO29" s="594">
        <f t="shared" si="156"/>
        <v>0</v>
      </c>
      <c r="CP29" s="525">
        <f t="shared" si="157"/>
        <v>0</v>
      </c>
      <c r="CQ29" s="24">
        <f t="shared" si="124"/>
        <v>0</v>
      </c>
      <c r="CR29" s="604">
        <f t="shared" si="158"/>
        <v>0</v>
      </c>
      <c r="CS29" s="607">
        <f t="shared" si="159"/>
        <v>0</v>
      </c>
      <c r="CU29" s="620">
        <v>6</v>
      </c>
      <c r="CV29" s="598">
        <f t="shared" si="125"/>
        <v>45809</v>
      </c>
      <c r="CW29" s="621">
        <f t="shared" si="160"/>
        <v>0</v>
      </c>
      <c r="CX29" s="649">
        <f t="shared" si="161"/>
        <v>0</v>
      </c>
      <c r="CY29" s="649">
        <f t="shared" si="162"/>
        <v>0</v>
      </c>
      <c r="CZ29" s="649">
        <f t="shared" si="163"/>
        <v>0</v>
      </c>
      <c r="DA29" s="649">
        <f t="shared" si="164"/>
        <v>0</v>
      </c>
      <c r="DB29" s="649">
        <f t="shared" si="165"/>
        <v>0</v>
      </c>
      <c r="DC29" s="649">
        <f t="shared" si="166"/>
        <v>0</v>
      </c>
      <c r="DD29" s="650">
        <f t="shared" si="167"/>
        <v>0</v>
      </c>
      <c r="DE29" s="645">
        <f t="shared" si="168"/>
        <v>0</v>
      </c>
      <c r="DG29" s="621">
        <f t="shared" si="126"/>
        <v>0</v>
      </c>
      <c r="DH29" s="649">
        <f t="shared" si="127"/>
        <v>0</v>
      </c>
      <c r="DI29" s="649">
        <f t="shared" si="128"/>
        <v>0</v>
      </c>
      <c r="DJ29" s="649">
        <f t="shared" si="129"/>
        <v>0</v>
      </c>
      <c r="DK29" s="649">
        <f t="shared" si="130"/>
        <v>0</v>
      </c>
      <c r="DL29" s="649">
        <f t="shared" si="131"/>
        <v>0</v>
      </c>
      <c r="DM29" s="649">
        <f t="shared" si="132"/>
        <v>0</v>
      </c>
      <c r="DN29" s="650">
        <f t="shared" si="133"/>
        <v>0</v>
      </c>
      <c r="DO29" s="655">
        <f t="shared" si="134"/>
        <v>0</v>
      </c>
      <c r="DQ29" s="655">
        <f t="shared" si="169"/>
        <v>0</v>
      </c>
      <c r="DS29" s="515">
        <v>7</v>
      </c>
      <c r="DT29" s="526">
        <f>'GASTOS EJER. 1'!$C44</f>
        <v>0</v>
      </c>
      <c r="DU29" s="524" t="str">
        <f t="shared" si="106"/>
        <v/>
      </c>
      <c r="DV29" s="524" t="str">
        <f t="shared" si="106"/>
        <v/>
      </c>
      <c r="DW29" s="14">
        <f t="shared" si="107"/>
        <v>0</v>
      </c>
      <c r="DX29" s="527">
        <f>'GASTOS EJER. 1'!X44</f>
        <v>0</v>
      </c>
      <c r="DY29" s="520" t="str">
        <f>IF(DX29=0,"",'GASTOS EJER. 1'!AA44)</f>
        <v/>
      </c>
      <c r="DZ29" s="520" t="str">
        <f t="shared" si="108"/>
        <v/>
      </c>
      <c r="EA29" s="518" t="e">
        <f>IF(AND(DZ29&gt;=EXPEDIENTE!$F$25,DZ29&lt;=EXPEDIENTE!$F$29),ROUNDDOWN(DX29/DW29,2),0)</f>
        <v>#DIV/0!</v>
      </c>
      <c r="EC29" s="14">
        <v>10</v>
      </c>
      <c r="ED29" s="482">
        <f t="shared" si="102"/>
        <v>45931</v>
      </c>
      <c r="EE29" s="482">
        <f t="shared" si="103"/>
        <v>45961</v>
      </c>
      <c r="EF29" s="14" t="str">
        <f>IF(AND(EE29&gt;=EXPEDIENTE!$F$25,ED29&lt;=EXPEDIENTE!$F$29),"SI","NO")</f>
        <v>SI</v>
      </c>
      <c r="EG29" s="11">
        <f t="shared" si="3"/>
        <v>0</v>
      </c>
      <c r="EH29" s="11">
        <f t="shared" si="4"/>
        <v>0</v>
      </c>
      <c r="EI29" s="11">
        <f t="shared" si="5"/>
        <v>0</v>
      </c>
      <c r="EJ29" s="11">
        <f t="shared" si="6"/>
        <v>0</v>
      </c>
      <c r="EK29" s="11">
        <f t="shared" si="7"/>
        <v>0</v>
      </c>
      <c r="EL29" s="11">
        <f t="shared" si="8"/>
        <v>0</v>
      </c>
      <c r="EM29" s="11">
        <f t="shared" si="9"/>
        <v>0</v>
      </c>
      <c r="EN29" s="11">
        <f t="shared" si="10"/>
        <v>0</v>
      </c>
      <c r="EO29" s="11">
        <f t="shared" si="11"/>
        <v>0</v>
      </c>
      <c r="EP29" s="11">
        <f t="shared" si="12"/>
        <v>0</v>
      </c>
      <c r="EQ29" s="11">
        <f t="shared" si="13"/>
        <v>0</v>
      </c>
      <c r="ER29" s="11">
        <f t="shared" si="14"/>
        <v>0</v>
      </c>
      <c r="ES29" s="11">
        <f t="shared" si="15"/>
        <v>0</v>
      </c>
      <c r="ET29" s="11">
        <f t="shared" si="16"/>
        <v>0</v>
      </c>
      <c r="EU29" s="11">
        <f t="shared" si="17"/>
        <v>0</v>
      </c>
      <c r="EV29" s="11">
        <f t="shared" si="18"/>
        <v>0</v>
      </c>
      <c r="EW29" s="11">
        <f t="shared" si="19"/>
        <v>0</v>
      </c>
      <c r="EX29" s="11">
        <f t="shared" si="20"/>
        <v>0</v>
      </c>
      <c r="EY29" s="11">
        <f t="shared" si="21"/>
        <v>0</v>
      </c>
      <c r="EZ29" s="11">
        <f t="shared" si="22"/>
        <v>0</v>
      </c>
      <c r="FA29" s="11">
        <f t="shared" si="23"/>
        <v>0</v>
      </c>
      <c r="FB29" s="11">
        <f t="shared" si="24"/>
        <v>0</v>
      </c>
      <c r="FC29" s="11">
        <f t="shared" si="25"/>
        <v>0</v>
      </c>
      <c r="FD29" s="11">
        <f t="shared" si="26"/>
        <v>0</v>
      </c>
      <c r="FE29" s="11">
        <f t="shared" si="27"/>
        <v>0</v>
      </c>
      <c r="FF29" s="11">
        <f t="shared" si="28"/>
        <v>0</v>
      </c>
      <c r="FG29" s="11">
        <f t="shared" si="29"/>
        <v>0</v>
      </c>
      <c r="FH29" s="11">
        <f t="shared" si="30"/>
        <v>0</v>
      </c>
      <c r="FI29" s="11">
        <f t="shared" si="31"/>
        <v>0</v>
      </c>
      <c r="FJ29" s="11">
        <f t="shared" si="32"/>
        <v>0</v>
      </c>
      <c r="FK29" s="11">
        <f t="shared" si="33"/>
        <v>0</v>
      </c>
      <c r="FL29" s="11">
        <f t="shared" si="34"/>
        <v>0</v>
      </c>
      <c r="FM29" s="11">
        <f t="shared" si="65"/>
        <v>0</v>
      </c>
      <c r="FO29" s="85">
        <v>7</v>
      </c>
      <c r="FP29" s="520">
        <f>DATE(YEAR(EXPEDIENTE!$F$25),FO29,1)</f>
        <v>45839</v>
      </c>
      <c r="FQ29" s="520" t="str">
        <f>IF('GASTOS EJER. 1'!I58="","",'GASTOS EJER. 1'!I58)</f>
        <v/>
      </c>
      <c r="FR29" s="527">
        <f>'GASTOS EJER. 1'!X26</f>
        <v>0</v>
      </c>
      <c r="FS29" s="527">
        <f>'GASTOS EJER. 1'!H58</f>
        <v>0</v>
      </c>
      <c r="FT29" s="11">
        <f t="shared" si="135"/>
        <v>0</v>
      </c>
      <c r="FU29" s="527">
        <f t="shared" si="109"/>
        <v>0</v>
      </c>
      <c r="FW29" s="515">
        <v>7</v>
      </c>
      <c r="FX29" s="526">
        <f>'GASTOS EJER. 1'!$C44</f>
        <v>0</v>
      </c>
      <c r="FY29" s="524" t="str">
        <f t="shared" si="110"/>
        <v/>
      </c>
      <c r="FZ29" s="524" t="str">
        <f t="shared" si="110"/>
        <v/>
      </c>
      <c r="GA29" s="14">
        <f t="shared" si="111"/>
        <v>0</v>
      </c>
      <c r="GB29" s="527">
        <f>'GASTOS EJER. 1'!CM44</f>
        <v>0</v>
      </c>
      <c r="GC29" s="520" t="str">
        <f>IF(GB29=0,"",'GASTOS EJER. 1'!CT44)</f>
        <v/>
      </c>
      <c r="GD29" s="520" t="str">
        <f t="shared" si="112"/>
        <v/>
      </c>
      <c r="GE29" s="518" t="e">
        <f>IF(AND(GD29&gt;=EXPEDIENTE!$F$25,GD29&lt;=EXPEDIENTE!$F$29),ROUNDDOWN(GB29/GA29,2),0)</f>
        <v>#DIV/0!</v>
      </c>
      <c r="GG29" s="14">
        <v>10</v>
      </c>
      <c r="GH29" s="482">
        <f t="shared" si="104"/>
        <v>45931</v>
      </c>
      <c r="GI29" s="482">
        <f t="shared" si="105"/>
        <v>45961</v>
      </c>
      <c r="GJ29" s="14" t="str">
        <f>IF(AND(GI29&gt;=EXPEDIENTE!$F$25,GH29&lt;=EXPEDIENTE!$F$29),"SI","NO")</f>
        <v>SI</v>
      </c>
      <c r="GK29" s="11">
        <f t="shared" si="66"/>
        <v>0</v>
      </c>
      <c r="GL29" s="11">
        <f t="shared" si="67"/>
        <v>0</v>
      </c>
      <c r="GM29" s="11">
        <f t="shared" si="68"/>
        <v>0</v>
      </c>
      <c r="GN29" s="11">
        <f t="shared" si="69"/>
        <v>0</v>
      </c>
      <c r="GO29" s="11">
        <f t="shared" si="70"/>
        <v>0</v>
      </c>
      <c r="GP29" s="11">
        <f t="shared" si="71"/>
        <v>0</v>
      </c>
      <c r="GQ29" s="11">
        <f t="shared" si="72"/>
        <v>0</v>
      </c>
      <c r="GR29" s="11">
        <f t="shared" si="73"/>
        <v>0</v>
      </c>
      <c r="GS29" s="11">
        <f t="shared" si="74"/>
        <v>0</v>
      </c>
      <c r="GT29" s="11">
        <f t="shared" si="75"/>
        <v>0</v>
      </c>
      <c r="GU29" s="11">
        <f t="shared" si="76"/>
        <v>0</v>
      </c>
      <c r="GV29" s="11">
        <f t="shared" si="77"/>
        <v>0</v>
      </c>
      <c r="GW29" s="11">
        <f t="shared" si="78"/>
        <v>0</v>
      </c>
      <c r="GX29" s="11">
        <f t="shared" si="79"/>
        <v>0</v>
      </c>
      <c r="GY29" s="11">
        <f t="shared" si="80"/>
        <v>0</v>
      </c>
      <c r="GZ29" s="11">
        <f t="shared" si="81"/>
        <v>0</v>
      </c>
      <c r="HA29" s="11">
        <f t="shared" si="82"/>
        <v>0</v>
      </c>
      <c r="HB29" s="11">
        <f t="shared" si="83"/>
        <v>0</v>
      </c>
      <c r="HC29" s="11">
        <f t="shared" si="84"/>
        <v>0</v>
      </c>
      <c r="HD29" s="11">
        <f t="shared" si="85"/>
        <v>0</v>
      </c>
      <c r="HE29" s="11">
        <f t="shared" si="86"/>
        <v>0</v>
      </c>
      <c r="HF29" s="11">
        <f t="shared" si="87"/>
        <v>0</v>
      </c>
      <c r="HG29" s="11">
        <f t="shared" si="88"/>
        <v>0</v>
      </c>
      <c r="HH29" s="11">
        <f t="shared" si="89"/>
        <v>0</v>
      </c>
      <c r="HI29" s="11">
        <f t="shared" si="90"/>
        <v>0</v>
      </c>
      <c r="HJ29" s="11">
        <f t="shared" si="91"/>
        <v>0</v>
      </c>
      <c r="HK29" s="11">
        <f t="shared" si="92"/>
        <v>0</v>
      </c>
      <c r="HL29" s="11">
        <f t="shared" si="93"/>
        <v>0</v>
      </c>
      <c r="HM29" s="11">
        <f t="shared" si="94"/>
        <v>0</v>
      </c>
      <c r="HN29" s="11">
        <f t="shared" si="95"/>
        <v>0</v>
      </c>
      <c r="HO29" s="11">
        <f t="shared" si="96"/>
        <v>0</v>
      </c>
      <c r="HP29" s="11">
        <f t="shared" si="97"/>
        <v>0</v>
      </c>
      <c r="HQ29" s="11">
        <f t="shared" si="98"/>
        <v>0</v>
      </c>
      <c r="HT29" s="85">
        <v>7</v>
      </c>
      <c r="HU29" s="520">
        <f>DATE(YEAR(EXPEDIENTE!$F$25),HT29,1)</f>
        <v>45839</v>
      </c>
      <c r="HV29" s="520" t="str">
        <f>IF('GASTOS EJER. 1'!BF58="","",'GASTOS EJER. 1'!BF58)</f>
        <v/>
      </c>
      <c r="HW29" s="527">
        <f>'GASTOS EJER. 1'!CM26</f>
        <v>0</v>
      </c>
      <c r="HX29" s="527">
        <f>'GASTOS EJER. 1'!BA58</f>
        <v>0</v>
      </c>
      <c r="HY29" s="11">
        <f t="shared" si="136"/>
        <v>0</v>
      </c>
      <c r="HZ29" s="527">
        <f t="shared" si="113"/>
        <v>0</v>
      </c>
      <c r="JF29" s="485">
        <v>25</v>
      </c>
      <c r="JG29" s="474">
        <f t="shared" si="101"/>
        <v>8</v>
      </c>
    </row>
    <row r="30" spans="3:267" ht="15.75" customHeight="1" thickBot="1" x14ac:dyDescent="0.35">
      <c r="C30" s="8">
        <v>24</v>
      </c>
      <c r="D30" s="12"/>
      <c r="E30" s="17"/>
      <c r="F30" s="18"/>
      <c r="G30" s="19"/>
      <c r="H30" s="19"/>
      <c r="I30" s="19"/>
      <c r="J30" s="12"/>
      <c r="K30" s="14">
        <f t="shared" si="43"/>
        <v>76</v>
      </c>
      <c r="L30" s="14">
        <f t="shared" si="44"/>
        <v>76</v>
      </c>
      <c r="M30" s="14" t="str">
        <f t="shared" si="45"/>
        <v>X</v>
      </c>
      <c r="V30" s="1134"/>
      <c r="W30" s="24" t="s">
        <v>457</v>
      </c>
      <c r="Y30" s="547">
        <f t="shared" si="46"/>
        <v>24</v>
      </c>
      <c r="Z30" s="478" t="str">
        <f>IF(Y30="","",IF(EDATE($Z$6,Y30)&gt;EXPEDIENTE!$F$27,"",EDATE($Z$6,Y30)))</f>
        <v/>
      </c>
      <c r="AA30" s="478" t="str">
        <f t="shared" ref="AA30:AA54" si="170">IF(Z30="","",TEXT(Z30,"mmm-aa"))</f>
        <v/>
      </c>
      <c r="AB30" s="478" t="str">
        <f>IF(AA30="","",IF(YEAR(EXPEDIENTE!$F$25)=YEAR(AA30),AA30,""))</f>
        <v/>
      </c>
      <c r="AC30" s="478" t="str">
        <f>IF(AA30="","",IF(YEAR(EXPEDIENTE!$F$25)+1=YEAR(AA30),AA30,""))</f>
        <v/>
      </c>
      <c r="AD30" s="478" t="str">
        <f>IF(AA30="","",IF(YEAR(EXPEDIENTE!$F$25)+2=YEAR(AA30),AA30,""))</f>
        <v/>
      </c>
      <c r="AE30" s="478" t="str">
        <f>IF(AA30="","",IF(YEAR(EXPEDIENTE!$F$25)+3=YEAR(AA30),AA30,""))</f>
        <v/>
      </c>
      <c r="AG30" s="584">
        <v>7</v>
      </c>
      <c r="AH30" s="516">
        <f>'GASTOS EJER. 1'!M44</f>
        <v>0</v>
      </c>
      <c r="AI30" s="517">
        <f>'GASTOS EJER. 1'!X44</f>
        <v>0</v>
      </c>
      <c r="AJ30" s="587">
        <f>'GASTOS EJER. 1'!Y44</f>
        <v>0</v>
      </c>
      <c r="AK30" s="518">
        <f t="shared" si="137"/>
        <v>0</v>
      </c>
      <c r="AM30" s="519">
        <f>'GASTOS EJER. 1'!F44+'GASTOS EJER. 1'!L44-'GASTOS EJER. 1'!X44-'GASTOS EJER. 1'!Y44</f>
        <v>0</v>
      </c>
      <c r="AN30" s="520" t="str">
        <f>IF('GASTOS EJER. 1'!AA44="","",'GASTOS EJER. 1'!AA44)</f>
        <v/>
      </c>
      <c r="AO30" s="517">
        <f>'GASTOS EJER. 1'!Y44</f>
        <v>0</v>
      </c>
      <c r="AP30" s="521" t="str">
        <f>IF('GASTOS EJER. 1'!AB44="","",'GASTOS EJER. 1'!AB44)</f>
        <v/>
      </c>
      <c r="AQ30" s="522">
        <f>IF(AND(AN30&gt;=EXPEDIENTE!$I$25,AN30&lt;=EXPEDIENTE!$I$29),AM30,0)</f>
        <v>0</v>
      </c>
      <c r="AR30" s="11">
        <f>IF(AND(AP30&gt;=EXPEDIENTE!$I$25,AP30&lt;=EXPEDIENTE!$I$29),AO30,0)</f>
        <v>0</v>
      </c>
      <c r="AS30" s="518">
        <f t="shared" si="138"/>
        <v>0</v>
      </c>
      <c r="AT30" s="523" t="str">
        <f>IF('GASTOS EJER. 1'!D44="","",'GASTOS EJER. 1'!D44)</f>
        <v/>
      </c>
      <c r="AU30" s="524" t="str">
        <f>IF('GASTOS EJER. 1'!E44="","",'GASTOS EJER. 1'!E44)</f>
        <v/>
      </c>
      <c r="AV30" s="594">
        <f t="shared" si="139"/>
        <v>0</v>
      </c>
      <c r="AW30" s="525">
        <f t="shared" si="140"/>
        <v>0</v>
      </c>
      <c r="AX30" s="24">
        <f t="shared" si="141"/>
        <v>0</v>
      </c>
      <c r="AY30" s="604">
        <f t="shared" si="142"/>
        <v>0</v>
      </c>
      <c r="AZ30" s="607">
        <f t="shared" si="143"/>
        <v>0</v>
      </c>
      <c r="BB30" s="596">
        <v>7</v>
      </c>
      <c r="BC30" s="598">
        <f t="shared" si="114"/>
        <v>45839</v>
      </c>
      <c r="BD30" s="601">
        <f t="shared" si="144"/>
        <v>0</v>
      </c>
      <c r="BE30" s="643">
        <f t="shared" si="145"/>
        <v>0</v>
      </c>
      <c r="BF30" s="643">
        <f t="shared" si="146"/>
        <v>0</v>
      </c>
      <c r="BG30" s="643">
        <f t="shared" si="147"/>
        <v>0</v>
      </c>
      <c r="BH30" s="643">
        <f t="shared" si="148"/>
        <v>0</v>
      </c>
      <c r="BI30" s="643">
        <f t="shared" si="149"/>
        <v>0</v>
      </c>
      <c r="BJ30" s="643">
        <f t="shared" si="150"/>
        <v>0</v>
      </c>
      <c r="BK30" s="644">
        <f t="shared" si="151"/>
        <v>0</v>
      </c>
      <c r="BL30" s="645">
        <f t="shared" si="152"/>
        <v>0</v>
      </c>
      <c r="BN30" s="621">
        <f t="shared" si="115"/>
        <v>0</v>
      </c>
      <c r="BO30" s="649">
        <f t="shared" si="116"/>
        <v>0</v>
      </c>
      <c r="BP30" s="649">
        <f t="shared" si="117"/>
        <v>0</v>
      </c>
      <c r="BQ30" s="649">
        <f t="shared" si="118"/>
        <v>0</v>
      </c>
      <c r="BR30" s="649">
        <f t="shared" si="119"/>
        <v>0</v>
      </c>
      <c r="BS30" s="649">
        <f t="shared" si="120"/>
        <v>0</v>
      </c>
      <c r="BT30" s="649">
        <f t="shared" si="121"/>
        <v>0</v>
      </c>
      <c r="BU30" s="650">
        <f t="shared" si="122"/>
        <v>0</v>
      </c>
      <c r="BV30" s="645">
        <f t="shared" si="123"/>
        <v>0</v>
      </c>
      <c r="BX30" s="645">
        <f t="shared" si="153"/>
        <v>0</v>
      </c>
      <c r="BZ30" s="616">
        <v>7</v>
      </c>
      <c r="CA30" s="516">
        <f>'GASTOS EJER. 1'!BN44</f>
        <v>0</v>
      </c>
      <c r="CB30" s="517">
        <f>'GASTOS EJER. 1'!CM44</f>
        <v>0</v>
      </c>
      <c r="CC30" s="587">
        <f>'GASTOS EJER. 1'!CP44</f>
        <v>0</v>
      </c>
      <c r="CD30" s="518">
        <f t="shared" si="154"/>
        <v>0</v>
      </c>
      <c r="CF30" s="519">
        <f>'GASTOS EJER. 1'!AW44+'GASTOS EJER. 1'!BM44-'GASTOS EJER. 1'!CM44-'GASTOS EJER. 1'!CP44</f>
        <v>0</v>
      </c>
      <c r="CG30" s="520" t="str">
        <f>IF('GASTOS EJER. 1'!CT44="","",'GASTOS EJER. 1'!CT44)</f>
        <v/>
      </c>
      <c r="CH30" s="517">
        <f>'GASTOS EJER. 1'!CP44</f>
        <v>0</v>
      </c>
      <c r="CI30" s="521" t="str">
        <f>IF('GASTOS EJER. 1'!CW44="","",'GASTOS EJER. 1'!CW44)</f>
        <v/>
      </c>
      <c r="CJ30" s="522">
        <f>IF(AND(CG30&gt;=EXPEDIENTE!$I$25,CG30&lt;=EXPEDIENTE!$I$29),CF30,0)</f>
        <v>0</v>
      </c>
      <c r="CK30" s="11">
        <f>IF(AND(CI30&gt;=EXPEDIENTE!$I$25,CI30&lt;=EXPEDIENTE!$I$29),CH30,0)</f>
        <v>0</v>
      </c>
      <c r="CL30" s="518">
        <f t="shared" si="155"/>
        <v>0</v>
      </c>
      <c r="CM30" s="523" t="str">
        <f>IF('GASTOS EJER. 1'!AQ44="","",'GASTOS EJER. 1'!AQ44)</f>
        <v/>
      </c>
      <c r="CN30" s="524" t="str">
        <f>IF('GASTOS EJER. 1'!AT44="","",'GASTOS EJER. 1'!AT44)</f>
        <v/>
      </c>
      <c r="CO30" s="594">
        <f t="shared" si="156"/>
        <v>0</v>
      </c>
      <c r="CP30" s="525">
        <f t="shared" si="157"/>
        <v>0</v>
      </c>
      <c r="CQ30" s="24">
        <f t="shared" si="124"/>
        <v>0</v>
      </c>
      <c r="CR30" s="604">
        <f t="shared" si="158"/>
        <v>0</v>
      </c>
      <c r="CS30" s="607">
        <f t="shared" si="159"/>
        <v>0</v>
      </c>
      <c r="CU30" s="620">
        <v>7</v>
      </c>
      <c r="CV30" s="598">
        <f t="shared" si="125"/>
        <v>45839</v>
      </c>
      <c r="CW30" s="621">
        <f t="shared" si="160"/>
        <v>0</v>
      </c>
      <c r="CX30" s="649">
        <f t="shared" si="161"/>
        <v>0</v>
      </c>
      <c r="CY30" s="649">
        <f t="shared" si="162"/>
        <v>0</v>
      </c>
      <c r="CZ30" s="649">
        <f t="shared" si="163"/>
        <v>0</v>
      </c>
      <c r="DA30" s="649">
        <f t="shared" si="164"/>
        <v>0</v>
      </c>
      <c r="DB30" s="649">
        <f t="shared" si="165"/>
        <v>0</v>
      </c>
      <c r="DC30" s="649">
        <f t="shared" si="166"/>
        <v>0</v>
      </c>
      <c r="DD30" s="650">
        <f t="shared" si="167"/>
        <v>0</v>
      </c>
      <c r="DE30" s="645">
        <f t="shared" si="168"/>
        <v>0</v>
      </c>
      <c r="DG30" s="621">
        <f t="shared" si="126"/>
        <v>0</v>
      </c>
      <c r="DH30" s="649">
        <f t="shared" si="127"/>
        <v>0</v>
      </c>
      <c r="DI30" s="649">
        <f t="shared" si="128"/>
        <v>0</v>
      </c>
      <c r="DJ30" s="649">
        <f t="shared" si="129"/>
        <v>0</v>
      </c>
      <c r="DK30" s="649">
        <f t="shared" si="130"/>
        <v>0</v>
      </c>
      <c r="DL30" s="649">
        <f t="shared" si="131"/>
        <v>0</v>
      </c>
      <c r="DM30" s="649">
        <f t="shared" si="132"/>
        <v>0</v>
      </c>
      <c r="DN30" s="650">
        <f t="shared" si="133"/>
        <v>0</v>
      </c>
      <c r="DO30" s="655">
        <f t="shared" si="134"/>
        <v>0</v>
      </c>
      <c r="DQ30" s="655">
        <f t="shared" si="169"/>
        <v>0</v>
      </c>
      <c r="DS30" s="528">
        <v>8</v>
      </c>
      <c r="DT30" s="539">
        <f>'GASTOS EJER. 1'!$C45</f>
        <v>0</v>
      </c>
      <c r="DU30" s="537" t="str">
        <f t="shared" si="106"/>
        <v/>
      </c>
      <c r="DV30" s="537" t="str">
        <f t="shared" si="106"/>
        <v/>
      </c>
      <c r="DW30" s="540">
        <f t="shared" si="107"/>
        <v>0</v>
      </c>
      <c r="DX30" s="541">
        <f>'GASTOS EJER. 1'!X45</f>
        <v>0</v>
      </c>
      <c r="DY30" s="533" t="str">
        <f>IF(DX30=0,"",'GASTOS EJER. 1'!AA45)</f>
        <v/>
      </c>
      <c r="DZ30" s="533" t="str">
        <f t="shared" si="108"/>
        <v/>
      </c>
      <c r="EA30" s="531" t="e">
        <f>IF(AND(DZ30&gt;=EXPEDIENTE!$F$25,DZ30&lt;=EXPEDIENTE!$F$29),ROUNDDOWN(DX30/DW30,2),0)</f>
        <v>#DIV/0!</v>
      </c>
      <c r="EC30" s="14">
        <v>11</v>
      </c>
      <c r="ED30" s="482">
        <f t="shared" si="102"/>
        <v>45962</v>
      </c>
      <c r="EE30" s="482">
        <f t="shared" si="103"/>
        <v>45991</v>
      </c>
      <c r="EF30" s="14" t="str">
        <f>IF(AND(EE30&gt;=EXPEDIENTE!$F$25,ED30&lt;=EXPEDIENTE!$F$29),"SI","NO")</f>
        <v>SI</v>
      </c>
      <c r="EG30" s="11">
        <f t="shared" si="3"/>
        <v>0</v>
      </c>
      <c r="EH30" s="11">
        <f t="shared" si="4"/>
        <v>0</v>
      </c>
      <c r="EI30" s="11">
        <f t="shared" si="5"/>
        <v>0</v>
      </c>
      <c r="EJ30" s="11">
        <f t="shared" si="6"/>
        <v>0</v>
      </c>
      <c r="EK30" s="11">
        <f t="shared" si="7"/>
        <v>0</v>
      </c>
      <c r="EL30" s="11">
        <f t="shared" si="8"/>
        <v>0</v>
      </c>
      <c r="EM30" s="11">
        <f t="shared" si="9"/>
        <v>0</v>
      </c>
      <c r="EN30" s="11">
        <f t="shared" si="10"/>
        <v>0</v>
      </c>
      <c r="EO30" s="11">
        <f t="shared" si="11"/>
        <v>0</v>
      </c>
      <c r="EP30" s="11">
        <f t="shared" si="12"/>
        <v>0</v>
      </c>
      <c r="EQ30" s="11">
        <f t="shared" si="13"/>
        <v>0</v>
      </c>
      <c r="ER30" s="11">
        <f t="shared" si="14"/>
        <v>0</v>
      </c>
      <c r="ES30" s="11">
        <f t="shared" si="15"/>
        <v>0</v>
      </c>
      <c r="ET30" s="11">
        <f t="shared" si="16"/>
        <v>0</v>
      </c>
      <c r="EU30" s="11">
        <f t="shared" si="17"/>
        <v>0</v>
      </c>
      <c r="EV30" s="11">
        <f t="shared" si="18"/>
        <v>0</v>
      </c>
      <c r="EW30" s="11">
        <f t="shared" si="19"/>
        <v>0</v>
      </c>
      <c r="EX30" s="11">
        <f t="shared" si="20"/>
        <v>0</v>
      </c>
      <c r="EY30" s="11">
        <f t="shared" si="21"/>
        <v>0</v>
      </c>
      <c r="EZ30" s="11">
        <f t="shared" si="22"/>
        <v>0</v>
      </c>
      <c r="FA30" s="11">
        <f t="shared" si="23"/>
        <v>0</v>
      </c>
      <c r="FB30" s="11">
        <f t="shared" si="24"/>
        <v>0</v>
      </c>
      <c r="FC30" s="11">
        <f t="shared" si="25"/>
        <v>0</v>
      </c>
      <c r="FD30" s="11">
        <f t="shared" si="26"/>
        <v>0</v>
      </c>
      <c r="FE30" s="11">
        <f t="shared" si="27"/>
        <v>0</v>
      </c>
      <c r="FF30" s="11">
        <f t="shared" si="28"/>
        <v>0</v>
      </c>
      <c r="FG30" s="11">
        <f t="shared" si="29"/>
        <v>0</v>
      </c>
      <c r="FH30" s="11">
        <f t="shared" si="30"/>
        <v>0</v>
      </c>
      <c r="FI30" s="11">
        <f t="shared" si="31"/>
        <v>0</v>
      </c>
      <c r="FJ30" s="11">
        <f t="shared" si="32"/>
        <v>0</v>
      </c>
      <c r="FK30" s="11">
        <f t="shared" si="33"/>
        <v>0</v>
      </c>
      <c r="FL30" s="11">
        <f t="shared" si="34"/>
        <v>0</v>
      </c>
      <c r="FM30" s="11">
        <f t="shared" si="65"/>
        <v>0</v>
      </c>
      <c r="FO30" s="85">
        <v>8</v>
      </c>
      <c r="FP30" s="520">
        <f>DATE(YEAR(EXPEDIENTE!$F$25),FO30,1)</f>
        <v>45870</v>
      </c>
      <c r="FQ30" s="520" t="str">
        <f>IF('GASTOS EJER. 1'!I59="","",'GASTOS EJER. 1'!I59)</f>
        <v/>
      </c>
      <c r="FR30" s="527">
        <f>'GASTOS EJER. 1'!X27</f>
        <v>0</v>
      </c>
      <c r="FS30" s="527">
        <f>'GASTOS EJER. 1'!H59</f>
        <v>0</v>
      </c>
      <c r="FT30" s="11">
        <f t="shared" si="135"/>
        <v>0</v>
      </c>
      <c r="FU30" s="527">
        <f t="shared" si="109"/>
        <v>0</v>
      </c>
      <c r="FW30" s="528">
        <v>8</v>
      </c>
      <c r="FX30" s="539">
        <f>'GASTOS EJER. 1'!$C45</f>
        <v>0</v>
      </c>
      <c r="FY30" s="537" t="str">
        <f t="shared" si="110"/>
        <v/>
      </c>
      <c r="FZ30" s="537" t="str">
        <f t="shared" si="110"/>
        <v/>
      </c>
      <c r="GA30" s="540">
        <f t="shared" si="111"/>
        <v>0</v>
      </c>
      <c r="GB30" s="541">
        <f>'GASTOS EJER. 1'!CM45</f>
        <v>0</v>
      </c>
      <c r="GC30" s="533" t="str">
        <f>IF(GB30=0,"",'GASTOS EJER. 1'!CT45)</f>
        <v/>
      </c>
      <c r="GD30" s="533" t="str">
        <f t="shared" si="112"/>
        <v/>
      </c>
      <c r="GE30" s="531" t="e">
        <f>IF(AND(GD30&gt;=EXPEDIENTE!$F$25,GD30&lt;=EXPEDIENTE!$F$29),ROUNDDOWN(GB30/GA30,2),0)</f>
        <v>#DIV/0!</v>
      </c>
      <c r="GG30" s="14">
        <v>11</v>
      </c>
      <c r="GH30" s="482">
        <f t="shared" si="104"/>
        <v>45962</v>
      </c>
      <c r="GI30" s="482">
        <f t="shared" si="105"/>
        <v>45991</v>
      </c>
      <c r="GJ30" s="14" t="str">
        <f>IF(AND(GI30&gt;=EXPEDIENTE!$F$25,GH30&lt;=EXPEDIENTE!$F$29),"SI","NO")</f>
        <v>SI</v>
      </c>
      <c r="GK30" s="11">
        <f t="shared" si="66"/>
        <v>0</v>
      </c>
      <c r="GL30" s="11">
        <f t="shared" si="67"/>
        <v>0</v>
      </c>
      <c r="GM30" s="11">
        <f t="shared" si="68"/>
        <v>0</v>
      </c>
      <c r="GN30" s="11">
        <f t="shared" si="69"/>
        <v>0</v>
      </c>
      <c r="GO30" s="11">
        <f t="shared" si="70"/>
        <v>0</v>
      </c>
      <c r="GP30" s="11">
        <f t="shared" si="71"/>
        <v>0</v>
      </c>
      <c r="GQ30" s="11">
        <f t="shared" si="72"/>
        <v>0</v>
      </c>
      <c r="GR30" s="11">
        <f t="shared" si="73"/>
        <v>0</v>
      </c>
      <c r="GS30" s="11">
        <f t="shared" si="74"/>
        <v>0</v>
      </c>
      <c r="GT30" s="11">
        <f t="shared" si="75"/>
        <v>0</v>
      </c>
      <c r="GU30" s="11">
        <f t="shared" si="76"/>
        <v>0</v>
      </c>
      <c r="GV30" s="11">
        <f t="shared" si="77"/>
        <v>0</v>
      </c>
      <c r="GW30" s="11">
        <f t="shared" si="78"/>
        <v>0</v>
      </c>
      <c r="GX30" s="11">
        <f t="shared" si="79"/>
        <v>0</v>
      </c>
      <c r="GY30" s="11">
        <f t="shared" si="80"/>
        <v>0</v>
      </c>
      <c r="GZ30" s="11">
        <f t="shared" si="81"/>
        <v>0</v>
      </c>
      <c r="HA30" s="11">
        <f t="shared" si="82"/>
        <v>0</v>
      </c>
      <c r="HB30" s="11">
        <f t="shared" si="83"/>
        <v>0</v>
      </c>
      <c r="HC30" s="11">
        <f t="shared" si="84"/>
        <v>0</v>
      </c>
      <c r="HD30" s="11">
        <f t="shared" si="85"/>
        <v>0</v>
      </c>
      <c r="HE30" s="11">
        <f t="shared" si="86"/>
        <v>0</v>
      </c>
      <c r="HF30" s="11">
        <f t="shared" si="87"/>
        <v>0</v>
      </c>
      <c r="HG30" s="11">
        <f t="shared" si="88"/>
        <v>0</v>
      </c>
      <c r="HH30" s="11">
        <f t="shared" si="89"/>
        <v>0</v>
      </c>
      <c r="HI30" s="11">
        <f t="shared" si="90"/>
        <v>0</v>
      </c>
      <c r="HJ30" s="11">
        <f t="shared" si="91"/>
        <v>0</v>
      </c>
      <c r="HK30" s="11">
        <f t="shared" si="92"/>
        <v>0</v>
      </c>
      <c r="HL30" s="11">
        <f t="shared" si="93"/>
        <v>0</v>
      </c>
      <c r="HM30" s="11">
        <f t="shared" si="94"/>
        <v>0</v>
      </c>
      <c r="HN30" s="11">
        <f t="shared" si="95"/>
        <v>0</v>
      </c>
      <c r="HO30" s="11">
        <f t="shared" si="96"/>
        <v>0</v>
      </c>
      <c r="HP30" s="11">
        <f t="shared" si="97"/>
        <v>0</v>
      </c>
      <c r="HQ30" s="11">
        <f t="shared" si="98"/>
        <v>0</v>
      </c>
      <c r="HT30" s="85">
        <v>8</v>
      </c>
      <c r="HU30" s="520">
        <f>DATE(YEAR(EXPEDIENTE!$F$25),HT30,1)</f>
        <v>45870</v>
      </c>
      <c r="HV30" s="520" t="str">
        <f>IF('GASTOS EJER. 1'!BF59="","",'GASTOS EJER. 1'!BF59)</f>
        <v/>
      </c>
      <c r="HW30" s="527">
        <f>'GASTOS EJER. 1'!CM27</f>
        <v>0</v>
      </c>
      <c r="HX30" s="527">
        <f>'GASTOS EJER. 1'!BA59</f>
        <v>0</v>
      </c>
      <c r="HY30" s="11">
        <f t="shared" si="136"/>
        <v>0</v>
      </c>
      <c r="HZ30" s="527">
        <f t="shared" si="113"/>
        <v>0</v>
      </c>
      <c r="JF30" s="477">
        <v>26</v>
      </c>
      <c r="JG30" s="474">
        <f t="shared" si="101"/>
        <v>10</v>
      </c>
    </row>
    <row r="31" spans="3:267" ht="15.75" thickBot="1" x14ac:dyDescent="0.35">
      <c r="C31" s="8">
        <v>25</v>
      </c>
      <c r="D31" s="12"/>
      <c r="E31" s="17"/>
      <c r="F31" s="18"/>
      <c r="G31" s="19"/>
      <c r="H31" s="19"/>
      <c r="I31" s="19"/>
      <c r="J31" s="12"/>
      <c r="K31" s="14">
        <f t="shared" si="43"/>
        <v>76</v>
      </c>
      <c r="L31" s="14">
        <f t="shared" si="44"/>
        <v>76</v>
      </c>
      <c r="M31" s="14" t="str">
        <f t="shared" si="45"/>
        <v>X</v>
      </c>
      <c r="V31" s="1134"/>
      <c r="W31" s="24" t="s">
        <v>458</v>
      </c>
      <c r="Y31" s="547">
        <f t="shared" si="46"/>
        <v>25</v>
      </c>
      <c r="Z31" s="478" t="str">
        <f>IF(Y31="","",IF(EDATE($Z$6,Y31)&gt;EXPEDIENTE!$F$27,"",EDATE($Z$6,Y31)))</f>
        <v/>
      </c>
      <c r="AA31" s="478" t="str">
        <f t="shared" si="170"/>
        <v/>
      </c>
      <c r="AB31" s="478" t="str">
        <f>IF(AA31="","",IF(YEAR(EXPEDIENTE!$F$25)=YEAR(AA31),AA31,""))</f>
        <v/>
      </c>
      <c r="AC31" s="478" t="str">
        <f>IF(AA31="","",IF(YEAR(EXPEDIENTE!$F$25)+1=YEAR(AA31),AA31,""))</f>
        <v/>
      </c>
      <c r="AD31" s="478" t="str">
        <f>IF(AA31="","",IF(YEAR(EXPEDIENTE!$F$25)+2=YEAR(AA31),AA31,""))</f>
        <v/>
      </c>
      <c r="AE31" s="478" t="str">
        <f>IF(AA31="","",IF(YEAR(EXPEDIENTE!$F$25)+3=YEAR(AA31),AA31,""))</f>
        <v/>
      </c>
      <c r="AG31" s="585">
        <v>8</v>
      </c>
      <c r="AH31" s="529">
        <f>'GASTOS EJER. 1'!M45</f>
        <v>0</v>
      </c>
      <c r="AI31" s="530">
        <f>'GASTOS EJER. 1'!X45</f>
        <v>0</v>
      </c>
      <c r="AJ31" s="588">
        <f>'GASTOS EJER. 1'!Y45</f>
        <v>0</v>
      </c>
      <c r="AK31" s="531">
        <f t="shared" si="137"/>
        <v>0</v>
      </c>
      <c r="AM31" s="532">
        <f>'GASTOS EJER. 1'!F45+'GASTOS EJER. 1'!L45-'GASTOS EJER. 1'!X45-'GASTOS EJER. 1'!Y45</f>
        <v>0</v>
      </c>
      <c r="AN31" s="533" t="str">
        <f>IF('GASTOS EJER. 1'!AA45="","",'GASTOS EJER. 1'!AA45)</f>
        <v/>
      </c>
      <c r="AO31" s="530">
        <f>'GASTOS EJER. 1'!Y45</f>
        <v>0</v>
      </c>
      <c r="AP31" s="534" t="str">
        <f>IF('GASTOS EJER. 1'!AB45="","",'GASTOS EJER. 1'!AB45)</f>
        <v/>
      </c>
      <c r="AQ31" s="535">
        <f>IF(AND(AN31&gt;=EXPEDIENTE!$I$25,AN31&lt;=EXPEDIENTE!$I$29),AM31,0)</f>
        <v>0</v>
      </c>
      <c r="AR31" s="487">
        <f>IF(AND(AP31&gt;=EXPEDIENTE!$I$25,AP31&lt;=EXPEDIENTE!$I$29),AO31,0)</f>
        <v>0</v>
      </c>
      <c r="AS31" s="531">
        <f t="shared" si="138"/>
        <v>0</v>
      </c>
      <c r="AT31" s="536" t="str">
        <f>IF('GASTOS EJER. 1'!D45="","",'GASTOS EJER. 1'!D45)</f>
        <v/>
      </c>
      <c r="AU31" s="537" t="str">
        <f>IF('GASTOS EJER. 1'!E45="","",'GASTOS EJER. 1'!E45)</f>
        <v/>
      </c>
      <c r="AV31" s="595">
        <f t="shared" si="139"/>
        <v>0</v>
      </c>
      <c r="AW31" s="538">
        <f t="shared" si="140"/>
        <v>0</v>
      </c>
      <c r="AX31" s="20">
        <f t="shared" si="141"/>
        <v>0</v>
      </c>
      <c r="AY31" s="605">
        <f t="shared" si="142"/>
        <v>0</v>
      </c>
      <c r="AZ31" s="608">
        <f t="shared" si="143"/>
        <v>0</v>
      </c>
      <c r="BB31" s="596">
        <v>8</v>
      </c>
      <c r="BC31" s="598">
        <f t="shared" si="114"/>
        <v>45870</v>
      </c>
      <c r="BD31" s="601">
        <f t="shared" si="144"/>
        <v>0</v>
      </c>
      <c r="BE31" s="643">
        <f t="shared" si="145"/>
        <v>0</v>
      </c>
      <c r="BF31" s="643">
        <f t="shared" si="146"/>
        <v>0</v>
      </c>
      <c r="BG31" s="643">
        <f t="shared" si="147"/>
        <v>0</v>
      </c>
      <c r="BH31" s="643">
        <f t="shared" si="148"/>
        <v>0</v>
      </c>
      <c r="BI31" s="643">
        <f t="shared" si="149"/>
        <v>0</v>
      </c>
      <c r="BJ31" s="643">
        <f t="shared" si="150"/>
        <v>0</v>
      </c>
      <c r="BK31" s="644">
        <f t="shared" si="151"/>
        <v>0</v>
      </c>
      <c r="BL31" s="645">
        <f t="shared" si="152"/>
        <v>0</v>
      </c>
      <c r="BN31" s="621">
        <f t="shared" si="115"/>
        <v>0</v>
      </c>
      <c r="BO31" s="649">
        <f t="shared" si="116"/>
        <v>0</v>
      </c>
      <c r="BP31" s="649">
        <f t="shared" si="117"/>
        <v>0</v>
      </c>
      <c r="BQ31" s="649">
        <f t="shared" si="118"/>
        <v>0</v>
      </c>
      <c r="BR31" s="649">
        <f t="shared" si="119"/>
        <v>0</v>
      </c>
      <c r="BS31" s="649">
        <f t="shared" si="120"/>
        <v>0</v>
      </c>
      <c r="BT31" s="649">
        <f t="shared" si="121"/>
        <v>0</v>
      </c>
      <c r="BU31" s="650">
        <f t="shared" si="122"/>
        <v>0</v>
      </c>
      <c r="BV31" s="645">
        <f t="shared" si="123"/>
        <v>0</v>
      </c>
      <c r="BX31" s="645">
        <f t="shared" si="153"/>
        <v>0</v>
      </c>
      <c r="BZ31" s="617">
        <v>8</v>
      </c>
      <c r="CA31" s="529">
        <f>'GASTOS EJER. 1'!BN45</f>
        <v>0</v>
      </c>
      <c r="CB31" s="530">
        <f>'GASTOS EJER. 1'!CM45</f>
        <v>0</v>
      </c>
      <c r="CC31" s="588">
        <f>'GASTOS EJER. 1'!CP45</f>
        <v>0</v>
      </c>
      <c r="CD31" s="531">
        <f t="shared" si="154"/>
        <v>0</v>
      </c>
      <c r="CF31" s="532">
        <f>'GASTOS EJER. 1'!AW45+'GASTOS EJER. 1'!BM45-'GASTOS EJER. 1'!CM45-'GASTOS EJER. 1'!CP45</f>
        <v>0</v>
      </c>
      <c r="CG31" s="533" t="str">
        <f>IF('GASTOS EJER. 1'!CT45="","",'GASTOS EJER. 1'!CT45)</f>
        <v/>
      </c>
      <c r="CH31" s="530">
        <f>'GASTOS EJER. 1'!CP45</f>
        <v>0</v>
      </c>
      <c r="CI31" s="534" t="str">
        <f>IF('GASTOS EJER. 1'!CW45="","",'GASTOS EJER. 1'!CW45)</f>
        <v/>
      </c>
      <c r="CJ31" s="535">
        <f>IF(AND(CG31&gt;=EXPEDIENTE!$I$25,CG31&lt;=EXPEDIENTE!$I$29),CF31,0)</f>
        <v>0</v>
      </c>
      <c r="CK31" s="487">
        <f>IF(AND(CI31&gt;=EXPEDIENTE!$I$25,CI31&lt;=EXPEDIENTE!$I$29),CH31,0)</f>
        <v>0</v>
      </c>
      <c r="CL31" s="531">
        <f t="shared" si="155"/>
        <v>0</v>
      </c>
      <c r="CM31" s="536" t="str">
        <f>IF('GASTOS EJER. 1'!AQ45="","",'GASTOS EJER. 1'!AQ45)</f>
        <v/>
      </c>
      <c r="CN31" s="537" t="str">
        <f>IF('GASTOS EJER. 1'!AT45="","",'GASTOS EJER. 1'!AT45)</f>
        <v/>
      </c>
      <c r="CO31" s="595">
        <f t="shared" si="156"/>
        <v>0</v>
      </c>
      <c r="CP31" s="538">
        <f t="shared" si="157"/>
        <v>0</v>
      </c>
      <c r="CQ31" s="20">
        <f t="shared" si="124"/>
        <v>0</v>
      </c>
      <c r="CR31" s="605">
        <f t="shared" si="158"/>
        <v>0</v>
      </c>
      <c r="CS31" s="608">
        <f t="shared" si="159"/>
        <v>0</v>
      </c>
      <c r="CU31" s="620">
        <v>8</v>
      </c>
      <c r="CV31" s="598">
        <f t="shared" si="125"/>
        <v>45870</v>
      </c>
      <c r="CW31" s="621">
        <f t="shared" si="160"/>
        <v>0</v>
      </c>
      <c r="CX31" s="649">
        <f t="shared" si="161"/>
        <v>0</v>
      </c>
      <c r="CY31" s="649">
        <f t="shared" si="162"/>
        <v>0</v>
      </c>
      <c r="CZ31" s="649">
        <f t="shared" si="163"/>
        <v>0</v>
      </c>
      <c r="DA31" s="649">
        <f t="shared" si="164"/>
        <v>0</v>
      </c>
      <c r="DB31" s="649">
        <f t="shared" si="165"/>
        <v>0</v>
      </c>
      <c r="DC31" s="649">
        <f t="shared" si="166"/>
        <v>0</v>
      </c>
      <c r="DD31" s="650">
        <f t="shared" si="167"/>
        <v>0</v>
      </c>
      <c r="DE31" s="645">
        <f t="shared" si="168"/>
        <v>0</v>
      </c>
      <c r="DG31" s="621">
        <f t="shared" si="126"/>
        <v>0</v>
      </c>
      <c r="DH31" s="649">
        <f t="shared" si="127"/>
        <v>0</v>
      </c>
      <c r="DI31" s="649">
        <f t="shared" si="128"/>
        <v>0</v>
      </c>
      <c r="DJ31" s="649">
        <f t="shared" si="129"/>
        <v>0</v>
      </c>
      <c r="DK31" s="649">
        <f t="shared" si="130"/>
        <v>0</v>
      </c>
      <c r="DL31" s="649">
        <f t="shared" si="131"/>
        <v>0</v>
      </c>
      <c r="DM31" s="649">
        <f t="shared" si="132"/>
        <v>0</v>
      </c>
      <c r="DN31" s="650">
        <f t="shared" si="133"/>
        <v>0</v>
      </c>
      <c r="DO31" s="655">
        <f t="shared" si="134"/>
        <v>0</v>
      </c>
      <c r="DQ31" s="655">
        <f t="shared" si="169"/>
        <v>0</v>
      </c>
      <c r="DS31" s="470"/>
      <c r="EC31" s="14">
        <v>12</v>
      </c>
      <c r="ED31" s="482">
        <f t="shared" si="102"/>
        <v>45992</v>
      </c>
      <c r="EE31" s="482">
        <f t="shared" si="103"/>
        <v>46022</v>
      </c>
      <c r="EF31" s="14" t="str">
        <f>IF(AND(EE31&gt;=EXPEDIENTE!$F$25,ED31&lt;=EXPEDIENTE!$F$29),"SI","NO")</f>
        <v>SI</v>
      </c>
      <c r="EG31" s="11">
        <f t="shared" si="3"/>
        <v>0</v>
      </c>
      <c r="EH31" s="11">
        <f t="shared" si="4"/>
        <v>0</v>
      </c>
      <c r="EI31" s="11">
        <f t="shared" si="5"/>
        <v>0</v>
      </c>
      <c r="EJ31" s="11">
        <f t="shared" si="6"/>
        <v>0</v>
      </c>
      <c r="EK31" s="11">
        <f t="shared" si="7"/>
        <v>0</v>
      </c>
      <c r="EL31" s="11">
        <f t="shared" si="8"/>
        <v>0</v>
      </c>
      <c r="EM31" s="11">
        <f t="shared" si="9"/>
        <v>0</v>
      </c>
      <c r="EN31" s="11">
        <f t="shared" si="10"/>
        <v>0</v>
      </c>
      <c r="EO31" s="11">
        <f t="shared" si="11"/>
        <v>0</v>
      </c>
      <c r="EP31" s="11">
        <f t="shared" si="12"/>
        <v>0</v>
      </c>
      <c r="EQ31" s="11">
        <f t="shared" si="13"/>
        <v>0</v>
      </c>
      <c r="ER31" s="11">
        <f t="shared" si="14"/>
        <v>0</v>
      </c>
      <c r="ES31" s="11">
        <f t="shared" si="15"/>
        <v>0</v>
      </c>
      <c r="ET31" s="11">
        <f t="shared" si="16"/>
        <v>0</v>
      </c>
      <c r="EU31" s="11">
        <f t="shared" si="17"/>
        <v>0</v>
      </c>
      <c r="EV31" s="11">
        <f t="shared" si="18"/>
        <v>0</v>
      </c>
      <c r="EW31" s="11">
        <f t="shared" si="19"/>
        <v>0</v>
      </c>
      <c r="EX31" s="11">
        <f t="shared" si="20"/>
        <v>0</v>
      </c>
      <c r="EY31" s="11">
        <f t="shared" si="21"/>
        <v>0</v>
      </c>
      <c r="EZ31" s="11">
        <f t="shared" si="22"/>
        <v>0</v>
      </c>
      <c r="FA31" s="11">
        <f t="shared" si="23"/>
        <v>0</v>
      </c>
      <c r="FB31" s="11">
        <f t="shared" si="24"/>
        <v>0</v>
      </c>
      <c r="FC31" s="11">
        <f t="shared" si="25"/>
        <v>0</v>
      </c>
      <c r="FD31" s="11">
        <f t="shared" si="26"/>
        <v>0</v>
      </c>
      <c r="FE31" s="11">
        <f t="shared" si="27"/>
        <v>0</v>
      </c>
      <c r="FF31" s="11">
        <f t="shared" si="28"/>
        <v>0</v>
      </c>
      <c r="FG31" s="11">
        <f t="shared" si="29"/>
        <v>0</v>
      </c>
      <c r="FH31" s="11">
        <f t="shared" si="30"/>
        <v>0</v>
      </c>
      <c r="FI31" s="11">
        <f t="shared" si="31"/>
        <v>0</v>
      </c>
      <c r="FJ31" s="11">
        <f t="shared" si="32"/>
        <v>0</v>
      </c>
      <c r="FK31" s="11">
        <f t="shared" si="33"/>
        <v>0</v>
      </c>
      <c r="FL31" s="11">
        <f t="shared" si="34"/>
        <v>0</v>
      </c>
      <c r="FM31" s="11">
        <f t="shared" si="65"/>
        <v>0</v>
      </c>
      <c r="FO31" s="85">
        <v>9</v>
      </c>
      <c r="FP31" s="520">
        <f>DATE(YEAR(EXPEDIENTE!$F$25),FO31,1)</f>
        <v>45901</v>
      </c>
      <c r="FQ31" s="520" t="str">
        <f>IF('GASTOS EJER. 1'!I60="","",'GASTOS EJER. 1'!I60)</f>
        <v/>
      </c>
      <c r="FR31" s="527">
        <f>'GASTOS EJER. 1'!X28</f>
        <v>0</v>
      </c>
      <c r="FS31" s="527">
        <f>'GASTOS EJER. 1'!H60</f>
        <v>0</v>
      </c>
      <c r="FT31" s="11">
        <f t="shared" si="135"/>
        <v>0</v>
      </c>
      <c r="FU31" s="527">
        <f t="shared" si="109"/>
        <v>0</v>
      </c>
      <c r="FW31" s="470"/>
      <c r="GG31" s="14">
        <v>12</v>
      </c>
      <c r="GH31" s="482">
        <f t="shared" si="104"/>
        <v>45992</v>
      </c>
      <c r="GI31" s="482">
        <f t="shared" si="105"/>
        <v>46022</v>
      </c>
      <c r="GJ31" s="14" t="str">
        <f>IF(AND(GI31&gt;=EXPEDIENTE!$F$25,GH31&lt;=EXPEDIENTE!$F$29),"SI","NO")</f>
        <v>SI</v>
      </c>
      <c r="GK31" s="11">
        <f t="shared" si="66"/>
        <v>0</v>
      </c>
      <c r="GL31" s="11">
        <f t="shared" si="67"/>
        <v>0</v>
      </c>
      <c r="GM31" s="11">
        <f t="shared" si="68"/>
        <v>0</v>
      </c>
      <c r="GN31" s="11">
        <f t="shared" si="69"/>
        <v>0</v>
      </c>
      <c r="GO31" s="11">
        <f t="shared" si="70"/>
        <v>0</v>
      </c>
      <c r="GP31" s="11">
        <f t="shared" si="71"/>
        <v>0</v>
      </c>
      <c r="GQ31" s="11">
        <f t="shared" si="72"/>
        <v>0</v>
      </c>
      <c r="GR31" s="11">
        <f t="shared" si="73"/>
        <v>0</v>
      </c>
      <c r="GS31" s="11">
        <f t="shared" si="74"/>
        <v>0</v>
      </c>
      <c r="GT31" s="11">
        <f t="shared" si="75"/>
        <v>0</v>
      </c>
      <c r="GU31" s="11">
        <f t="shared" si="76"/>
        <v>0</v>
      </c>
      <c r="GV31" s="11">
        <f t="shared" si="77"/>
        <v>0</v>
      </c>
      <c r="GW31" s="11">
        <f t="shared" si="78"/>
        <v>0</v>
      </c>
      <c r="GX31" s="11">
        <f t="shared" si="79"/>
        <v>0</v>
      </c>
      <c r="GY31" s="11">
        <f t="shared" si="80"/>
        <v>0</v>
      </c>
      <c r="GZ31" s="11">
        <f t="shared" si="81"/>
        <v>0</v>
      </c>
      <c r="HA31" s="11">
        <f t="shared" si="82"/>
        <v>0</v>
      </c>
      <c r="HB31" s="11">
        <f t="shared" si="83"/>
        <v>0</v>
      </c>
      <c r="HC31" s="11">
        <f t="shared" si="84"/>
        <v>0</v>
      </c>
      <c r="HD31" s="11">
        <f t="shared" si="85"/>
        <v>0</v>
      </c>
      <c r="HE31" s="11">
        <f t="shared" si="86"/>
        <v>0</v>
      </c>
      <c r="HF31" s="11">
        <f t="shared" si="87"/>
        <v>0</v>
      </c>
      <c r="HG31" s="11">
        <f t="shared" si="88"/>
        <v>0</v>
      </c>
      <c r="HH31" s="11">
        <f t="shared" si="89"/>
        <v>0</v>
      </c>
      <c r="HI31" s="11">
        <f t="shared" si="90"/>
        <v>0</v>
      </c>
      <c r="HJ31" s="11">
        <f t="shared" si="91"/>
        <v>0</v>
      </c>
      <c r="HK31" s="11">
        <f t="shared" si="92"/>
        <v>0</v>
      </c>
      <c r="HL31" s="11">
        <f t="shared" si="93"/>
        <v>0</v>
      </c>
      <c r="HM31" s="11">
        <f t="shared" si="94"/>
        <v>0</v>
      </c>
      <c r="HN31" s="11">
        <f t="shared" si="95"/>
        <v>0</v>
      </c>
      <c r="HO31" s="11">
        <f t="shared" si="96"/>
        <v>0</v>
      </c>
      <c r="HP31" s="11">
        <f t="shared" si="97"/>
        <v>0</v>
      </c>
      <c r="HQ31" s="11">
        <f t="shared" si="98"/>
        <v>0</v>
      </c>
      <c r="HT31" s="85">
        <v>9</v>
      </c>
      <c r="HU31" s="520">
        <f>DATE(YEAR(EXPEDIENTE!$F$25),HT31,1)</f>
        <v>45901</v>
      </c>
      <c r="HV31" s="520" t="str">
        <f>IF('GASTOS EJER. 1'!BF60="","",'GASTOS EJER. 1'!BF60)</f>
        <v/>
      </c>
      <c r="HW31" s="527">
        <f>'GASTOS EJER. 1'!CM28</f>
        <v>0</v>
      </c>
      <c r="HX31" s="527">
        <f>'GASTOS EJER. 1'!BA60</f>
        <v>0</v>
      </c>
      <c r="HY31" s="11">
        <f t="shared" si="136"/>
        <v>0</v>
      </c>
      <c r="HZ31" s="527">
        <f t="shared" si="113"/>
        <v>0</v>
      </c>
      <c r="JF31" s="480">
        <v>27</v>
      </c>
      <c r="JG31" s="474">
        <f t="shared" si="101"/>
        <v>10</v>
      </c>
    </row>
    <row r="32" spans="3:267" ht="15.75" thickBot="1" x14ac:dyDescent="0.35">
      <c r="C32" s="8">
        <v>26</v>
      </c>
      <c r="D32" s="12"/>
      <c r="E32" s="17"/>
      <c r="F32" s="18"/>
      <c r="G32" s="19"/>
      <c r="H32" s="19"/>
      <c r="I32" s="19"/>
      <c r="J32" s="12"/>
      <c r="K32" s="14">
        <f t="shared" si="43"/>
        <v>76</v>
      </c>
      <c r="L32" s="14">
        <f t="shared" si="44"/>
        <v>76</v>
      </c>
      <c r="M32" s="14" t="str">
        <f t="shared" si="45"/>
        <v>X</v>
      </c>
      <c r="V32" s="1135"/>
      <c r="W32" s="20" t="s">
        <v>459</v>
      </c>
      <c r="Y32" s="547">
        <f t="shared" si="46"/>
        <v>26</v>
      </c>
      <c r="Z32" s="478" t="str">
        <f>IF(Y32="","",IF(EDATE($Z$6,Y32)&gt;EXPEDIENTE!$F$27,"",EDATE($Z$6,Y32)))</f>
        <v/>
      </c>
      <c r="AA32" s="478" t="str">
        <f t="shared" si="170"/>
        <v/>
      </c>
      <c r="AB32" s="478" t="str">
        <f>IF(AA32="","",IF(YEAR(EXPEDIENTE!$F$25)=YEAR(AA32),AA32,""))</f>
        <v/>
      </c>
      <c r="AC32" s="478" t="str">
        <f>IF(AA32="","",IF(YEAR(EXPEDIENTE!$F$25)+1=YEAR(AA32),AA32,""))</f>
        <v/>
      </c>
      <c r="AD32" s="478" t="str">
        <f>IF(AA32="","",IF(YEAR(EXPEDIENTE!$F$25)+2=YEAR(AA32),AA32,""))</f>
        <v/>
      </c>
      <c r="AE32" s="478" t="str">
        <f>IF(AA32="","",IF(YEAR(EXPEDIENTE!$F$25)+3=YEAR(AA32),AA32,""))</f>
        <v/>
      </c>
      <c r="AG32" s="471"/>
      <c r="AH32" s="470"/>
      <c r="AI32" s="470"/>
      <c r="AJ32" s="470"/>
      <c r="AK32" s="470"/>
      <c r="AL32" s="470"/>
      <c r="AM32" s="470"/>
      <c r="AN32" s="470"/>
      <c r="AO32" s="470"/>
      <c r="AP32" s="470"/>
      <c r="AQ32" s="470"/>
      <c r="AR32" s="470"/>
      <c r="AS32" s="470"/>
      <c r="AT32" s="470"/>
      <c r="AU32" s="470"/>
      <c r="AV32" s="470"/>
      <c r="AW32" s="470"/>
      <c r="AX32" s="470"/>
      <c r="AY32" s="470"/>
      <c r="AZ32" s="470"/>
      <c r="BB32" s="596">
        <v>9</v>
      </c>
      <c r="BC32" s="598">
        <f t="shared" si="114"/>
        <v>45901</v>
      </c>
      <c r="BD32" s="601">
        <f t="shared" si="144"/>
        <v>0</v>
      </c>
      <c r="BE32" s="643">
        <f t="shared" si="145"/>
        <v>0</v>
      </c>
      <c r="BF32" s="643">
        <f t="shared" si="146"/>
        <v>0</v>
      </c>
      <c r="BG32" s="643">
        <f t="shared" si="147"/>
        <v>0</v>
      </c>
      <c r="BH32" s="643">
        <f t="shared" si="148"/>
        <v>0</v>
      </c>
      <c r="BI32" s="643">
        <f t="shared" si="149"/>
        <v>0</v>
      </c>
      <c r="BJ32" s="643">
        <f t="shared" si="150"/>
        <v>0</v>
      </c>
      <c r="BK32" s="644">
        <f t="shared" si="151"/>
        <v>0</v>
      </c>
      <c r="BL32" s="645">
        <f t="shared" si="152"/>
        <v>0</v>
      </c>
      <c r="BN32" s="621">
        <f t="shared" si="115"/>
        <v>0</v>
      </c>
      <c r="BO32" s="649">
        <f t="shared" si="116"/>
        <v>0</v>
      </c>
      <c r="BP32" s="649">
        <f t="shared" si="117"/>
        <v>0</v>
      </c>
      <c r="BQ32" s="649">
        <f t="shared" si="118"/>
        <v>0</v>
      </c>
      <c r="BR32" s="649">
        <f t="shared" si="119"/>
        <v>0</v>
      </c>
      <c r="BS32" s="649">
        <f t="shared" si="120"/>
        <v>0</v>
      </c>
      <c r="BT32" s="649">
        <f t="shared" si="121"/>
        <v>0</v>
      </c>
      <c r="BU32" s="650">
        <f t="shared" si="122"/>
        <v>0</v>
      </c>
      <c r="BV32" s="645">
        <f t="shared" si="123"/>
        <v>0</v>
      </c>
      <c r="BX32" s="645">
        <f t="shared" si="153"/>
        <v>0</v>
      </c>
      <c r="BZ32" s="471"/>
      <c r="CA32" s="470"/>
      <c r="CB32" s="470"/>
      <c r="CC32" s="470"/>
      <c r="CD32" s="470"/>
      <c r="CE32" s="470"/>
      <c r="CF32" s="470"/>
      <c r="CG32" s="470"/>
      <c r="CH32" s="470"/>
      <c r="CI32" s="470"/>
      <c r="CJ32" s="470"/>
      <c r="CK32" s="470"/>
      <c r="CL32" s="470"/>
      <c r="CM32" s="470"/>
      <c r="CN32" s="470"/>
      <c r="CO32" s="470"/>
      <c r="CP32" s="470"/>
      <c r="CQ32" s="470"/>
      <c r="CR32" s="470"/>
      <c r="CS32" s="470"/>
      <c r="CU32" s="620">
        <v>9</v>
      </c>
      <c r="CV32" s="598">
        <f t="shared" si="125"/>
        <v>45901</v>
      </c>
      <c r="CW32" s="621">
        <f t="shared" si="160"/>
        <v>0</v>
      </c>
      <c r="CX32" s="649">
        <f t="shared" si="161"/>
        <v>0</v>
      </c>
      <c r="CY32" s="649">
        <f t="shared" si="162"/>
        <v>0</v>
      </c>
      <c r="CZ32" s="649">
        <f t="shared" si="163"/>
        <v>0</v>
      </c>
      <c r="DA32" s="649">
        <f t="shared" si="164"/>
        <v>0</v>
      </c>
      <c r="DB32" s="649">
        <f t="shared" si="165"/>
        <v>0</v>
      </c>
      <c r="DC32" s="649">
        <f t="shared" si="166"/>
        <v>0</v>
      </c>
      <c r="DD32" s="650">
        <f t="shared" si="167"/>
        <v>0</v>
      </c>
      <c r="DE32" s="645">
        <f t="shared" si="168"/>
        <v>0</v>
      </c>
      <c r="DG32" s="621">
        <f t="shared" si="126"/>
        <v>0</v>
      </c>
      <c r="DH32" s="649">
        <f t="shared" si="127"/>
        <v>0</v>
      </c>
      <c r="DI32" s="649">
        <f t="shared" si="128"/>
        <v>0</v>
      </c>
      <c r="DJ32" s="649">
        <f t="shared" si="129"/>
        <v>0</v>
      </c>
      <c r="DK32" s="649">
        <f t="shared" si="130"/>
        <v>0</v>
      </c>
      <c r="DL32" s="649">
        <f t="shared" si="131"/>
        <v>0</v>
      </c>
      <c r="DM32" s="649">
        <f t="shared" si="132"/>
        <v>0</v>
      </c>
      <c r="DN32" s="650">
        <f t="shared" si="133"/>
        <v>0</v>
      </c>
      <c r="DO32" s="655">
        <f t="shared" si="134"/>
        <v>0</v>
      </c>
      <c r="DQ32" s="655">
        <f t="shared" si="169"/>
        <v>0</v>
      </c>
      <c r="DS32" s="470"/>
      <c r="EC32" s="14">
        <v>13</v>
      </c>
      <c r="ED32" s="482">
        <f t="shared" si="102"/>
        <v>46023</v>
      </c>
      <c r="EE32" s="482">
        <f t="shared" si="103"/>
        <v>46053</v>
      </c>
      <c r="EF32" s="14" t="str">
        <f>IF(AND(EE32&gt;=EXPEDIENTE!$F$25,ED32&lt;=EXPEDIENTE!$F$29),"SI","NO")</f>
        <v>SI</v>
      </c>
      <c r="EG32" s="11">
        <f t="shared" si="3"/>
        <v>0</v>
      </c>
      <c r="EH32" s="11">
        <f t="shared" si="4"/>
        <v>0</v>
      </c>
      <c r="EI32" s="11">
        <f t="shared" si="5"/>
        <v>0</v>
      </c>
      <c r="EJ32" s="11">
        <f t="shared" si="6"/>
        <v>0</v>
      </c>
      <c r="EK32" s="11">
        <f t="shared" si="7"/>
        <v>0</v>
      </c>
      <c r="EL32" s="11">
        <f t="shared" si="8"/>
        <v>0</v>
      </c>
      <c r="EM32" s="11">
        <f t="shared" si="9"/>
        <v>0</v>
      </c>
      <c r="EN32" s="11">
        <f t="shared" si="10"/>
        <v>0</v>
      </c>
      <c r="EO32" s="11">
        <f t="shared" si="11"/>
        <v>0</v>
      </c>
      <c r="EP32" s="11">
        <f t="shared" si="12"/>
        <v>0</v>
      </c>
      <c r="EQ32" s="11">
        <f t="shared" si="13"/>
        <v>0</v>
      </c>
      <c r="ER32" s="11">
        <f t="shared" si="14"/>
        <v>0</v>
      </c>
      <c r="ES32" s="11">
        <f t="shared" si="15"/>
        <v>0</v>
      </c>
      <c r="ET32" s="11">
        <f t="shared" si="16"/>
        <v>0</v>
      </c>
      <c r="EU32" s="11">
        <f t="shared" si="17"/>
        <v>0</v>
      </c>
      <c r="EV32" s="11">
        <f t="shared" si="18"/>
        <v>0</v>
      </c>
      <c r="EW32" s="11">
        <f t="shared" si="19"/>
        <v>0</v>
      </c>
      <c r="EX32" s="11">
        <f t="shared" si="20"/>
        <v>0</v>
      </c>
      <c r="EY32" s="11">
        <f t="shared" si="21"/>
        <v>0</v>
      </c>
      <c r="EZ32" s="11">
        <f t="shared" si="22"/>
        <v>0</v>
      </c>
      <c r="FA32" s="11">
        <f t="shared" si="23"/>
        <v>0</v>
      </c>
      <c r="FB32" s="11">
        <f t="shared" si="24"/>
        <v>0</v>
      </c>
      <c r="FC32" s="11">
        <f t="shared" si="25"/>
        <v>0</v>
      </c>
      <c r="FD32" s="11">
        <f t="shared" si="26"/>
        <v>0</v>
      </c>
      <c r="FE32" s="11">
        <f t="shared" si="27"/>
        <v>0</v>
      </c>
      <c r="FF32" s="11">
        <f t="shared" si="28"/>
        <v>0</v>
      </c>
      <c r="FG32" s="11">
        <f t="shared" si="29"/>
        <v>0</v>
      </c>
      <c r="FH32" s="11">
        <f t="shared" si="30"/>
        <v>0</v>
      </c>
      <c r="FI32" s="11">
        <f t="shared" si="31"/>
        <v>0</v>
      </c>
      <c r="FJ32" s="11">
        <f t="shared" si="32"/>
        <v>0</v>
      </c>
      <c r="FK32" s="11">
        <f t="shared" si="33"/>
        <v>0</v>
      </c>
      <c r="FL32" s="11">
        <f t="shared" si="34"/>
        <v>0</v>
      </c>
      <c r="FM32" s="11">
        <f t="shared" si="65"/>
        <v>0</v>
      </c>
      <c r="FO32" s="85">
        <v>10</v>
      </c>
      <c r="FP32" s="520">
        <f>DATE(YEAR(EXPEDIENTE!$F$25),FO32,1)</f>
        <v>45931</v>
      </c>
      <c r="FQ32" s="520" t="str">
        <f>IF('GASTOS EJER. 1'!I61="","",'GASTOS EJER. 1'!I61)</f>
        <v/>
      </c>
      <c r="FR32" s="527">
        <f>'GASTOS EJER. 1'!X29</f>
        <v>0</v>
      </c>
      <c r="FS32" s="527">
        <f>'GASTOS EJER. 1'!H61</f>
        <v>0</v>
      </c>
      <c r="FT32" s="11">
        <f t="shared" si="135"/>
        <v>0</v>
      </c>
      <c r="FU32" s="527">
        <f t="shared" si="109"/>
        <v>0</v>
      </c>
      <c r="FW32" s="470"/>
      <c r="GG32" s="14">
        <v>13</v>
      </c>
      <c r="GH32" s="482">
        <f t="shared" si="104"/>
        <v>46023</v>
      </c>
      <c r="GI32" s="482">
        <f t="shared" si="105"/>
        <v>46053</v>
      </c>
      <c r="GJ32" s="14" t="str">
        <f>IF(AND(GI32&gt;=EXPEDIENTE!$F$25,GH32&lt;=EXPEDIENTE!$F$29),"SI","NO")</f>
        <v>SI</v>
      </c>
      <c r="GK32" s="11">
        <f t="shared" si="66"/>
        <v>0</v>
      </c>
      <c r="GL32" s="11">
        <f t="shared" si="67"/>
        <v>0</v>
      </c>
      <c r="GM32" s="11">
        <f t="shared" si="68"/>
        <v>0</v>
      </c>
      <c r="GN32" s="11">
        <f t="shared" si="69"/>
        <v>0</v>
      </c>
      <c r="GO32" s="11">
        <f t="shared" si="70"/>
        <v>0</v>
      </c>
      <c r="GP32" s="11">
        <f t="shared" si="71"/>
        <v>0</v>
      </c>
      <c r="GQ32" s="11">
        <f t="shared" si="72"/>
        <v>0</v>
      </c>
      <c r="GR32" s="11">
        <f t="shared" si="73"/>
        <v>0</v>
      </c>
      <c r="GS32" s="11">
        <f t="shared" si="74"/>
        <v>0</v>
      </c>
      <c r="GT32" s="11">
        <f t="shared" si="75"/>
        <v>0</v>
      </c>
      <c r="GU32" s="11">
        <f t="shared" si="76"/>
        <v>0</v>
      </c>
      <c r="GV32" s="11">
        <f t="shared" si="77"/>
        <v>0</v>
      </c>
      <c r="GW32" s="11">
        <f t="shared" si="78"/>
        <v>0</v>
      </c>
      <c r="GX32" s="11">
        <f t="shared" si="79"/>
        <v>0</v>
      </c>
      <c r="GY32" s="11">
        <f t="shared" si="80"/>
        <v>0</v>
      </c>
      <c r="GZ32" s="11">
        <f t="shared" si="81"/>
        <v>0</v>
      </c>
      <c r="HA32" s="11">
        <f t="shared" si="82"/>
        <v>0</v>
      </c>
      <c r="HB32" s="11">
        <f t="shared" si="83"/>
        <v>0</v>
      </c>
      <c r="HC32" s="11">
        <f t="shared" si="84"/>
        <v>0</v>
      </c>
      <c r="HD32" s="11">
        <f t="shared" si="85"/>
        <v>0</v>
      </c>
      <c r="HE32" s="11">
        <f t="shared" si="86"/>
        <v>0</v>
      </c>
      <c r="HF32" s="11">
        <f t="shared" si="87"/>
        <v>0</v>
      </c>
      <c r="HG32" s="11">
        <f t="shared" si="88"/>
        <v>0</v>
      </c>
      <c r="HH32" s="11">
        <f t="shared" si="89"/>
        <v>0</v>
      </c>
      <c r="HI32" s="11">
        <f t="shared" si="90"/>
        <v>0</v>
      </c>
      <c r="HJ32" s="11">
        <f t="shared" si="91"/>
        <v>0</v>
      </c>
      <c r="HK32" s="11">
        <f t="shared" si="92"/>
        <v>0</v>
      </c>
      <c r="HL32" s="11">
        <f t="shared" si="93"/>
        <v>0</v>
      </c>
      <c r="HM32" s="11">
        <f t="shared" si="94"/>
        <v>0</v>
      </c>
      <c r="HN32" s="11">
        <f t="shared" si="95"/>
        <v>0</v>
      </c>
      <c r="HO32" s="11">
        <f t="shared" si="96"/>
        <v>0</v>
      </c>
      <c r="HP32" s="11">
        <f t="shared" si="97"/>
        <v>0</v>
      </c>
      <c r="HQ32" s="11">
        <f t="shared" si="98"/>
        <v>0</v>
      </c>
      <c r="HT32" s="85">
        <v>10</v>
      </c>
      <c r="HU32" s="520">
        <f>DATE(YEAR(EXPEDIENTE!$F$25),HT32,1)</f>
        <v>45931</v>
      </c>
      <c r="HV32" s="520" t="str">
        <f>IF('GASTOS EJER. 1'!BF61="","",'GASTOS EJER. 1'!BF61)</f>
        <v/>
      </c>
      <c r="HW32" s="527">
        <f>'GASTOS EJER. 1'!CM29</f>
        <v>0</v>
      </c>
      <c r="HX32" s="527">
        <f>'GASTOS EJER. 1'!BA61</f>
        <v>0</v>
      </c>
      <c r="HY32" s="11">
        <f t="shared" si="136"/>
        <v>0</v>
      </c>
      <c r="HZ32" s="527">
        <f t="shared" si="113"/>
        <v>0</v>
      </c>
      <c r="JF32" s="480">
        <v>28</v>
      </c>
      <c r="JG32" s="474">
        <f t="shared" si="101"/>
        <v>10</v>
      </c>
    </row>
    <row r="33" spans="3:267" x14ac:dyDescent="0.3">
      <c r="C33" s="8">
        <v>27</v>
      </c>
      <c r="D33" s="12"/>
      <c r="E33" s="17"/>
      <c r="F33" s="18"/>
      <c r="G33" s="19"/>
      <c r="H33" s="19"/>
      <c r="I33" s="19"/>
      <c r="J33" s="12"/>
      <c r="K33" s="14">
        <f t="shared" si="43"/>
        <v>76</v>
      </c>
      <c r="L33" s="14">
        <f t="shared" si="44"/>
        <v>76</v>
      </c>
      <c r="M33" s="14" t="str">
        <f t="shared" si="45"/>
        <v>X</v>
      </c>
      <c r="Y33" s="547">
        <f t="shared" si="46"/>
        <v>27</v>
      </c>
      <c r="Z33" s="478" t="str">
        <f>IF(Y33="","",IF(EDATE($Z$6,Y33)&gt;EXPEDIENTE!$F$27,"",EDATE($Z$6,Y33)))</f>
        <v/>
      </c>
      <c r="AA33" s="478" t="str">
        <f t="shared" si="170"/>
        <v/>
      </c>
      <c r="AB33" s="478" t="str">
        <f>IF(AA33="","",IF(YEAR(EXPEDIENTE!$F$25)=YEAR(AA33),AA33,""))</f>
        <v/>
      </c>
      <c r="AC33" s="478" t="str">
        <f>IF(AA33="","",IF(YEAR(EXPEDIENTE!$F$25)+1=YEAR(AA33),AA33,""))</f>
        <v/>
      </c>
      <c r="AD33" s="478" t="str">
        <f>IF(AA33="","",IF(YEAR(EXPEDIENTE!$F$25)+2=YEAR(AA33),AA33,""))</f>
        <v/>
      </c>
      <c r="AE33" s="478" t="str">
        <f>IF(AA33="","",IF(YEAR(EXPEDIENTE!$F$25)+3=YEAR(AA33),AA33,""))</f>
        <v/>
      </c>
      <c r="AG33" s="471"/>
      <c r="AH33" s="470"/>
      <c r="AI33" s="470"/>
      <c r="AJ33" s="470"/>
      <c r="AK33" s="470"/>
      <c r="AL33" s="470"/>
      <c r="AM33" s="470"/>
      <c r="AN33" s="470"/>
      <c r="AO33" s="470"/>
      <c r="AP33" s="470"/>
      <c r="AQ33" s="470"/>
      <c r="AR33" s="470"/>
      <c r="AS33" s="470"/>
      <c r="AT33" s="470"/>
      <c r="AU33" s="470"/>
      <c r="AV33" s="470"/>
      <c r="AW33" s="470"/>
      <c r="AX33" s="470"/>
      <c r="AY33" s="470"/>
      <c r="AZ33" s="470"/>
      <c r="BB33" s="596">
        <v>10</v>
      </c>
      <c r="BC33" s="598">
        <f t="shared" si="114"/>
        <v>45931</v>
      </c>
      <c r="BD33" s="601">
        <f t="shared" si="144"/>
        <v>0</v>
      </c>
      <c r="BE33" s="643">
        <f t="shared" si="145"/>
        <v>0</v>
      </c>
      <c r="BF33" s="643">
        <f t="shared" si="146"/>
        <v>0</v>
      </c>
      <c r="BG33" s="643">
        <f t="shared" si="147"/>
        <v>0</v>
      </c>
      <c r="BH33" s="643">
        <f t="shared" si="148"/>
        <v>0</v>
      </c>
      <c r="BI33" s="643">
        <f t="shared" si="149"/>
        <v>0</v>
      </c>
      <c r="BJ33" s="643">
        <f t="shared" si="150"/>
        <v>0</v>
      </c>
      <c r="BK33" s="644">
        <f t="shared" si="151"/>
        <v>0</v>
      </c>
      <c r="BL33" s="645">
        <f t="shared" si="152"/>
        <v>0</v>
      </c>
      <c r="BN33" s="621">
        <f t="shared" si="115"/>
        <v>0</v>
      </c>
      <c r="BO33" s="649">
        <f t="shared" si="116"/>
        <v>0</v>
      </c>
      <c r="BP33" s="649">
        <f t="shared" si="117"/>
        <v>0</v>
      </c>
      <c r="BQ33" s="649">
        <f t="shared" si="118"/>
        <v>0</v>
      </c>
      <c r="BR33" s="649">
        <f t="shared" si="119"/>
        <v>0</v>
      </c>
      <c r="BS33" s="649">
        <f t="shared" si="120"/>
        <v>0</v>
      </c>
      <c r="BT33" s="649">
        <f t="shared" si="121"/>
        <v>0</v>
      </c>
      <c r="BU33" s="650">
        <f t="shared" si="122"/>
        <v>0</v>
      </c>
      <c r="BV33" s="645">
        <f t="shared" si="123"/>
        <v>0</v>
      </c>
      <c r="BX33" s="645">
        <f t="shared" si="153"/>
        <v>0</v>
      </c>
      <c r="BZ33" s="471"/>
      <c r="CA33" s="470"/>
      <c r="CB33" s="470"/>
      <c r="CC33" s="470"/>
      <c r="CD33" s="470"/>
      <c r="CE33" s="470"/>
      <c r="CF33" s="470"/>
      <c r="CG33" s="470"/>
      <c r="CH33" s="470"/>
      <c r="CI33" s="470"/>
      <c r="CJ33" s="470"/>
      <c r="CK33" s="470"/>
      <c r="CL33" s="470"/>
      <c r="CM33" s="470"/>
      <c r="CN33" s="470"/>
      <c r="CO33" s="470"/>
      <c r="CP33" s="470"/>
      <c r="CQ33" s="470"/>
      <c r="CR33" s="470"/>
      <c r="CS33" s="470"/>
      <c r="CU33" s="620">
        <v>10</v>
      </c>
      <c r="CV33" s="598">
        <f t="shared" si="125"/>
        <v>45931</v>
      </c>
      <c r="CW33" s="621">
        <f t="shared" si="160"/>
        <v>0</v>
      </c>
      <c r="CX33" s="649">
        <f t="shared" si="161"/>
        <v>0</v>
      </c>
      <c r="CY33" s="649">
        <f t="shared" si="162"/>
        <v>0</v>
      </c>
      <c r="CZ33" s="649">
        <f t="shared" si="163"/>
        <v>0</v>
      </c>
      <c r="DA33" s="649">
        <f t="shared" si="164"/>
        <v>0</v>
      </c>
      <c r="DB33" s="649">
        <f t="shared" si="165"/>
        <v>0</v>
      </c>
      <c r="DC33" s="649">
        <f t="shared" si="166"/>
        <v>0</v>
      </c>
      <c r="DD33" s="650">
        <f t="shared" si="167"/>
        <v>0</v>
      </c>
      <c r="DE33" s="645">
        <f t="shared" si="168"/>
        <v>0</v>
      </c>
      <c r="DG33" s="621">
        <f t="shared" si="126"/>
        <v>0</v>
      </c>
      <c r="DH33" s="649">
        <f t="shared" si="127"/>
        <v>0</v>
      </c>
      <c r="DI33" s="649">
        <f t="shared" si="128"/>
        <v>0</v>
      </c>
      <c r="DJ33" s="649">
        <f t="shared" si="129"/>
        <v>0</v>
      </c>
      <c r="DK33" s="649">
        <f t="shared" si="130"/>
        <v>0</v>
      </c>
      <c r="DL33" s="649">
        <f t="shared" si="131"/>
        <v>0</v>
      </c>
      <c r="DM33" s="649">
        <f t="shared" si="132"/>
        <v>0</v>
      </c>
      <c r="DN33" s="650">
        <f t="shared" si="133"/>
        <v>0</v>
      </c>
      <c r="DO33" s="655">
        <f t="shared" si="134"/>
        <v>0</v>
      </c>
      <c r="DQ33" s="655">
        <f t="shared" si="169"/>
        <v>0</v>
      </c>
      <c r="DS33" s="470"/>
      <c r="EC33" s="14">
        <v>14</v>
      </c>
      <c r="ED33" s="482">
        <f t="shared" si="102"/>
        <v>46054</v>
      </c>
      <c r="EE33" s="482">
        <f t="shared" si="103"/>
        <v>46081</v>
      </c>
      <c r="EF33" s="14" t="str">
        <f>IF(AND(EE33&gt;=EXPEDIENTE!$F$25,ED33&lt;=EXPEDIENTE!$F$29),"SI","NO")</f>
        <v>SI</v>
      </c>
      <c r="EG33" s="11">
        <f t="shared" si="3"/>
        <v>0</v>
      </c>
      <c r="EH33" s="11">
        <f t="shared" si="4"/>
        <v>0</v>
      </c>
      <c r="EI33" s="11">
        <f t="shared" si="5"/>
        <v>0</v>
      </c>
      <c r="EJ33" s="11">
        <f t="shared" si="6"/>
        <v>0</v>
      </c>
      <c r="EK33" s="11">
        <f t="shared" si="7"/>
        <v>0</v>
      </c>
      <c r="EL33" s="11">
        <f t="shared" si="8"/>
        <v>0</v>
      </c>
      <c r="EM33" s="11">
        <f t="shared" si="9"/>
        <v>0</v>
      </c>
      <c r="EN33" s="11">
        <f t="shared" si="10"/>
        <v>0</v>
      </c>
      <c r="EO33" s="11">
        <f t="shared" si="11"/>
        <v>0</v>
      </c>
      <c r="EP33" s="11">
        <f t="shared" si="12"/>
        <v>0</v>
      </c>
      <c r="EQ33" s="11">
        <f t="shared" si="13"/>
        <v>0</v>
      </c>
      <c r="ER33" s="11">
        <f t="shared" si="14"/>
        <v>0</v>
      </c>
      <c r="ES33" s="11">
        <f t="shared" si="15"/>
        <v>0</v>
      </c>
      <c r="ET33" s="11">
        <f t="shared" si="16"/>
        <v>0</v>
      </c>
      <c r="EU33" s="11">
        <f t="shared" si="17"/>
        <v>0</v>
      </c>
      <c r="EV33" s="11">
        <f t="shared" si="18"/>
        <v>0</v>
      </c>
      <c r="EW33" s="11">
        <f t="shared" si="19"/>
        <v>0</v>
      </c>
      <c r="EX33" s="11">
        <f t="shared" si="20"/>
        <v>0</v>
      </c>
      <c r="EY33" s="11">
        <f t="shared" si="21"/>
        <v>0</v>
      </c>
      <c r="EZ33" s="11">
        <f t="shared" si="22"/>
        <v>0</v>
      </c>
      <c r="FA33" s="11">
        <f t="shared" si="23"/>
        <v>0</v>
      </c>
      <c r="FB33" s="11">
        <f t="shared" si="24"/>
        <v>0</v>
      </c>
      <c r="FC33" s="11">
        <f t="shared" si="25"/>
        <v>0</v>
      </c>
      <c r="FD33" s="11">
        <f t="shared" si="26"/>
        <v>0</v>
      </c>
      <c r="FE33" s="11">
        <f t="shared" si="27"/>
        <v>0</v>
      </c>
      <c r="FF33" s="11">
        <f t="shared" si="28"/>
        <v>0</v>
      </c>
      <c r="FG33" s="11">
        <f t="shared" si="29"/>
        <v>0</v>
      </c>
      <c r="FH33" s="11">
        <f t="shared" si="30"/>
        <v>0</v>
      </c>
      <c r="FI33" s="11">
        <f t="shared" si="31"/>
        <v>0</v>
      </c>
      <c r="FJ33" s="11">
        <f t="shared" si="32"/>
        <v>0</v>
      </c>
      <c r="FK33" s="11">
        <f t="shared" si="33"/>
        <v>0</v>
      </c>
      <c r="FL33" s="11">
        <f t="shared" si="34"/>
        <v>0</v>
      </c>
      <c r="FM33" s="11">
        <f t="shared" si="65"/>
        <v>0</v>
      </c>
      <c r="FO33" s="85">
        <v>11</v>
      </c>
      <c r="FP33" s="520">
        <f>DATE(YEAR(EXPEDIENTE!$F$25),FO33,1)</f>
        <v>45962</v>
      </c>
      <c r="FQ33" s="520" t="str">
        <f>IF('GASTOS EJER. 1'!I62="","",'GASTOS EJER. 1'!I62)</f>
        <v/>
      </c>
      <c r="FR33" s="527">
        <f>'GASTOS EJER. 1'!X30</f>
        <v>0</v>
      </c>
      <c r="FS33" s="527">
        <f>'GASTOS EJER. 1'!H62</f>
        <v>0</v>
      </c>
      <c r="FT33" s="11">
        <f t="shared" si="135"/>
        <v>0</v>
      </c>
      <c r="FU33" s="527">
        <f t="shared" si="109"/>
        <v>0</v>
      </c>
      <c r="FW33" s="470"/>
      <c r="GG33" s="14">
        <v>14</v>
      </c>
      <c r="GH33" s="482">
        <f t="shared" si="104"/>
        <v>46054</v>
      </c>
      <c r="GI33" s="482">
        <f t="shared" si="105"/>
        <v>46081</v>
      </c>
      <c r="GJ33" s="14" t="str">
        <f>IF(AND(GI33&gt;=EXPEDIENTE!$F$25,GH33&lt;=EXPEDIENTE!$F$29),"SI","NO")</f>
        <v>SI</v>
      </c>
      <c r="GK33" s="11">
        <f t="shared" si="66"/>
        <v>0</v>
      </c>
      <c r="GL33" s="11">
        <f t="shared" si="67"/>
        <v>0</v>
      </c>
      <c r="GM33" s="11">
        <f t="shared" si="68"/>
        <v>0</v>
      </c>
      <c r="GN33" s="11">
        <f t="shared" si="69"/>
        <v>0</v>
      </c>
      <c r="GO33" s="11">
        <f t="shared" si="70"/>
        <v>0</v>
      </c>
      <c r="GP33" s="11">
        <f t="shared" si="71"/>
        <v>0</v>
      </c>
      <c r="GQ33" s="11">
        <f t="shared" si="72"/>
        <v>0</v>
      </c>
      <c r="GR33" s="11">
        <f t="shared" si="73"/>
        <v>0</v>
      </c>
      <c r="GS33" s="11">
        <f t="shared" si="74"/>
        <v>0</v>
      </c>
      <c r="GT33" s="11">
        <f t="shared" si="75"/>
        <v>0</v>
      </c>
      <c r="GU33" s="11">
        <f t="shared" si="76"/>
        <v>0</v>
      </c>
      <c r="GV33" s="11">
        <f t="shared" si="77"/>
        <v>0</v>
      </c>
      <c r="GW33" s="11">
        <f t="shared" si="78"/>
        <v>0</v>
      </c>
      <c r="GX33" s="11">
        <f t="shared" si="79"/>
        <v>0</v>
      </c>
      <c r="GY33" s="11">
        <f t="shared" si="80"/>
        <v>0</v>
      </c>
      <c r="GZ33" s="11">
        <f t="shared" si="81"/>
        <v>0</v>
      </c>
      <c r="HA33" s="11">
        <f t="shared" si="82"/>
        <v>0</v>
      </c>
      <c r="HB33" s="11">
        <f t="shared" si="83"/>
        <v>0</v>
      </c>
      <c r="HC33" s="11">
        <f t="shared" si="84"/>
        <v>0</v>
      </c>
      <c r="HD33" s="11">
        <f t="shared" si="85"/>
        <v>0</v>
      </c>
      <c r="HE33" s="11">
        <f t="shared" si="86"/>
        <v>0</v>
      </c>
      <c r="HF33" s="11">
        <f t="shared" si="87"/>
        <v>0</v>
      </c>
      <c r="HG33" s="11">
        <f t="shared" si="88"/>
        <v>0</v>
      </c>
      <c r="HH33" s="11">
        <f t="shared" si="89"/>
        <v>0</v>
      </c>
      <c r="HI33" s="11">
        <f t="shared" si="90"/>
        <v>0</v>
      </c>
      <c r="HJ33" s="11">
        <f t="shared" si="91"/>
        <v>0</v>
      </c>
      <c r="HK33" s="11">
        <f t="shared" si="92"/>
        <v>0</v>
      </c>
      <c r="HL33" s="11">
        <f t="shared" si="93"/>
        <v>0</v>
      </c>
      <c r="HM33" s="11">
        <f t="shared" si="94"/>
        <v>0</v>
      </c>
      <c r="HN33" s="11">
        <f t="shared" si="95"/>
        <v>0</v>
      </c>
      <c r="HO33" s="11">
        <f t="shared" si="96"/>
        <v>0</v>
      </c>
      <c r="HP33" s="11">
        <f t="shared" si="97"/>
        <v>0</v>
      </c>
      <c r="HQ33" s="11">
        <f t="shared" si="98"/>
        <v>0</v>
      </c>
      <c r="HT33" s="85">
        <v>11</v>
      </c>
      <c r="HU33" s="520">
        <f>DATE(YEAR(EXPEDIENTE!$F$25),HT33,1)</f>
        <v>45962</v>
      </c>
      <c r="HV33" s="520" t="str">
        <f>IF('GASTOS EJER. 1'!BF62="","",'GASTOS EJER. 1'!BF62)</f>
        <v/>
      </c>
      <c r="HW33" s="527">
        <f>'GASTOS EJER. 1'!CM30</f>
        <v>0</v>
      </c>
      <c r="HX33" s="527">
        <f>'GASTOS EJER. 1'!BA62</f>
        <v>0</v>
      </c>
      <c r="HY33" s="11">
        <f t="shared" si="136"/>
        <v>0</v>
      </c>
      <c r="HZ33" s="527">
        <f t="shared" si="113"/>
        <v>0</v>
      </c>
      <c r="JF33" s="480">
        <v>29</v>
      </c>
      <c r="JG33" s="474">
        <f t="shared" si="101"/>
        <v>10</v>
      </c>
    </row>
    <row r="34" spans="3:267" ht="15.75" thickBot="1" x14ac:dyDescent="0.35">
      <c r="C34" s="8">
        <v>28</v>
      </c>
      <c r="D34" s="12"/>
      <c r="E34" s="17"/>
      <c r="F34" s="18"/>
      <c r="G34" s="19"/>
      <c r="H34" s="19"/>
      <c r="I34" s="19"/>
      <c r="J34" s="12"/>
      <c r="K34" s="14">
        <f t="shared" si="43"/>
        <v>76</v>
      </c>
      <c r="L34" s="14">
        <f t="shared" si="44"/>
        <v>76</v>
      </c>
      <c r="M34" s="14" t="str">
        <f t="shared" si="45"/>
        <v>X</v>
      </c>
      <c r="Y34" s="547">
        <f t="shared" si="46"/>
        <v>28</v>
      </c>
      <c r="Z34" s="478" t="str">
        <f>IF(Y34="","",IF(EDATE($Z$6,Y34)&gt;EXPEDIENTE!$F$27,"",EDATE($Z$6,Y34)))</f>
        <v/>
      </c>
      <c r="AA34" s="478" t="str">
        <f t="shared" si="170"/>
        <v/>
      </c>
      <c r="AB34" s="478" t="str">
        <f>IF(AA34="","",IF(YEAR(EXPEDIENTE!$F$25)=YEAR(AA34),AA34,""))</f>
        <v/>
      </c>
      <c r="AC34" s="478" t="str">
        <f>IF(AA34="","",IF(YEAR(EXPEDIENTE!$F$25)+1=YEAR(AA34),AA34,""))</f>
        <v/>
      </c>
      <c r="AD34" s="478" t="str">
        <f>IF(AA34="","",IF(YEAR(EXPEDIENTE!$F$25)+2=YEAR(AA34),AA34,""))</f>
        <v/>
      </c>
      <c r="AE34" s="478" t="str">
        <f>IF(AA34="","",IF(YEAR(EXPEDIENTE!$F$25)+3=YEAR(AA34),AA34,""))</f>
        <v/>
      </c>
      <c r="AG34" s="471"/>
      <c r="AH34" s="470"/>
      <c r="AI34" s="470"/>
      <c r="AJ34" s="470"/>
      <c r="AK34" s="470"/>
      <c r="AL34" s="470"/>
      <c r="AM34" s="470"/>
      <c r="AN34" s="470"/>
      <c r="AO34" s="470"/>
      <c r="AP34" s="470"/>
      <c r="AQ34" s="470"/>
      <c r="AR34" s="470"/>
      <c r="AS34" s="470"/>
      <c r="AT34" s="470"/>
      <c r="AU34" s="470"/>
      <c r="AV34" s="470"/>
      <c r="AW34" s="470"/>
      <c r="AX34" s="470"/>
      <c r="AY34" s="470"/>
      <c r="AZ34" s="470"/>
      <c r="BB34" s="596">
        <v>11</v>
      </c>
      <c r="BC34" s="598">
        <f t="shared" si="114"/>
        <v>45962</v>
      </c>
      <c r="BD34" s="601">
        <f t="shared" si="144"/>
        <v>0</v>
      </c>
      <c r="BE34" s="643">
        <f t="shared" si="145"/>
        <v>0</v>
      </c>
      <c r="BF34" s="643">
        <f t="shared" si="146"/>
        <v>0</v>
      </c>
      <c r="BG34" s="643">
        <f t="shared" si="147"/>
        <v>0</v>
      </c>
      <c r="BH34" s="643">
        <f t="shared" si="148"/>
        <v>0</v>
      </c>
      <c r="BI34" s="643">
        <f t="shared" si="149"/>
        <v>0</v>
      </c>
      <c r="BJ34" s="643">
        <f t="shared" si="150"/>
        <v>0</v>
      </c>
      <c r="BK34" s="644">
        <f t="shared" si="151"/>
        <v>0</v>
      </c>
      <c r="BL34" s="645">
        <f t="shared" si="152"/>
        <v>0</v>
      </c>
      <c r="BN34" s="621">
        <f t="shared" si="115"/>
        <v>0</v>
      </c>
      <c r="BO34" s="649">
        <f t="shared" si="116"/>
        <v>0</v>
      </c>
      <c r="BP34" s="649">
        <f t="shared" si="117"/>
        <v>0</v>
      </c>
      <c r="BQ34" s="649">
        <f t="shared" si="118"/>
        <v>0</v>
      </c>
      <c r="BR34" s="649">
        <f t="shared" si="119"/>
        <v>0</v>
      </c>
      <c r="BS34" s="649">
        <f t="shared" si="120"/>
        <v>0</v>
      </c>
      <c r="BT34" s="649">
        <f t="shared" si="121"/>
        <v>0</v>
      </c>
      <c r="BU34" s="650">
        <f t="shared" si="122"/>
        <v>0</v>
      </c>
      <c r="BV34" s="645">
        <f t="shared" si="123"/>
        <v>0</v>
      </c>
      <c r="BX34" s="645">
        <f t="shared" si="153"/>
        <v>0</v>
      </c>
      <c r="BZ34" s="471"/>
      <c r="CA34" s="470"/>
      <c r="CB34" s="470"/>
      <c r="CC34" s="470"/>
      <c r="CD34" s="470"/>
      <c r="CE34" s="470"/>
      <c r="CF34" s="470"/>
      <c r="CG34" s="470"/>
      <c r="CH34" s="470"/>
      <c r="CI34" s="470"/>
      <c r="CJ34" s="470"/>
      <c r="CK34" s="470"/>
      <c r="CL34" s="470"/>
      <c r="CM34" s="470"/>
      <c r="CN34" s="470"/>
      <c r="CO34" s="470"/>
      <c r="CP34" s="470"/>
      <c r="CQ34" s="470"/>
      <c r="CR34" s="470"/>
      <c r="CS34" s="470"/>
      <c r="CU34" s="620">
        <v>11</v>
      </c>
      <c r="CV34" s="598">
        <f t="shared" si="125"/>
        <v>45962</v>
      </c>
      <c r="CW34" s="621">
        <f t="shared" si="160"/>
        <v>0</v>
      </c>
      <c r="CX34" s="649">
        <f t="shared" si="161"/>
        <v>0</v>
      </c>
      <c r="CY34" s="649">
        <f t="shared" si="162"/>
        <v>0</v>
      </c>
      <c r="CZ34" s="649">
        <f t="shared" si="163"/>
        <v>0</v>
      </c>
      <c r="DA34" s="649">
        <f t="shared" si="164"/>
        <v>0</v>
      </c>
      <c r="DB34" s="649">
        <f t="shared" si="165"/>
        <v>0</v>
      </c>
      <c r="DC34" s="649">
        <f t="shared" si="166"/>
        <v>0</v>
      </c>
      <c r="DD34" s="650">
        <f t="shared" si="167"/>
        <v>0</v>
      </c>
      <c r="DE34" s="645">
        <f t="shared" si="168"/>
        <v>0</v>
      </c>
      <c r="DG34" s="621">
        <f t="shared" si="126"/>
        <v>0</v>
      </c>
      <c r="DH34" s="649">
        <f t="shared" si="127"/>
        <v>0</v>
      </c>
      <c r="DI34" s="649">
        <f t="shared" si="128"/>
        <v>0</v>
      </c>
      <c r="DJ34" s="649">
        <f t="shared" si="129"/>
        <v>0</v>
      </c>
      <c r="DK34" s="649">
        <f t="shared" si="130"/>
        <v>0</v>
      </c>
      <c r="DL34" s="649">
        <f t="shared" si="131"/>
        <v>0</v>
      </c>
      <c r="DM34" s="649">
        <f t="shared" si="132"/>
        <v>0</v>
      </c>
      <c r="DN34" s="650">
        <f t="shared" si="133"/>
        <v>0</v>
      </c>
      <c r="DO34" s="655">
        <f t="shared" si="134"/>
        <v>0</v>
      </c>
      <c r="DQ34" s="655">
        <f t="shared" si="169"/>
        <v>0</v>
      </c>
      <c r="DS34" s="470"/>
      <c r="EC34" s="14">
        <v>15</v>
      </c>
      <c r="ED34" s="482">
        <f t="shared" si="102"/>
        <v>46082</v>
      </c>
      <c r="EE34" s="482">
        <f t="shared" si="103"/>
        <v>46112</v>
      </c>
      <c r="EF34" s="14" t="str">
        <f>IF(AND(EE34&gt;=EXPEDIENTE!$F$25,ED34&lt;=EXPEDIENTE!$F$29),"SI","NO")</f>
        <v>SI</v>
      </c>
      <c r="EG34" s="11">
        <f t="shared" si="3"/>
        <v>0</v>
      </c>
      <c r="EH34" s="11">
        <f t="shared" si="4"/>
        <v>0</v>
      </c>
      <c r="EI34" s="11">
        <f t="shared" si="5"/>
        <v>0</v>
      </c>
      <c r="EJ34" s="11">
        <f t="shared" si="6"/>
        <v>0</v>
      </c>
      <c r="EK34" s="11">
        <f t="shared" si="7"/>
        <v>0</v>
      </c>
      <c r="EL34" s="11">
        <f t="shared" si="8"/>
        <v>0</v>
      </c>
      <c r="EM34" s="11">
        <f t="shared" si="9"/>
        <v>0</v>
      </c>
      <c r="EN34" s="11">
        <f t="shared" si="10"/>
        <v>0</v>
      </c>
      <c r="EO34" s="11">
        <f t="shared" si="11"/>
        <v>0</v>
      </c>
      <c r="EP34" s="11">
        <f t="shared" si="12"/>
        <v>0</v>
      </c>
      <c r="EQ34" s="11">
        <f t="shared" si="13"/>
        <v>0</v>
      </c>
      <c r="ER34" s="11">
        <f t="shared" si="14"/>
        <v>0</v>
      </c>
      <c r="ES34" s="11">
        <f t="shared" si="15"/>
        <v>0</v>
      </c>
      <c r="ET34" s="11">
        <f t="shared" si="16"/>
        <v>0</v>
      </c>
      <c r="EU34" s="11">
        <f t="shared" si="17"/>
        <v>0</v>
      </c>
      <c r="EV34" s="11">
        <f t="shared" si="18"/>
        <v>0</v>
      </c>
      <c r="EW34" s="11">
        <f t="shared" si="19"/>
        <v>0</v>
      </c>
      <c r="EX34" s="11">
        <f t="shared" si="20"/>
        <v>0</v>
      </c>
      <c r="EY34" s="11">
        <f t="shared" si="21"/>
        <v>0</v>
      </c>
      <c r="EZ34" s="11">
        <f t="shared" si="22"/>
        <v>0</v>
      </c>
      <c r="FA34" s="11">
        <f t="shared" si="23"/>
        <v>0</v>
      </c>
      <c r="FB34" s="11">
        <f t="shared" si="24"/>
        <v>0</v>
      </c>
      <c r="FC34" s="11">
        <f t="shared" si="25"/>
        <v>0</v>
      </c>
      <c r="FD34" s="11">
        <f t="shared" si="26"/>
        <v>0</v>
      </c>
      <c r="FE34" s="11">
        <f t="shared" si="27"/>
        <v>0</v>
      </c>
      <c r="FF34" s="11">
        <f t="shared" si="28"/>
        <v>0</v>
      </c>
      <c r="FG34" s="11">
        <f t="shared" si="29"/>
        <v>0</v>
      </c>
      <c r="FH34" s="11">
        <f t="shared" si="30"/>
        <v>0</v>
      </c>
      <c r="FI34" s="11">
        <f t="shared" si="31"/>
        <v>0</v>
      </c>
      <c r="FJ34" s="11">
        <f t="shared" si="32"/>
        <v>0</v>
      </c>
      <c r="FK34" s="11">
        <f t="shared" si="33"/>
        <v>0</v>
      </c>
      <c r="FL34" s="11">
        <f t="shared" si="34"/>
        <v>0</v>
      </c>
      <c r="FM34" s="11">
        <f t="shared" si="65"/>
        <v>0</v>
      </c>
      <c r="FO34" s="85">
        <v>12</v>
      </c>
      <c r="FP34" s="520">
        <f>DATE(YEAR(EXPEDIENTE!$F$25),FO34,1)</f>
        <v>45992</v>
      </c>
      <c r="FQ34" s="520" t="str">
        <f>IF('GASTOS EJER. 1'!I63="","",'GASTOS EJER. 1'!I63)</f>
        <v/>
      </c>
      <c r="FR34" s="527">
        <f>'GASTOS EJER. 1'!X31</f>
        <v>0</v>
      </c>
      <c r="FS34" s="527">
        <f>'GASTOS EJER. 1'!H63</f>
        <v>0</v>
      </c>
      <c r="FT34" s="11">
        <f t="shared" si="135"/>
        <v>0</v>
      </c>
      <c r="FU34" s="527">
        <f t="shared" si="109"/>
        <v>0</v>
      </c>
      <c r="FW34" s="470"/>
      <c r="GG34" s="14">
        <v>15</v>
      </c>
      <c r="GH34" s="482">
        <f t="shared" si="104"/>
        <v>46082</v>
      </c>
      <c r="GI34" s="482">
        <f t="shared" si="105"/>
        <v>46112</v>
      </c>
      <c r="GJ34" s="14" t="str">
        <f>IF(AND(GI34&gt;=EXPEDIENTE!$F$25,GH34&lt;=EXPEDIENTE!$F$29),"SI","NO")</f>
        <v>SI</v>
      </c>
      <c r="GK34" s="11">
        <f t="shared" si="66"/>
        <v>0</v>
      </c>
      <c r="GL34" s="11">
        <f t="shared" si="67"/>
        <v>0</v>
      </c>
      <c r="GM34" s="11">
        <f t="shared" si="68"/>
        <v>0</v>
      </c>
      <c r="GN34" s="11">
        <f t="shared" si="69"/>
        <v>0</v>
      </c>
      <c r="GO34" s="11">
        <f t="shared" si="70"/>
        <v>0</v>
      </c>
      <c r="GP34" s="11">
        <f t="shared" si="71"/>
        <v>0</v>
      </c>
      <c r="GQ34" s="11">
        <f t="shared" si="72"/>
        <v>0</v>
      </c>
      <c r="GR34" s="11">
        <f t="shared" si="73"/>
        <v>0</v>
      </c>
      <c r="GS34" s="11">
        <f t="shared" si="74"/>
        <v>0</v>
      </c>
      <c r="GT34" s="11">
        <f t="shared" si="75"/>
        <v>0</v>
      </c>
      <c r="GU34" s="11">
        <f t="shared" si="76"/>
        <v>0</v>
      </c>
      <c r="GV34" s="11">
        <f t="shared" si="77"/>
        <v>0</v>
      </c>
      <c r="GW34" s="11">
        <f t="shared" si="78"/>
        <v>0</v>
      </c>
      <c r="GX34" s="11">
        <f t="shared" si="79"/>
        <v>0</v>
      </c>
      <c r="GY34" s="11">
        <f t="shared" si="80"/>
        <v>0</v>
      </c>
      <c r="GZ34" s="11">
        <f t="shared" si="81"/>
        <v>0</v>
      </c>
      <c r="HA34" s="11">
        <f t="shared" si="82"/>
        <v>0</v>
      </c>
      <c r="HB34" s="11">
        <f t="shared" si="83"/>
        <v>0</v>
      </c>
      <c r="HC34" s="11">
        <f t="shared" si="84"/>
        <v>0</v>
      </c>
      <c r="HD34" s="11">
        <f t="shared" si="85"/>
        <v>0</v>
      </c>
      <c r="HE34" s="11">
        <f t="shared" si="86"/>
        <v>0</v>
      </c>
      <c r="HF34" s="11">
        <f t="shared" si="87"/>
        <v>0</v>
      </c>
      <c r="HG34" s="11">
        <f t="shared" si="88"/>
        <v>0</v>
      </c>
      <c r="HH34" s="11">
        <f t="shared" si="89"/>
        <v>0</v>
      </c>
      <c r="HI34" s="11">
        <f t="shared" si="90"/>
        <v>0</v>
      </c>
      <c r="HJ34" s="11">
        <f t="shared" si="91"/>
        <v>0</v>
      </c>
      <c r="HK34" s="11">
        <f t="shared" si="92"/>
        <v>0</v>
      </c>
      <c r="HL34" s="11">
        <f t="shared" si="93"/>
        <v>0</v>
      </c>
      <c r="HM34" s="11">
        <f t="shared" si="94"/>
        <v>0</v>
      </c>
      <c r="HN34" s="11">
        <f t="shared" si="95"/>
        <v>0</v>
      </c>
      <c r="HO34" s="11">
        <f t="shared" si="96"/>
        <v>0</v>
      </c>
      <c r="HP34" s="11">
        <f t="shared" si="97"/>
        <v>0</v>
      </c>
      <c r="HQ34" s="11">
        <f t="shared" si="98"/>
        <v>0</v>
      </c>
      <c r="HT34" s="85">
        <v>12</v>
      </c>
      <c r="HU34" s="520">
        <f>DATE(YEAR(EXPEDIENTE!$F$25),HT34,1)</f>
        <v>45992</v>
      </c>
      <c r="HV34" s="520" t="str">
        <f>IF('GASTOS EJER. 1'!BF63="","",'GASTOS EJER. 1'!BF63)</f>
        <v/>
      </c>
      <c r="HW34" s="527">
        <f>'GASTOS EJER. 1'!CM31</f>
        <v>0</v>
      </c>
      <c r="HX34" s="527">
        <f>'GASTOS EJER. 1'!BA63</f>
        <v>0</v>
      </c>
      <c r="HY34" s="11">
        <f t="shared" si="136"/>
        <v>0</v>
      </c>
      <c r="HZ34" s="527">
        <f t="shared" si="113"/>
        <v>0</v>
      </c>
      <c r="JF34" s="485">
        <v>30</v>
      </c>
      <c r="JG34" s="474">
        <f t="shared" si="101"/>
        <v>10</v>
      </c>
    </row>
    <row r="35" spans="3:267" ht="15.75" customHeight="1" thickBot="1" x14ac:dyDescent="0.35">
      <c r="C35" s="8">
        <v>29</v>
      </c>
      <c r="D35" s="12"/>
      <c r="E35" s="17"/>
      <c r="F35" s="18"/>
      <c r="G35" s="19"/>
      <c r="H35" s="19"/>
      <c r="I35" s="19"/>
      <c r="J35" s="12"/>
      <c r="K35" s="14">
        <f t="shared" si="43"/>
        <v>76</v>
      </c>
      <c r="L35" s="14">
        <f t="shared" si="44"/>
        <v>76</v>
      </c>
      <c r="M35" s="14" t="str">
        <f t="shared" si="45"/>
        <v>X</v>
      </c>
      <c r="Y35" s="547">
        <f t="shared" si="46"/>
        <v>29</v>
      </c>
      <c r="Z35" s="478" t="str">
        <f>IF(Y35="","",IF(EDATE($Z$6,Y35)&gt;EXPEDIENTE!$F$27,"",EDATE($Z$6,Y35)))</f>
        <v/>
      </c>
      <c r="AA35" s="478" t="str">
        <f t="shared" si="170"/>
        <v/>
      </c>
      <c r="AB35" s="478" t="str">
        <f>IF(AA35="","",IF(YEAR(EXPEDIENTE!$F$25)=YEAR(AA35),AA35,""))</f>
        <v/>
      </c>
      <c r="AC35" s="478" t="str">
        <f>IF(AA35="","",IF(YEAR(EXPEDIENTE!$F$25)+1=YEAR(AA35),AA35,""))</f>
        <v/>
      </c>
      <c r="AD35" s="478" t="str">
        <f>IF(AA35="","",IF(YEAR(EXPEDIENTE!$F$25)+2=YEAR(AA35),AA35,""))</f>
        <v/>
      </c>
      <c r="AE35" s="478" t="str">
        <f>IF(AA35="","",IF(YEAR(EXPEDIENTE!$F$25)+3=YEAR(AA35),AA35,""))</f>
        <v/>
      </c>
      <c r="AG35" s="471"/>
      <c r="AH35" s="470"/>
      <c r="AI35" s="470"/>
      <c r="AJ35" s="470"/>
      <c r="AK35" s="470"/>
      <c r="AL35" s="470"/>
      <c r="AM35" s="470"/>
      <c r="AN35" s="470"/>
      <c r="AO35" s="470"/>
      <c r="AP35" s="470"/>
      <c r="AQ35" s="470"/>
      <c r="AR35" s="470"/>
      <c r="AS35" s="470"/>
      <c r="AT35" s="470"/>
      <c r="AU35" s="470"/>
      <c r="AV35" s="470"/>
      <c r="AW35" s="470"/>
      <c r="AX35" s="470"/>
      <c r="AY35" s="470"/>
      <c r="AZ35" s="470"/>
      <c r="BB35" s="596">
        <v>12</v>
      </c>
      <c r="BC35" s="599">
        <f t="shared" si="114"/>
        <v>45992</v>
      </c>
      <c r="BD35" s="602">
        <f t="shared" si="144"/>
        <v>0</v>
      </c>
      <c r="BE35" s="646">
        <f t="shared" si="145"/>
        <v>0</v>
      </c>
      <c r="BF35" s="646">
        <f t="shared" si="146"/>
        <v>0</v>
      </c>
      <c r="BG35" s="646">
        <f t="shared" si="147"/>
        <v>0</v>
      </c>
      <c r="BH35" s="646">
        <f t="shared" si="148"/>
        <v>0</v>
      </c>
      <c r="BI35" s="646">
        <f t="shared" si="149"/>
        <v>0</v>
      </c>
      <c r="BJ35" s="646">
        <f t="shared" si="150"/>
        <v>0</v>
      </c>
      <c r="BK35" s="647">
        <f t="shared" si="151"/>
        <v>0</v>
      </c>
      <c r="BL35" s="648">
        <f t="shared" si="152"/>
        <v>0</v>
      </c>
      <c r="BN35" s="622">
        <f t="shared" si="115"/>
        <v>0</v>
      </c>
      <c r="BO35" s="651">
        <f t="shared" si="116"/>
        <v>0</v>
      </c>
      <c r="BP35" s="651">
        <f t="shared" si="117"/>
        <v>0</v>
      </c>
      <c r="BQ35" s="651">
        <f t="shared" si="118"/>
        <v>0</v>
      </c>
      <c r="BR35" s="651">
        <f t="shared" si="119"/>
        <v>0</v>
      </c>
      <c r="BS35" s="651">
        <f t="shared" si="120"/>
        <v>0</v>
      </c>
      <c r="BT35" s="651">
        <f t="shared" si="121"/>
        <v>0</v>
      </c>
      <c r="BU35" s="652">
        <f t="shared" si="122"/>
        <v>0</v>
      </c>
      <c r="BV35" s="648">
        <f t="shared" si="123"/>
        <v>0</v>
      </c>
      <c r="BX35" s="648">
        <f t="shared" si="153"/>
        <v>0</v>
      </c>
      <c r="BZ35" s="471"/>
      <c r="CA35" s="470"/>
      <c r="CB35" s="470"/>
      <c r="CC35" s="470"/>
      <c r="CD35" s="470"/>
      <c r="CE35" s="470"/>
      <c r="CF35" s="470"/>
      <c r="CG35" s="470"/>
      <c r="CH35" s="470"/>
      <c r="CI35" s="470"/>
      <c r="CJ35" s="470"/>
      <c r="CK35" s="470"/>
      <c r="CL35" s="470"/>
      <c r="CM35" s="470"/>
      <c r="CN35" s="470"/>
      <c r="CO35" s="470"/>
      <c r="CP35" s="470"/>
      <c r="CQ35" s="470"/>
      <c r="CR35" s="470"/>
      <c r="CS35" s="470"/>
      <c r="CU35" s="620">
        <v>12</v>
      </c>
      <c r="CV35" s="599">
        <f t="shared" si="125"/>
        <v>45992</v>
      </c>
      <c r="CW35" s="622">
        <f t="shared" si="160"/>
        <v>0</v>
      </c>
      <c r="CX35" s="651">
        <f t="shared" si="161"/>
        <v>0</v>
      </c>
      <c r="CY35" s="651">
        <f t="shared" si="162"/>
        <v>0</v>
      </c>
      <c r="CZ35" s="651">
        <f t="shared" si="163"/>
        <v>0</v>
      </c>
      <c r="DA35" s="651">
        <f t="shared" si="164"/>
        <v>0</v>
      </c>
      <c r="DB35" s="651">
        <f t="shared" si="165"/>
        <v>0</v>
      </c>
      <c r="DC35" s="651">
        <f t="shared" si="166"/>
        <v>0</v>
      </c>
      <c r="DD35" s="652">
        <f t="shared" si="167"/>
        <v>0</v>
      </c>
      <c r="DE35" s="648">
        <f t="shared" si="168"/>
        <v>0</v>
      </c>
      <c r="DG35" s="622">
        <f t="shared" si="126"/>
        <v>0</v>
      </c>
      <c r="DH35" s="651">
        <f t="shared" si="127"/>
        <v>0</v>
      </c>
      <c r="DI35" s="651">
        <f t="shared" si="128"/>
        <v>0</v>
      </c>
      <c r="DJ35" s="651">
        <f t="shared" si="129"/>
        <v>0</v>
      </c>
      <c r="DK35" s="651">
        <f t="shared" si="130"/>
        <v>0</v>
      </c>
      <c r="DL35" s="651">
        <f t="shared" si="131"/>
        <v>0</v>
      </c>
      <c r="DM35" s="651">
        <f t="shared" si="132"/>
        <v>0</v>
      </c>
      <c r="DN35" s="652">
        <f t="shared" si="133"/>
        <v>0</v>
      </c>
      <c r="DO35" s="656">
        <f t="shared" si="134"/>
        <v>0</v>
      </c>
      <c r="DQ35" s="656">
        <f t="shared" si="169"/>
        <v>0</v>
      </c>
      <c r="DS35" s="470"/>
      <c r="DT35" s="542" t="e">
        <f>AG36</f>
        <v>#VALUE!</v>
      </c>
      <c r="DU35" s="6"/>
      <c r="DV35" s="6"/>
      <c r="DW35" s="6"/>
      <c r="EC35" s="14">
        <v>16</v>
      </c>
      <c r="ED35" s="482">
        <f t="shared" si="102"/>
        <v>46113</v>
      </c>
      <c r="EE35" s="482">
        <f t="shared" si="103"/>
        <v>46142</v>
      </c>
      <c r="EF35" s="14" t="str">
        <f>IF(AND(EE35&gt;=EXPEDIENTE!$F$25,ED35&lt;=EXPEDIENTE!$F$29),"SI","NO")</f>
        <v>SI</v>
      </c>
      <c r="EG35" s="11">
        <f t="shared" si="3"/>
        <v>0</v>
      </c>
      <c r="EH35" s="11">
        <f t="shared" si="4"/>
        <v>0</v>
      </c>
      <c r="EI35" s="11">
        <f t="shared" si="5"/>
        <v>0</v>
      </c>
      <c r="EJ35" s="11">
        <f t="shared" si="6"/>
        <v>0</v>
      </c>
      <c r="EK35" s="11">
        <f t="shared" si="7"/>
        <v>0</v>
      </c>
      <c r="EL35" s="11">
        <f t="shared" si="8"/>
        <v>0</v>
      </c>
      <c r="EM35" s="11">
        <f t="shared" si="9"/>
        <v>0</v>
      </c>
      <c r="EN35" s="11">
        <f t="shared" si="10"/>
        <v>0</v>
      </c>
      <c r="EO35" s="11">
        <f t="shared" si="11"/>
        <v>0</v>
      </c>
      <c r="EP35" s="11">
        <f t="shared" si="12"/>
        <v>0</v>
      </c>
      <c r="EQ35" s="11">
        <f t="shared" si="13"/>
        <v>0</v>
      </c>
      <c r="ER35" s="11">
        <f t="shared" si="14"/>
        <v>0</v>
      </c>
      <c r="ES35" s="11">
        <f t="shared" si="15"/>
        <v>0</v>
      </c>
      <c r="ET35" s="11">
        <f t="shared" si="16"/>
        <v>0</v>
      </c>
      <c r="EU35" s="11">
        <f t="shared" si="17"/>
        <v>0</v>
      </c>
      <c r="EV35" s="11">
        <f t="shared" si="18"/>
        <v>0</v>
      </c>
      <c r="EW35" s="11">
        <f t="shared" si="19"/>
        <v>0</v>
      </c>
      <c r="EX35" s="11">
        <f t="shared" si="20"/>
        <v>0</v>
      </c>
      <c r="EY35" s="11">
        <f t="shared" si="21"/>
        <v>0</v>
      </c>
      <c r="EZ35" s="11">
        <f t="shared" si="22"/>
        <v>0</v>
      </c>
      <c r="FA35" s="11">
        <f t="shared" si="23"/>
        <v>0</v>
      </c>
      <c r="FB35" s="11">
        <f t="shared" si="24"/>
        <v>0</v>
      </c>
      <c r="FC35" s="11">
        <f t="shared" si="25"/>
        <v>0</v>
      </c>
      <c r="FD35" s="11">
        <f t="shared" si="26"/>
        <v>0</v>
      </c>
      <c r="FE35" s="11">
        <f t="shared" si="27"/>
        <v>0</v>
      </c>
      <c r="FF35" s="11">
        <f t="shared" si="28"/>
        <v>0</v>
      </c>
      <c r="FG35" s="11">
        <f t="shared" si="29"/>
        <v>0</v>
      </c>
      <c r="FH35" s="11">
        <f t="shared" si="30"/>
        <v>0</v>
      </c>
      <c r="FI35" s="11">
        <f t="shared" si="31"/>
        <v>0</v>
      </c>
      <c r="FJ35" s="11">
        <f t="shared" si="32"/>
        <v>0</v>
      </c>
      <c r="FK35" s="11">
        <f t="shared" si="33"/>
        <v>0</v>
      </c>
      <c r="FL35" s="11">
        <f t="shared" si="34"/>
        <v>0</v>
      </c>
      <c r="FM35" s="11">
        <f t="shared" si="65"/>
        <v>0</v>
      </c>
      <c r="FO35" s="81"/>
      <c r="FP35" s="81"/>
      <c r="FQ35" s="543"/>
      <c r="FR35" s="544"/>
      <c r="FS35" s="544"/>
      <c r="FU35" s="544"/>
      <c r="FW35" s="470"/>
      <c r="FX35" s="491" t="e">
        <f>BZ36</f>
        <v>#VALUE!</v>
      </c>
      <c r="FY35" s="6"/>
      <c r="FZ35" s="6"/>
      <c r="GA35" s="6"/>
      <c r="GG35" s="14">
        <v>16</v>
      </c>
      <c r="GH35" s="482">
        <f t="shared" si="104"/>
        <v>46113</v>
      </c>
      <c r="GI35" s="482">
        <f t="shared" si="105"/>
        <v>46142</v>
      </c>
      <c r="GJ35" s="14" t="str">
        <f>IF(AND(GI35&gt;=EXPEDIENTE!$F$25,GH35&lt;=EXPEDIENTE!$F$29),"SI","NO")</f>
        <v>SI</v>
      </c>
      <c r="GK35" s="11">
        <f t="shared" si="66"/>
        <v>0</v>
      </c>
      <c r="GL35" s="11">
        <f t="shared" si="67"/>
        <v>0</v>
      </c>
      <c r="GM35" s="11">
        <f t="shared" si="68"/>
        <v>0</v>
      </c>
      <c r="GN35" s="11">
        <f t="shared" si="69"/>
        <v>0</v>
      </c>
      <c r="GO35" s="11">
        <f t="shared" si="70"/>
        <v>0</v>
      </c>
      <c r="GP35" s="11">
        <f t="shared" si="71"/>
        <v>0</v>
      </c>
      <c r="GQ35" s="11">
        <f t="shared" si="72"/>
        <v>0</v>
      </c>
      <c r="GR35" s="11">
        <f t="shared" si="73"/>
        <v>0</v>
      </c>
      <c r="GS35" s="11">
        <f t="shared" si="74"/>
        <v>0</v>
      </c>
      <c r="GT35" s="11">
        <f t="shared" si="75"/>
        <v>0</v>
      </c>
      <c r="GU35" s="11">
        <f t="shared" si="76"/>
        <v>0</v>
      </c>
      <c r="GV35" s="11">
        <f t="shared" si="77"/>
        <v>0</v>
      </c>
      <c r="GW35" s="11">
        <f t="shared" si="78"/>
        <v>0</v>
      </c>
      <c r="GX35" s="11">
        <f t="shared" si="79"/>
        <v>0</v>
      </c>
      <c r="GY35" s="11">
        <f t="shared" si="80"/>
        <v>0</v>
      </c>
      <c r="GZ35" s="11">
        <f t="shared" si="81"/>
        <v>0</v>
      </c>
      <c r="HA35" s="11">
        <f t="shared" si="82"/>
        <v>0</v>
      </c>
      <c r="HB35" s="11">
        <f t="shared" si="83"/>
        <v>0</v>
      </c>
      <c r="HC35" s="11">
        <f t="shared" si="84"/>
        <v>0</v>
      </c>
      <c r="HD35" s="11">
        <f t="shared" si="85"/>
        <v>0</v>
      </c>
      <c r="HE35" s="11">
        <f t="shared" si="86"/>
        <v>0</v>
      </c>
      <c r="HF35" s="11">
        <f t="shared" si="87"/>
        <v>0</v>
      </c>
      <c r="HG35" s="11">
        <f t="shared" si="88"/>
        <v>0</v>
      </c>
      <c r="HH35" s="11">
        <f t="shared" si="89"/>
        <v>0</v>
      </c>
      <c r="HI35" s="11">
        <f t="shared" si="90"/>
        <v>0</v>
      </c>
      <c r="HJ35" s="11">
        <f t="shared" si="91"/>
        <v>0</v>
      </c>
      <c r="HK35" s="11">
        <f t="shared" si="92"/>
        <v>0</v>
      </c>
      <c r="HL35" s="11">
        <f t="shared" si="93"/>
        <v>0</v>
      </c>
      <c r="HM35" s="11">
        <f t="shared" si="94"/>
        <v>0</v>
      </c>
      <c r="HN35" s="11">
        <f t="shared" si="95"/>
        <v>0</v>
      </c>
      <c r="HO35" s="11">
        <f t="shared" si="96"/>
        <v>0</v>
      </c>
      <c r="HP35" s="11">
        <f t="shared" si="97"/>
        <v>0</v>
      </c>
      <c r="HQ35" s="11">
        <f t="shared" si="98"/>
        <v>0</v>
      </c>
      <c r="HT35" s="81"/>
      <c r="HU35" s="81"/>
      <c r="HV35" s="543"/>
      <c r="HW35" s="544"/>
      <c r="HX35" s="544"/>
      <c r="HZ35" s="544"/>
      <c r="JF35" s="477">
        <v>31</v>
      </c>
      <c r="JG35" s="474">
        <f t="shared" si="101"/>
        <v>12</v>
      </c>
    </row>
    <row r="36" spans="3:267" ht="15.75" customHeight="1" thickBot="1" x14ac:dyDescent="0.35">
      <c r="C36" s="8">
        <v>30</v>
      </c>
      <c r="D36" s="12"/>
      <c r="E36" s="17"/>
      <c r="F36" s="18"/>
      <c r="G36" s="19"/>
      <c r="H36" s="19"/>
      <c r="I36" s="19"/>
      <c r="J36" s="12"/>
      <c r="K36" s="14">
        <f t="shared" si="43"/>
        <v>76</v>
      </c>
      <c r="L36" s="14">
        <f t="shared" si="44"/>
        <v>76</v>
      </c>
      <c r="M36" s="14" t="str">
        <f t="shared" si="45"/>
        <v>X</v>
      </c>
      <c r="Y36" s="547">
        <f t="shared" si="46"/>
        <v>30</v>
      </c>
      <c r="Z36" s="478" t="str">
        <f>IF(Y36="","",IF(EDATE($Z$6,Y36)&gt;EXPEDIENTE!$F$27,"",EDATE($Z$6,Y36)))</f>
        <v/>
      </c>
      <c r="AA36" s="478" t="str">
        <f t="shared" si="170"/>
        <v/>
      </c>
      <c r="AB36" s="478" t="str">
        <f>IF(AA36="","",IF(YEAR(EXPEDIENTE!$F$25)=YEAR(AA36),AA36,""))</f>
        <v/>
      </c>
      <c r="AC36" s="478" t="str">
        <f>IF(AA36="","",IF(YEAR(EXPEDIENTE!$F$25)+1=YEAR(AA36),AA36,""))</f>
        <v/>
      </c>
      <c r="AD36" s="478" t="str">
        <f>IF(AA36="","",IF(YEAR(EXPEDIENTE!$F$25)+2=YEAR(AA36),AA36,""))</f>
        <v/>
      </c>
      <c r="AE36" s="478" t="str">
        <f>IF(AA36="","",IF(YEAR(EXPEDIENTE!$F$25)+3=YEAR(AA36),AA36,""))</f>
        <v/>
      </c>
      <c r="AG36" s="1114" t="e">
        <f>IF(YEAR(EXPEDIENTE!$F$29)&gt;=$AG$20+1,$AG$20+1,"")</f>
        <v>#VALUE!</v>
      </c>
      <c r="AH36" s="1202" t="s">
        <v>432</v>
      </c>
      <c r="AI36" s="1205" t="s">
        <v>433</v>
      </c>
      <c r="AJ36" s="1205" t="s">
        <v>198</v>
      </c>
      <c r="AK36" s="1208" t="s">
        <v>434</v>
      </c>
      <c r="AM36" s="1184" t="s">
        <v>435</v>
      </c>
      <c r="AN36" s="1187" t="s">
        <v>200</v>
      </c>
      <c r="AO36" s="1190" t="s">
        <v>206</v>
      </c>
      <c r="AP36" s="1196" t="s">
        <v>436</v>
      </c>
      <c r="AQ36" s="1193" t="s">
        <v>437</v>
      </c>
      <c r="AR36" s="1194"/>
      <c r="AS36" s="1195"/>
      <c r="AT36" s="1056" t="s">
        <v>438</v>
      </c>
      <c r="AU36" s="1057"/>
      <c r="AV36" s="1192"/>
      <c r="AW36" s="1058"/>
      <c r="AX36" s="1129" t="s">
        <v>439</v>
      </c>
      <c r="AY36" s="1141" t="s">
        <v>440</v>
      </c>
      <c r="AZ36" s="1141" t="s">
        <v>441</v>
      </c>
      <c r="BC36" s="489"/>
      <c r="BZ36" s="1213" t="e">
        <f>IF(YEAR(EXPEDIENTE!$I$29)&gt;=$BZ$20+1,$BZ$20+1,"")</f>
        <v>#VALUE!</v>
      </c>
      <c r="CA36" s="1222" t="s">
        <v>432</v>
      </c>
      <c r="CB36" s="1225" t="s">
        <v>433</v>
      </c>
      <c r="CC36" s="1225" t="s">
        <v>198</v>
      </c>
      <c r="CD36" s="1228" t="s">
        <v>434</v>
      </c>
      <c r="CF36" s="1161" t="s">
        <v>435</v>
      </c>
      <c r="CG36" s="1164" t="s">
        <v>200</v>
      </c>
      <c r="CH36" s="1167" t="s">
        <v>206</v>
      </c>
      <c r="CI36" s="1170" t="s">
        <v>436</v>
      </c>
      <c r="CJ36" s="1062" t="s">
        <v>460</v>
      </c>
      <c r="CK36" s="1063"/>
      <c r="CL36" s="1064"/>
      <c r="CM36" s="1062" t="s">
        <v>438</v>
      </c>
      <c r="CN36" s="1063"/>
      <c r="CO36" s="1178"/>
      <c r="CP36" s="1064"/>
      <c r="CQ36" s="1211" t="s">
        <v>439</v>
      </c>
      <c r="CR36" s="1090" t="s">
        <v>440</v>
      </c>
      <c r="CS36" s="1090" t="s">
        <v>441</v>
      </c>
      <c r="CV36" s="489"/>
      <c r="DS36" s="470"/>
      <c r="DT36" s="1097" t="s">
        <v>283</v>
      </c>
      <c r="DU36" s="1083" t="s">
        <v>438</v>
      </c>
      <c r="DV36" s="1083"/>
      <c r="DW36" s="1083"/>
      <c r="DX36" s="1100" t="s">
        <v>333</v>
      </c>
      <c r="DY36" s="1100" t="s">
        <v>442</v>
      </c>
      <c r="DZ36" s="1084" t="s">
        <v>443</v>
      </c>
      <c r="EA36" s="1087" t="s">
        <v>441</v>
      </c>
      <c r="EC36" s="14">
        <v>17</v>
      </c>
      <c r="ED36" s="482">
        <f t="shared" si="102"/>
        <v>46143</v>
      </c>
      <c r="EE36" s="482">
        <f t="shared" si="103"/>
        <v>46173</v>
      </c>
      <c r="EF36" s="14" t="str">
        <f>IF(AND(EE36&gt;=EXPEDIENTE!$F$25,ED36&lt;=EXPEDIENTE!$F$29),"SI","NO")</f>
        <v>SI</v>
      </c>
      <c r="EG36" s="11">
        <f t="shared" si="3"/>
        <v>0</v>
      </c>
      <c r="EH36" s="11">
        <f t="shared" si="4"/>
        <v>0</v>
      </c>
      <c r="EI36" s="11">
        <f t="shared" si="5"/>
        <v>0</v>
      </c>
      <c r="EJ36" s="11">
        <f t="shared" si="6"/>
        <v>0</v>
      </c>
      <c r="EK36" s="11">
        <f t="shared" si="7"/>
        <v>0</v>
      </c>
      <c r="EL36" s="11">
        <f t="shared" si="8"/>
        <v>0</v>
      </c>
      <c r="EM36" s="11">
        <f t="shared" si="9"/>
        <v>0</v>
      </c>
      <c r="EN36" s="11">
        <f t="shared" si="10"/>
        <v>0</v>
      </c>
      <c r="EO36" s="11">
        <f t="shared" si="11"/>
        <v>0</v>
      </c>
      <c r="EP36" s="11">
        <f t="shared" si="12"/>
        <v>0</v>
      </c>
      <c r="EQ36" s="11">
        <f t="shared" si="13"/>
        <v>0</v>
      </c>
      <c r="ER36" s="11">
        <f t="shared" si="14"/>
        <v>0</v>
      </c>
      <c r="ES36" s="11">
        <f t="shared" si="15"/>
        <v>0</v>
      </c>
      <c r="ET36" s="11">
        <f t="shared" si="16"/>
        <v>0</v>
      </c>
      <c r="EU36" s="11">
        <f t="shared" si="17"/>
        <v>0</v>
      </c>
      <c r="EV36" s="11">
        <f t="shared" si="18"/>
        <v>0</v>
      </c>
      <c r="EW36" s="11">
        <f t="shared" si="19"/>
        <v>0</v>
      </c>
      <c r="EX36" s="11">
        <f t="shared" si="20"/>
        <v>0</v>
      </c>
      <c r="EY36" s="11">
        <f t="shared" si="21"/>
        <v>0</v>
      </c>
      <c r="EZ36" s="11">
        <f t="shared" si="22"/>
        <v>0</v>
      </c>
      <c r="FA36" s="11">
        <f t="shared" si="23"/>
        <v>0</v>
      </c>
      <c r="FB36" s="11">
        <f t="shared" si="24"/>
        <v>0</v>
      </c>
      <c r="FC36" s="11">
        <f t="shared" si="25"/>
        <v>0</v>
      </c>
      <c r="FD36" s="11">
        <f t="shared" si="26"/>
        <v>0</v>
      </c>
      <c r="FE36" s="11">
        <f t="shared" si="27"/>
        <v>0</v>
      </c>
      <c r="FF36" s="11">
        <f t="shared" si="28"/>
        <v>0</v>
      </c>
      <c r="FG36" s="11">
        <f t="shared" si="29"/>
        <v>0</v>
      </c>
      <c r="FH36" s="11">
        <f t="shared" si="30"/>
        <v>0</v>
      </c>
      <c r="FI36" s="11">
        <f t="shared" si="31"/>
        <v>0</v>
      </c>
      <c r="FJ36" s="11">
        <f t="shared" si="32"/>
        <v>0</v>
      </c>
      <c r="FK36" s="11">
        <f t="shared" si="33"/>
        <v>0</v>
      </c>
      <c r="FL36" s="11">
        <f t="shared" si="34"/>
        <v>0</v>
      </c>
      <c r="FM36" s="11">
        <f t="shared" si="65"/>
        <v>0</v>
      </c>
      <c r="FO36" s="81"/>
      <c r="FP36" s="81"/>
      <c r="FQ36" s="543"/>
      <c r="FR36" s="544"/>
      <c r="FS36" s="544"/>
      <c r="FU36" s="544"/>
      <c r="FW36" s="470"/>
      <c r="FX36" s="1097" t="s">
        <v>283</v>
      </c>
      <c r="FY36" s="1083" t="s">
        <v>438</v>
      </c>
      <c r="FZ36" s="1083"/>
      <c r="GA36" s="1083"/>
      <c r="GB36" s="1100" t="s">
        <v>333</v>
      </c>
      <c r="GC36" s="1100" t="s">
        <v>442</v>
      </c>
      <c r="GD36" s="1084" t="s">
        <v>443</v>
      </c>
      <c r="GE36" s="1087" t="s">
        <v>441</v>
      </c>
      <c r="GG36" s="14">
        <v>17</v>
      </c>
      <c r="GH36" s="482">
        <f t="shared" si="104"/>
        <v>46143</v>
      </c>
      <c r="GI36" s="482">
        <f t="shared" si="105"/>
        <v>46173</v>
      </c>
      <c r="GJ36" s="14" t="str">
        <f>IF(AND(GI36&gt;=EXPEDIENTE!$F$25,GH36&lt;=EXPEDIENTE!$F$29),"SI","NO")</f>
        <v>SI</v>
      </c>
      <c r="GK36" s="11">
        <f t="shared" si="66"/>
        <v>0</v>
      </c>
      <c r="GL36" s="11">
        <f t="shared" si="67"/>
        <v>0</v>
      </c>
      <c r="GM36" s="11">
        <f t="shared" si="68"/>
        <v>0</v>
      </c>
      <c r="GN36" s="11">
        <f t="shared" si="69"/>
        <v>0</v>
      </c>
      <c r="GO36" s="11">
        <f t="shared" si="70"/>
        <v>0</v>
      </c>
      <c r="GP36" s="11">
        <f t="shared" si="71"/>
        <v>0</v>
      </c>
      <c r="GQ36" s="11">
        <f t="shared" si="72"/>
        <v>0</v>
      </c>
      <c r="GR36" s="11">
        <f t="shared" si="73"/>
        <v>0</v>
      </c>
      <c r="GS36" s="11">
        <f t="shared" si="74"/>
        <v>0</v>
      </c>
      <c r="GT36" s="11">
        <f t="shared" si="75"/>
        <v>0</v>
      </c>
      <c r="GU36" s="11">
        <f t="shared" si="76"/>
        <v>0</v>
      </c>
      <c r="GV36" s="11">
        <f t="shared" si="77"/>
        <v>0</v>
      </c>
      <c r="GW36" s="11">
        <f t="shared" si="78"/>
        <v>0</v>
      </c>
      <c r="GX36" s="11">
        <f t="shared" si="79"/>
        <v>0</v>
      </c>
      <c r="GY36" s="11">
        <f t="shared" si="80"/>
        <v>0</v>
      </c>
      <c r="GZ36" s="11">
        <f t="shared" si="81"/>
        <v>0</v>
      </c>
      <c r="HA36" s="11">
        <f t="shared" si="82"/>
        <v>0</v>
      </c>
      <c r="HB36" s="11">
        <f t="shared" si="83"/>
        <v>0</v>
      </c>
      <c r="HC36" s="11">
        <f t="shared" si="84"/>
        <v>0</v>
      </c>
      <c r="HD36" s="11">
        <f t="shared" si="85"/>
        <v>0</v>
      </c>
      <c r="HE36" s="11">
        <f t="shared" si="86"/>
        <v>0</v>
      </c>
      <c r="HF36" s="11">
        <f t="shared" si="87"/>
        <v>0</v>
      </c>
      <c r="HG36" s="11">
        <f t="shared" si="88"/>
        <v>0</v>
      </c>
      <c r="HH36" s="11">
        <f t="shared" si="89"/>
        <v>0</v>
      </c>
      <c r="HI36" s="11">
        <f t="shared" si="90"/>
        <v>0</v>
      </c>
      <c r="HJ36" s="11">
        <f t="shared" si="91"/>
        <v>0</v>
      </c>
      <c r="HK36" s="11">
        <f t="shared" si="92"/>
        <v>0</v>
      </c>
      <c r="HL36" s="11">
        <f t="shared" si="93"/>
        <v>0</v>
      </c>
      <c r="HM36" s="11">
        <f t="shared" si="94"/>
        <v>0</v>
      </c>
      <c r="HN36" s="11">
        <f t="shared" si="95"/>
        <v>0</v>
      </c>
      <c r="HO36" s="11">
        <f t="shared" si="96"/>
        <v>0</v>
      </c>
      <c r="HP36" s="11">
        <f t="shared" si="97"/>
        <v>0</v>
      </c>
      <c r="HQ36" s="11">
        <f t="shared" si="98"/>
        <v>0</v>
      </c>
      <c r="HT36" s="81"/>
      <c r="HU36" s="81"/>
      <c r="HV36" s="543"/>
      <c r="HW36" s="544"/>
      <c r="HX36" s="544"/>
      <c r="HZ36" s="544"/>
      <c r="JF36" s="480">
        <v>32</v>
      </c>
      <c r="JG36" s="474">
        <f t="shared" si="101"/>
        <v>12</v>
      </c>
    </row>
    <row r="37" spans="3:267" ht="15" customHeight="1" thickBot="1" x14ac:dyDescent="0.35">
      <c r="C37" s="8">
        <v>31</v>
      </c>
      <c r="D37" s="12"/>
      <c r="E37" s="17"/>
      <c r="F37" s="18"/>
      <c r="G37" s="19"/>
      <c r="H37" s="19"/>
      <c r="I37" s="19"/>
      <c r="J37" s="12"/>
      <c r="K37" s="14">
        <f t="shared" si="43"/>
        <v>76</v>
      </c>
      <c r="L37" s="14">
        <f t="shared" si="44"/>
        <v>76</v>
      </c>
      <c r="M37" s="14" t="str">
        <f t="shared" si="45"/>
        <v>X</v>
      </c>
      <c r="Y37" s="547">
        <f t="shared" si="46"/>
        <v>31</v>
      </c>
      <c r="Z37" s="478" t="str">
        <f>IF(Y37="","",IF(EDATE($Z$6,Y37)&gt;EXPEDIENTE!$F$27,"",EDATE($Z$6,Y37)))</f>
        <v/>
      </c>
      <c r="AA37" s="478" t="str">
        <f t="shared" si="170"/>
        <v/>
      </c>
      <c r="AB37" s="478" t="str">
        <f>IF(AA37="","",IF(YEAR(EXPEDIENTE!$F$25)=YEAR(AA37),AA37,""))</f>
        <v/>
      </c>
      <c r="AC37" s="478" t="str">
        <f>IF(AA37="","",IF(YEAR(EXPEDIENTE!$F$25)+1=YEAR(AA37),AA37,""))</f>
        <v/>
      </c>
      <c r="AD37" s="478" t="str">
        <f>IF(AA37="","",IF(YEAR(EXPEDIENTE!$F$25)+2=YEAR(AA37),AA37,""))</f>
        <v/>
      </c>
      <c r="AE37" s="478" t="str">
        <f>IF(AA37="","",IF(YEAR(EXPEDIENTE!$F$25)+3=YEAR(AA37),AA37,""))</f>
        <v/>
      </c>
      <c r="AG37" s="1115"/>
      <c r="AH37" s="1203"/>
      <c r="AI37" s="1206"/>
      <c r="AJ37" s="1206"/>
      <c r="AK37" s="1209"/>
      <c r="AM37" s="1185"/>
      <c r="AN37" s="1188"/>
      <c r="AO37" s="1125"/>
      <c r="AP37" s="1197"/>
      <c r="AQ37" s="1185" t="s">
        <v>444</v>
      </c>
      <c r="AR37" s="1188" t="s">
        <v>445</v>
      </c>
      <c r="AS37" s="1127" t="s">
        <v>446</v>
      </c>
      <c r="AT37" s="1123" t="s">
        <v>285</v>
      </c>
      <c r="AU37" s="1125" t="s">
        <v>286</v>
      </c>
      <c r="AV37" s="1126" t="s">
        <v>447</v>
      </c>
      <c r="AW37" s="1127" t="s">
        <v>448</v>
      </c>
      <c r="AX37" s="1130"/>
      <c r="AY37" s="1142"/>
      <c r="AZ37" s="1142"/>
      <c r="BC37" s="1114" t="e">
        <f>AG36</f>
        <v>#VALUE!</v>
      </c>
      <c r="BD37" s="1103" t="e">
        <f>CONCATENATE("P.P. OTRAS NÓMINAS ABONADAS EN ",BC37)</f>
        <v>#VALUE!</v>
      </c>
      <c r="BE37" s="1104"/>
      <c r="BF37" s="1104"/>
      <c r="BG37" s="1104"/>
      <c r="BH37" s="1104"/>
      <c r="BI37" s="1104"/>
      <c r="BJ37" s="1104"/>
      <c r="BK37" s="1104"/>
      <c r="BL37" s="1105"/>
      <c r="BN37" s="1103" t="e">
        <f>CONCATENATE("P.P. OTRAS NÓMINAS ABONADAS EN ",BC53)</f>
        <v>#VALUE!</v>
      </c>
      <c r="BO37" s="1104"/>
      <c r="BP37" s="1104"/>
      <c r="BQ37" s="1104"/>
      <c r="BR37" s="1104"/>
      <c r="BS37" s="1104"/>
      <c r="BT37" s="1104"/>
      <c r="BU37" s="1104"/>
      <c r="BV37" s="1105"/>
      <c r="BX37" s="1114" t="s">
        <v>382</v>
      </c>
      <c r="BZ37" s="1214"/>
      <c r="CA37" s="1223"/>
      <c r="CB37" s="1226"/>
      <c r="CC37" s="1226"/>
      <c r="CD37" s="1229"/>
      <c r="CF37" s="1162"/>
      <c r="CG37" s="1165"/>
      <c r="CH37" s="1168"/>
      <c r="CI37" s="1171"/>
      <c r="CJ37" s="1162" t="s">
        <v>444</v>
      </c>
      <c r="CK37" s="1165" t="s">
        <v>445</v>
      </c>
      <c r="CL37" s="1181" t="s">
        <v>446</v>
      </c>
      <c r="CM37" s="1179" t="s">
        <v>285</v>
      </c>
      <c r="CN37" s="1168" t="s">
        <v>286</v>
      </c>
      <c r="CO37" s="1093" t="s">
        <v>447</v>
      </c>
      <c r="CP37" s="1181" t="s">
        <v>448</v>
      </c>
      <c r="CQ37" s="1212"/>
      <c r="CR37" s="1091"/>
      <c r="CS37" s="1091"/>
      <c r="CV37" s="1213" t="e">
        <f>BZ36</f>
        <v>#VALUE!</v>
      </c>
      <c r="CW37" s="1147" t="e">
        <f>CONCATENATE("P.P. OTRAS NÓMINAS ABONADAS EN ",CV37)</f>
        <v>#VALUE!</v>
      </c>
      <c r="CX37" s="1148"/>
      <c r="CY37" s="1148"/>
      <c r="CZ37" s="1148"/>
      <c r="DA37" s="1148"/>
      <c r="DB37" s="1148"/>
      <c r="DC37" s="1148"/>
      <c r="DD37" s="1148"/>
      <c r="DE37" s="1149"/>
      <c r="DG37" s="1147" t="e">
        <f>CONCATENATE("P.P. OTRAS NÓMINAS ABONADAS EN ",CV53)</f>
        <v>#VALUE!</v>
      </c>
      <c r="DH37" s="1148"/>
      <c r="DI37" s="1148"/>
      <c r="DJ37" s="1148"/>
      <c r="DK37" s="1148"/>
      <c r="DL37" s="1148"/>
      <c r="DM37" s="1148"/>
      <c r="DN37" s="1148"/>
      <c r="DO37" s="1149"/>
      <c r="DQ37" s="1213" t="s">
        <v>382</v>
      </c>
      <c r="DS37" s="470"/>
      <c r="DT37" s="1098"/>
      <c r="DU37" s="1081" t="s">
        <v>285</v>
      </c>
      <c r="DV37" s="1081" t="s">
        <v>286</v>
      </c>
      <c r="DW37" s="1081" t="s">
        <v>448</v>
      </c>
      <c r="DX37" s="1101"/>
      <c r="DY37" s="1101"/>
      <c r="DZ37" s="1085"/>
      <c r="EA37" s="1088"/>
      <c r="EC37" s="14">
        <v>18</v>
      </c>
      <c r="ED37" s="482">
        <f t="shared" si="102"/>
        <v>46174</v>
      </c>
      <c r="EE37" s="482">
        <f t="shared" si="103"/>
        <v>46203</v>
      </c>
      <c r="EF37" s="14" t="str">
        <f>IF(AND(EE37&gt;=EXPEDIENTE!$F$25,ED37&lt;=EXPEDIENTE!$F$29),"SI","NO")</f>
        <v>SI</v>
      </c>
      <c r="EG37" s="11">
        <f t="shared" si="3"/>
        <v>0</v>
      </c>
      <c r="EH37" s="11">
        <f t="shared" si="4"/>
        <v>0</v>
      </c>
      <c r="EI37" s="11">
        <f t="shared" si="5"/>
        <v>0</v>
      </c>
      <c r="EJ37" s="11">
        <f t="shared" si="6"/>
        <v>0</v>
      </c>
      <c r="EK37" s="11">
        <f t="shared" si="7"/>
        <v>0</v>
      </c>
      <c r="EL37" s="11">
        <f t="shared" si="8"/>
        <v>0</v>
      </c>
      <c r="EM37" s="11">
        <f t="shared" si="9"/>
        <v>0</v>
      </c>
      <c r="EN37" s="11">
        <f t="shared" si="10"/>
        <v>0</v>
      </c>
      <c r="EO37" s="11">
        <f t="shared" si="11"/>
        <v>0</v>
      </c>
      <c r="EP37" s="11">
        <f t="shared" si="12"/>
        <v>0</v>
      </c>
      <c r="EQ37" s="11">
        <f t="shared" si="13"/>
        <v>0</v>
      </c>
      <c r="ER37" s="11">
        <f t="shared" si="14"/>
        <v>0</v>
      </c>
      <c r="ES37" s="11">
        <f t="shared" si="15"/>
        <v>0</v>
      </c>
      <c r="ET37" s="11">
        <f t="shared" si="16"/>
        <v>0</v>
      </c>
      <c r="EU37" s="11">
        <f t="shared" si="17"/>
        <v>0</v>
      </c>
      <c r="EV37" s="11">
        <f t="shared" si="18"/>
        <v>0</v>
      </c>
      <c r="EW37" s="11">
        <f t="shared" si="19"/>
        <v>0</v>
      </c>
      <c r="EX37" s="11">
        <f t="shared" si="20"/>
        <v>0</v>
      </c>
      <c r="EY37" s="11">
        <f t="shared" si="21"/>
        <v>0</v>
      </c>
      <c r="EZ37" s="11">
        <f t="shared" si="22"/>
        <v>0</v>
      </c>
      <c r="FA37" s="11">
        <f t="shared" si="23"/>
        <v>0</v>
      </c>
      <c r="FB37" s="11">
        <f t="shared" si="24"/>
        <v>0</v>
      </c>
      <c r="FC37" s="11">
        <f t="shared" si="25"/>
        <v>0</v>
      </c>
      <c r="FD37" s="11">
        <f t="shared" si="26"/>
        <v>0</v>
      </c>
      <c r="FE37" s="11">
        <f t="shared" si="27"/>
        <v>0</v>
      </c>
      <c r="FF37" s="11">
        <f t="shared" si="28"/>
        <v>0</v>
      </c>
      <c r="FG37" s="11">
        <f t="shared" si="29"/>
        <v>0</v>
      </c>
      <c r="FH37" s="11">
        <f t="shared" si="30"/>
        <v>0</v>
      </c>
      <c r="FI37" s="11">
        <f t="shared" si="31"/>
        <v>0</v>
      </c>
      <c r="FJ37" s="11">
        <f t="shared" si="32"/>
        <v>0</v>
      </c>
      <c r="FK37" s="11">
        <f t="shared" si="33"/>
        <v>0</v>
      </c>
      <c r="FL37" s="11">
        <f t="shared" si="34"/>
        <v>0</v>
      </c>
      <c r="FM37" s="11">
        <f t="shared" si="65"/>
        <v>0</v>
      </c>
      <c r="FW37" s="470"/>
      <c r="FX37" s="1098"/>
      <c r="FY37" s="1081" t="s">
        <v>285</v>
      </c>
      <c r="FZ37" s="1081" t="s">
        <v>286</v>
      </c>
      <c r="GA37" s="1081" t="s">
        <v>448</v>
      </c>
      <c r="GB37" s="1101"/>
      <c r="GC37" s="1101"/>
      <c r="GD37" s="1085"/>
      <c r="GE37" s="1088"/>
      <c r="GG37" s="14">
        <v>18</v>
      </c>
      <c r="GH37" s="482">
        <f t="shared" si="104"/>
        <v>46174</v>
      </c>
      <c r="GI37" s="482">
        <f t="shared" si="105"/>
        <v>46203</v>
      </c>
      <c r="GJ37" s="14" t="str">
        <f>IF(AND(GI37&gt;=EXPEDIENTE!$F$25,GH37&lt;=EXPEDIENTE!$F$29),"SI","NO")</f>
        <v>SI</v>
      </c>
      <c r="GK37" s="11">
        <f t="shared" si="66"/>
        <v>0</v>
      </c>
      <c r="GL37" s="11">
        <f t="shared" si="67"/>
        <v>0</v>
      </c>
      <c r="GM37" s="11">
        <f t="shared" si="68"/>
        <v>0</v>
      </c>
      <c r="GN37" s="11">
        <f t="shared" si="69"/>
        <v>0</v>
      </c>
      <c r="GO37" s="11">
        <f t="shared" si="70"/>
        <v>0</v>
      </c>
      <c r="GP37" s="11">
        <f t="shared" si="71"/>
        <v>0</v>
      </c>
      <c r="GQ37" s="11">
        <f t="shared" si="72"/>
        <v>0</v>
      </c>
      <c r="GR37" s="11">
        <f t="shared" si="73"/>
        <v>0</v>
      </c>
      <c r="GS37" s="11">
        <f t="shared" si="74"/>
        <v>0</v>
      </c>
      <c r="GT37" s="11">
        <f t="shared" si="75"/>
        <v>0</v>
      </c>
      <c r="GU37" s="11">
        <f t="shared" si="76"/>
        <v>0</v>
      </c>
      <c r="GV37" s="11">
        <f t="shared" si="77"/>
        <v>0</v>
      </c>
      <c r="GW37" s="11">
        <f t="shared" si="78"/>
        <v>0</v>
      </c>
      <c r="GX37" s="11">
        <f t="shared" si="79"/>
        <v>0</v>
      </c>
      <c r="GY37" s="11">
        <f t="shared" si="80"/>
        <v>0</v>
      </c>
      <c r="GZ37" s="11">
        <f t="shared" si="81"/>
        <v>0</v>
      </c>
      <c r="HA37" s="11">
        <f t="shared" si="82"/>
        <v>0</v>
      </c>
      <c r="HB37" s="11">
        <f t="shared" si="83"/>
        <v>0</v>
      </c>
      <c r="HC37" s="11">
        <f t="shared" si="84"/>
        <v>0</v>
      </c>
      <c r="HD37" s="11">
        <f t="shared" si="85"/>
        <v>0</v>
      </c>
      <c r="HE37" s="11">
        <f t="shared" si="86"/>
        <v>0</v>
      </c>
      <c r="HF37" s="11">
        <f t="shared" si="87"/>
        <v>0</v>
      </c>
      <c r="HG37" s="11">
        <f t="shared" si="88"/>
        <v>0</v>
      </c>
      <c r="HH37" s="11">
        <f t="shared" si="89"/>
        <v>0</v>
      </c>
      <c r="HI37" s="11">
        <f t="shared" si="90"/>
        <v>0</v>
      </c>
      <c r="HJ37" s="11">
        <f t="shared" si="91"/>
        <v>0</v>
      </c>
      <c r="HK37" s="11">
        <f t="shared" si="92"/>
        <v>0</v>
      </c>
      <c r="HL37" s="11">
        <f t="shared" si="93"/>
        <v>0</v>
      </c>
      <c r="HM37" s="11">
        <f t="shared" si="94"/>
        <v>0</v>
      </c>
      <c r="HN37" s="11">
        <f t="shared" si="95"/>
        <v>0</v>
      </c>
      <c r="HO37" s="11">
        <f t="shared" si="96"/>
        <v>0</v>
      </c>
      <c r="HP37" s="11">
        <f t="shared" si="97"/>
        <v>0</v>
      </c>
      <c r="HQ37" s="11">
        <f t="shared" si="98"/>
        <v>0</v>
      </c>
      <c r="JF37" s="480">
        <v>33</v>
      </c>
      <c r="JG37" s="474">
        <f t="shared" si="101"/>
        <v>12</v>
      </c>
    </row>
    <row r="38" spans="3:267" ht="15.75" customHeight="1" thickBot="1" x14ac:dyDescent="0.35">
      <c r="C38" s="8">
        <v>32</v>
      </c>
      <c r="D38" s="12"/>
      <c r="E38" s="17"/>
      <c r="F38" s="18"/>
      <c r="G38" s="19"/>
      <c r="H38" s="19"/>
      <c r="I38" s="19"/>
      <c r="J38" s="12"/>
      <c r="K38" s="14">
        <f t="shared" si="43"/>
        <v>76</v>
      </c>
      <c r="L38" s="14">
        <f t="shared" si="44"/>
        <v>76</v>
      </c>
      <c r="M38" s="14" t="str">
        <f t="shared" si="45"/>
        <v>X</v>
      </c>
      <c r="Y38" s="547">
        <f t="shared" si="46"/>
        <v>32</v>
      </c>
      <c r="Z38" s="478" t="str">
        <f>IF(Y38="","",IF(EDATE($Z$6,Y38)&gt;EXPEDIENTE!$F$27,"",EDATE($Z$6,Y38)))</f>
        <v/>
      </c>
      <c r="AA38" s="478" t="str">
        <f t="shared" si="170"/>
        <v/>
      </c>
      <c r="AB38" s="478" t="str">
        <f>IF(AA38="","",IF(YEAR(EXPEDIENTE!$F$25)=YEAR(AA38),AA38,""))</f>
        <v/>
      </c>
      <c r="AC38" s="478" t="str">
        <f>IF(AA38="","",IF(YEAR(EXPEDIENTE!$F$25)+1=YEAR(AA38),AA38,""))</f>
        <v/>
      </c>
      <c r="AD38" s="478" t="str">
        <f>IF(AA38="","",IF(YEAR(EXPEDIENTE!$F$25)+2=YEAR(AA38),AA38,""))</f>
        <v/>
      </c>
      <c r="AE38" s="478" t="str">
        <f>IF(AA38="","",IF(YEAR(EXPEDIENTE!$F$25)+3=YEAR(AA38),AA38,""))</f>
        <v/>
      </c>
      <c r="AG38" s="1115"/>
      <c r="AH38" s="1203"/>
      <c r="AI38" s="1206"/>
      <c r="AJ38" s="1206"/>
      <c r="AK38" s="1209"/>
      <c r="AM38" s="1185"/>
      <c r="AN38" s="1188"/>
      <c r="AO38" s="1125"/>
      <c r="AP38" s="1197"/>
      <c r="AQ38" s="1185"/>
      <c r="AR38" s="1188"/>
      <c r="AS38" s="1127"/>
      <c r="AT38" s="1123"/>
      <c r="AU38" s="1125"/>
      <c r="AV38" s="1200"/>
      <c r="AW38" s="1127"/>
      <c r="AX38" s="1130"/>
      <c r="AY38" s="1142"/>
      <c r="AZ38" s="1142"/>
      <c r="BC38" s="1115"/>
      <c r="BD38" s="1106">
        <f>'GASTOS EJER. 2'!$C$38</f>
        <v>0</v>
      </c>
      <c r="BE38" s="1108">
        <f>'GASTOS EJER. 2'!$C$39</f>
        <v>0</v>
      </c>
      <c r="BF38" s="1108">
        <f>'GASTOS EJER. 2'!$C$40</f>
        <v>0</v>
      </c>
      <c r="BG38" s="1108">
        <f>'GASTOS EJER. 2'!$C$41</f>
        <v>0</v>
      </c>
      <c r="BH38" s="1108">
        <f>'GASTOS EJER. 2'!$C$42</f>
        <v>0</v>
      </c>
      <c r="BI38" s="1108">
        <f>'GASTOS EJER. 2'!$C$43</f>
        <v>0</v>
      </c>
      <c r="BJ38" s="1108">
        <f>'GASTOS EJER. 2'!$C$44</f>
        <v>0</v>
      </c>
      <c r="BK38" s="1136">
        <f>'GASTOS EJER. 2'!$C$45</f>
        <v>0</v>
      </c>
      <c r="BL38" s="1131" t="s">
        <v>382</v>
      </c>
      <c r="BN38" s="1106">
        <f>'GASTOS EJER. 3'!$C$38</f>
        <v>0</v>
      </c>
      <c r="BO38" s="1108">
        <f>'GASTOS EJER. 3'!$C$39</f>
        <v>0</v>
      </c>
      <c r="BP38" s="1108">
        <f>'GASTOS EJER. 3'!$C$40</f>
        <v>0</v>
      </c>
      <c r="BQ38" s="1108">
        <f>'GASTOS EJER. 3'!$C$41</f>
        <v>0</v>
      </c>
      <c r="BR38" s="1108">
        <f>'GASTOS EJER. 3'!$C$42</f>
        <v>0</v>
      </c>
      <c r="BS38" s="1108">
        <f>'GASTOS EJER. 3'!$C$43</f>
        <v>0</v>
      </c>
      <c r="BT38" s="1108">
        <f>'GASTOS EJER. 3'!$C$44</f>
        <v>0</v>
      </c>
      <c r="BU38" s="1136">
        <f>'GASTOS EJER. 3'!$C$45</f>
        <v>0</v>
      </c>
      <c r="BV38" s="1131" t="s">
        <v>382</v>
      </c>
      <c r="BX38" s="1115"/>
      <c r="BZ38" s="1214"/>
      <c r="CA38" s="1223"/>
      <c r="CB38" s="1226"/>
      <c r="CC38" s="1226"/>
      <c r="CD38" s="1229"/>
      <c r="CF38" s="1162"/>
      <c r="CG38" s="1165"/>
      <c r="CH38" s="1168"/>
      <c r="CI38" s="1171"/>
      <c r="CJ38" s="1162"/>
      <c r="CK38" s="1165"/>
      <c r="CL38" s="1181"/>
      <c r="CM38" s="1179"/>
      <c r="CN38" s="1168"/>
      <c r="CO38" s="1094"/>
      <c r="CP38" s="1181"/>
      <c r="CQ38" s="1212"/>
      <c r="CR38" s="1091"/>
      <c r="CS38" s="1091"/>
      <c r="CV38" s="1214"/>
      <c r="CW38" s="1155">
        <f>'GASTOS EJER. 2'!$C$38</f>
        <v>0</v>
      </c>
      <c r="CX38" s="1157">
        <f>'GASTOS EJER. 2'!$C$39</f>
        <v>0</v>
      </c>
      <c r="CY38" s="1157">
        <f>'GASTOS EJER. 2'!$C$40</f>
        <v>0</v>
      </c>
      <c r="CZ38" s="1157">
        <f>'GASTOS EJER. 2'!$C$41</f>
        <v>0</v>
      </c>
      <c r="DA38" s="1157">
        <f>'GASTOS EJER. 2'!$C$42</f>
        <v>0</v>
      </c>
      <c r="DB38" s="1157">
        <f>'GASTOS EJER. 2'!$C$43</f>
        <v>0</v>
      </c>
      <c r="DC38" s="1157">
        <f>'GASTOS EJER. 2'!$C$44</f>
        <v>0</v>
      </c>
      <c r="DD38" s="1173">
        <f>'GASTOS EJER. 2'!$C$45</f>
        <v>0</v>
      </c>
      <c r="DE38" s="1159" t="s">
        <v>382</v>
      </c>
      <c r="DG38" s="1155">
        <f>'GASTOS EJER. 3'!$C$38</f>
        <v>0</v>
      </c>
      <c r="DH38" s="1157">
        <f>'GASTOS EJER. 3'!$C$39</f>
        <v>0</v>
      </c>
      <c r="DI38" s="1157">
        <f>'GASTOS EJER. 3'!$C$40</f>
        <v>0</v>
      </c>
      <c r="DJ38" s="1157">
        <f>'GASTOS EJER. 3'!$C$41</f>
        <v>0</v>
      </c>
      <c r="DK38" s="1157">
        <f>'GASTOS EJER. 3'!$C$42</f>
        <v>0</v>
      </c>
      <c r="DL38" s="1157">
        <f>'GASTOS EJER. 3'!$C$43</f>
        <v>0</v>
      </c>
      <c r="DM38" s="1157">
        <f>'GASTOS EJER. 3'!$C$44</f>
        <v>0</v>
      </c>
      <c r="DN38" s="1173">
        <f>'GASTOS EJER. 3'!$C$45</f>
        <v>0</v>
      </c>
      <c r="DO38" s="1159" t="s">
        <v>382</v>
      </c>
      <c r="DQ38" s="1214"/>
      <c r="DS38" s="470"/>
      <c r="DT38" s="1099"/>
      <c r="DU38" s="1082"/>
      <c r="DV38" s="1082"/>
      <c r="DW38" s="1082"/>
      <c r="DX38" s="1102"/>
      <c r="DY38" s="1102"/>
      <c r="DZ38" s="1086"/>
      <c r="EA38" s="1089"/>
      <c r="EC38" s="14">
        <v>19</v>
      </c>
      <c r="ED38" s="482">
        <f t="shared" si="102"/>
        <v>46204</v>
      </c>
      <c r="EE38" s="482">
        <f t="shared" si="103"/>
        <v>46234</v>
      </c>
      <c r="EF38" s="14" t="str">
        <f>IF(AND(EE38&gt;=EXPEDIENTE!$F$25,ED38&lt;=EXPEDIENTE!$F$29),"SI","NO")</f>
        <v>SI</v>
      </c>
      <c r="EG38" s="11">
        <f t="shared" si="3"/>
        <v>0</v>
      </c>
      <c r="EH38" s="11">
        <f t="shared" si="4"/>
        <v>0</v>
      </c>
      <c r="EI38" s="11">
        <f t="shared" si="5"/>
        <v>0</v>
      </c>
      <c r="EJ38" s="11">
        <f t="shared" si="6"/>
        <v>0</v>
      </c>
      <c r="EK38" s="11">
        <f t="shared" si="7"/>
        <v>0</v>
      </c>
      <c r="EL38" s="11">
        <f t="shared" si="8"/>
        <v>0</v>
      </c>
      <c r="EM38" s="11">
        <f t="shared" si="9"/>
        <v>0</v>
      </c>
      <c r="EN38" s="11">
        <f t="shared" si="10"/>
        <v>0</v>
      </c>
      <c r="EO38" s="11">
        <f t="shared" si="11"/>
        <v>0</v>
      </c>
      <c r="EP38" s="11">
        <f t="shared" si="12"/>
        <v>0</v>
      </c>
      <c r="EQ38" s="11">
        <f t="shared" si="13"/>
        <v>0</v>
      </c>
      <c r="ER38" s="11">
        <f t="shared" si="14"/>
        <v>0</v>
      </c>
      <c r="ES38" s="11">
        <f t="shared" si="15"/>
        <v>0</v>
      </c>
      <c r="ET38" s="11">
        <f t="shared" si="16"/>
        <v>0</v>
      </c>
      <c r="EU38" s="11">
        <f t="shared" si="17"/>
        <v>0</v>
      </c>
      <c r="EV38" s="11">
        <f t="shared" si="18"/>
        <v>0</v>
      </c>
      <c r="EW38" s="11">
        <f t="shared" si="19"/>
        <v>0</v>
      </c>
      <c r="EX38" s="11">
        <f t="shared" si="20"/>
        <v>0</v>
      </c>
      <c r="EY38" s="11">
        <f t="shared" si="21"/>
        <v>0</v>
      </c>
      <c r="EZ38" s="11">
        <f t="shared" si="22"/>
        <v>0</v>
      </c>
      <c r="FA38" s="11">
        <f t="shared" si="23"/>
        <v>0</v>
      </c>
      <c r="FB38" s="11">
        <f t="shared" si="24"/>
        <v>0</v>
      </c>
      <c r="FC38" s="11">
        <f t="shared" si="25"/>
        <v>0</v>
      </c>
      <c r="FD38" s="11">
        <f t="shared" si="26"/>
        <v>0</v>
      </c>
      <c r="FE38" s="11">
        <f t="shared" si="27"/>
        <v>0</v>
      </c>
      <c r="FF38" s="11">
        <f t="shared" si="28"/>
        <v>0</v>
      </c>
      <c r="FG38" s="11">
        <f t="shared" si="29"/>
        <v>0</v>
      </c>
      <c r="FH38" s="11">
        <f t="shared" si="30"/>
        <v>0</v>
      </c>
      <c r="FI38" s="11">
        <f t="shared" si="31"/>
        <v>0</v>
      </c>
      <c r="FJ38" s="11">
        <f t="shared" si="32"/>
        <v>0</v>
      </c>
      <c r="FK38" s="11">
        <f t="shared" si="33"/>
        <v>0</v>
      </c>
      <c r="FL38" s="11">
        <f t="shared" si="34"/>
        <v>0</v>
      </c>
      <c r="FM38" s="11">
        <f t="shared" si="65"/>
        <v>0</v>
      </c>
      <c r="FO38" s="493" t="e">
        <f>BC37</f>
        <v>#VALUE!</v>
      </c>
      <c r="FP38" s="494" t="s">
        <v>91</v>
      </c>
      <c r="FQ38" s="495" t="s">
        <v>450</v>
      </c>
      <c r="FR38" s="495" t="s">
        <v>332</v>
      </c>
      <c r="FS38" s="495" t="s">
        <v>451</v>
      </c>
      <c r="FT38" s="495" t="s">
        <v>452</v>
      </c>
      <c r="FU38" s="496" t="s">
        <v>382</v>
      </c>
      <c r="FW38" s="470"/>
      <c r="FX38" s="1099"/>
      <c r="FY38" s="1082"/>
      <c r="FZ38" s="1082"/>
      <c r="GA38" s="1082"/>
      <c r="GB38" s="1102"/>
      <c r="GC38" s="1102"/>
      <c r="GD38" s="1086"/>
      <c r="GE38" s="1089"/>
      <c r="GG38" s="14">
        <v>19</v>
      </c>
      <c r="GH38" s="482">
        <f t="shared" si="104"/>
        <v>46204</v>
      </c>
      <c r="GI38" s="482">
        <f t="shared" si="105"/>
        <v>46234</v>
      </c>
      <c r="GJ38" s="14" t="str">
        <f>IF(AND(GI38&gt;=EXPEDIENTE!$F$25,GH38&lt;=EXPEDIENTE!$F$29),"SI","NO")</f>
        <v>SI</v>
      </c>
      <c r="GK38" s="11">
        <f t="shared" si="66"/>
        <v>0</v>
      </c>
      <c r="GL38" s="11">
        <f t="shared" si="67"/>
        <v>0</v>
      </c>
      <c r="GM38" s="11">
        <f t="shared" si="68"/>
        <v>0</v>
      </c>
      <c r="GN38" s="11">
        <f t="shared" si="69"/>
        <v>0</v>
      </c>
      <c r="GO38" s="11">
        <f t="shared" si="70"/>
        <v>0</v>
      </c>
      <c r="GP38" s="11">
        <f t="shared" si="71"/>
        <v>0</v>
      </c>
      <c r="GQ38" s="11">
        <f t="shared" si="72"/>
        <v>0</v>
      </c>
      <c r="GR38" s="11">
        <f t="shared" si="73"/>
        <v>0</v>
      </c>
      <c r="GS38" s="11">
        <f t="shared" si="74"/>
        <v>0</v>
      </c>
      <c r="GT38" s="11">
        <f t="shared" si="75"/>
        <v>0</v>
      </c>
      <c r="GU38" s="11">
        <f t="shared" si="76"/>
        <v>0</v>
      </c>
      <c r="GV38" s="11">
        <f t="shared" si="77"/>
        <v>0</v>
      </c>
      <c r="GW38" s="11">
        <f t="shared" si="78"/>
        <v>0</v>
      </c>
      <c r="GX38" s="11">
        <f t="shared" si="79"/>
        <v>0</v>
      </c>
      <c r="GY38" s="11">
        <f t="shared" si="80"/>
        <v>0</v>
      </c>
      <c r="GZ38" s="11">
        <f t="shared" si="81"/>
        <v>0</v>
      </c>
      <c r="HA38" s="11">
        <f t="shared" si="82"/>
        <v>0</v>
      </c>
      <c r="HB38" s="11">
        <f t="shared" si="83"/>
        <v>0</v>
      </c>
      <c r="HC38" s="11">
        <f t="shared" si="84"/>
        <v>0</v>
      </c>
      <c r="HD38" s="11">
        <f t="shared" si="85"/>
        <v>0</v>
      </c>
      <c r="HE38" s="11">
        <f t="shared" si="86"/>
        <v>0</v>
      </c>
      <c r="HF38" s="11">
        <f t="shared" si="87"/>
        <v>0</v>
      </c>
      <c r="HG38" s="11">
        <f t="shared" si="88"/>
        <v>0</v>
      </c>
      <c r="HH38" s="11">
        <f t="shared" si="89"/>
        <v>0</v>
      </c>
      <c r="HI38" s="11">
        <f t="shared" si="90"/>
        <v>0</v>
      </c>
      <c r="HJ38" s="11">
        <f t="shared" si="91"/>
        <v>0</v>
      </c>
      <c r="HK38" s="11">
        <f t="shared" si="92"/>
        <v>0</v>
      </c>
      <c r="HL38" s="11">
        <f t="shared" si="93"/>
        <v>0</v>
      </c>
      <c r="HM38" s="11">
        <f t="shared" si="94"/>
        <v>0</v>
      </c>
      <c r="HN38" s="11">
        <f t="shared" si="95"/>
        <v>0</v>
      </c>
      <c r="HO38" s="11">
        <f t="shared" si="96"/>
        <v>0</v>
      </c>
      <c r="HP38" s="11">
        <f t="shared" si="97"/>
        <v>0</v>
      </c>
      <c r="HQ38" s="11">
        <f t="shared" si="98"/>
        <v>0</v>
      </c>
      <c r="HT38" s="497" t="e">
        <f>BZ36</f>
        <v>#VALUE!</v>
      </c>
      <c r="HU38" s="494" t="s">
        <v>91</v>
      </c>
      <c r="HV38" s="495" t="s">
        <v>450</v>
      </c>
      <c r="HW38" s="495" t="s">
        <v>332</v>
      </c>
      <c r="HX38" s="495" t="s">
        <v>451</v>
      </c>
      <c r="HY38" s="495" t="s">
        <v>452</v>
      </c>
      <c r="HZ38" s="496" t="s">
        <v>382</v>
      </c>
      <c r="JF38" s="480">
        <v>34</v>
      </c>
      <c r="JG38" s="474">
        <f t="shared" si="101"/>
        <v>12</v>
      </c>
    </row>
    <row r="39" spans="3:267" ht="15.75" thickBot="1" x14ac:dyDescent="0.35">
      <c r="C39" s="8">
        <v>33</v>
      </c>
      <c r="D39" s="12"/>
      <c r="E39" s="17"/>
      <c r="F39" s="18"/>
      <c r="G39" s="19"/>
      <c r="H39" s="19"/>
      <c r="I39" s="19"/>
      <c r="J39" s="12"/>
      <c r="K39" s="14">
        <f t="shared" si="43"/>
        <v>76</v>
      </c>
      <c r="L39" s="14">
        <f t="shared" si="44"/>
        <v>76</v>
      </c>
      <c r="M39" s="14" t="str">
        <f t="shared" si="45"/>
        <v>X</v>
      </c>
      <c r="Y39" s="547">
        <f t="shared" si="46"/>
        <v>33</v>
      </c>
      <c r="Z39" s="478" t="str">
        <f>IF(Y39="","",IF(EDATE($Z$6,Y39)&gt;EXPEDIENTE!$F$27,"",EDATE($Z$6,Y39)))</f>
        <v/>
      </c>
      <c r="AA39" s="478" t="str">
        <f t="shared" si="170"/>
        <v/>
      </c>
      <c r="AB39" s="478" t="str">
        <f>IF(AA39="","",IF(YEAR(EXPEDIENTE!$F$25)=YEAR(AA39),AA39,""))</f>
        <v/>
      </c>
      <c r="AC39" s="478" t="str">
        <f>IF(AA39="","",IF(YEAR(EXPEDIENTE!$F$25)+1=YEAR(AA39),AA39,""))</f>
        <v/>
      </c>
      <c r="AD39" s="478" t="str">
        <f>IF(AA39="","",IF(YEAR(EXPEDIENTE!$F$25)+2=YEAR(AA39),AA39,""))</f>
        <v/>
      </c>
      <c r="AE39" s="478" t="str">
        <f>IF(AA39="","",IF(YEAR(EXPEDIENTE!$F$25)+3=YEAR(AA39),AA39,""))</f>
        <v/>
      </c>
      <c r="AG39" s="1116"/>
      <c r="AH39" s="1204"/>
      <c r="AI39" s="1207"/>
      <c r="AJ39" s="1207"/>
      <c r="AK39" s="1210"/>
      <c r="AM39" s="1186"/>
      <c r="AN39" s="1189"/>
      <c r="AO39" s="1191"/>
      <c r="AP39" s="1198"/>
      <c r="AQ39" s="1186"/>
      <c r="AR39" s="1189"/>
      <c r="AS39" s="1199"/>
      <c r="AT39" s="1124"/>
      <c r="AU39" s="1126"/>
      <c r="AV39" s="1201"/>
      <c r="AW39" s="1128"/>
      <c r="AX39" s="467" t="e">
        <f>AG36</f>
        <v>#VALUE!</v>
      </c>
      <c r="AY39" s="1143"/>
      <c r="AZ39" s="1143"/>
      <c r="BC39" s="1116"/>
      <c r="BD39" s="1107"/>
      <c r="BE39" s="1109"/>
      <c r="BF39" s="1109"/>
      <c r="BG39" s="1109"/>
      <c r="BH39" s="1109"/>
      <c r="BI39" s="1109"/>
      <c r="BJ39" s="1109"/>
      <c r="BK39" s="1137"/>
      <c r="BL39" s="1132"/>
      <c r="BN39" s="1107"/>
      <c r="BO39" s="1109"/>
      <c r="BP39" s="1109"/>
      <c r="BQ39" s="1109"/>
      <c r="BR39" s="1109"/>
      <c r="BS39" s="1109"/>
      <c r="BT39" s="1109"/>
      <c r="BU39" s="1137"/>
      <c r="BV39" s="1132"/>
      <c r="BX39" s="592" t="e">
        <f>AG36</f>
        <v>#VALUE!</v>
      </c>
      <c r="BZ39" s="1218"/>
      <c r="CA39" s="1224"/>
      <c r="CB39" s="1227"/>
      <c r="CC39" s="1227"/>
      <c r="CD39" s="1230"/>
      <c r="CF39" s="1163"/>
      <c r="CG39" s="1166"/>
      <c r="CH39" s="1169"/>
      <c r="CI39" s="1172"/>
      <c r="CJ39" s="1163"/>
      <c r="CK39" s="1166"/>
      <c r="CL39" s="1183"/>
      <c r="CM39" s="1180"/>
      <c r="CN39" s="1093"/>
      <c r="CO39" s="1095"/>
      <c r="CP39" s="1182"/>
      <c r="CQ39" s="575" t="e">
        <f>BZ36</f>
        <v>#VALUE!</v>
      </c>
      <c r="CR39" s="1092"/>
      <c r="CS39" s="1092"/>
      <c r="CV39" s="1218"/>
      <c r="CW39" s="1156"/>
      <c r="CX39" s="1158"/>
      <c r="CY39" s="1158"/>
      <c r="CZ39" s="1158"/>
      <c r="DA39" s="1158"/>
      <c r="DB39" s="1158"/>
      <c r="DC39" s="1158"/>
      <c r="DD39" s="1174"/>
      <c r="DE39" s="1160"/>
      <c r="DG39" s="1156"/>
      <c r="DH39" s="1158"/>
      <c r="DI39" s="1158"/>
      <c r="DJ39" s="1158"/>
      <c r="DK39" s="1158"/>
      <c r="DL39" s="1158"/>
      <c r="DM39" s="1158"/>
      <c r="DN39" s="1174"/>
      <c r="DO39" s="1160"/>
      <c r="DQ39" s="614" t="e">
        <f>BZ36</f>
        <v>#VALUE!</v>
      </c>
      <c r="DS39" s="498">
        <v>9</v>
      </c>
      <c r="DT39" s="510">
        <f>'GASTOS EJER. 2'!$C38</f>
        <v>0</v>
      </c>
      <c r="DU39" s="507" t="str">
        <f t="shared" ref="DU39:DV46" si="171">AT40</f>
        <v/>
      </c>
      <c r="DV39" s="507" t="str">
        <f t="shared" si="171"/>
        <v/>
      </c>
      <c r="DW39" s="511">
        <f t="shared" ref="DW39:DW46" si="172">AW40</f>
        <v>0</v>
      </c>
      <c r="DX39" s="512">
        <f>'GASTOS EJER. 2'!X38</f>
        <v>0</v>
      </c>
      <c r="DY39" s="503" t="str">
        <f>IF(DX39=0,"",'GASTOS EJER. 2'!AA38)</f>
        <v/>
      </c>
      <c r="DZ39" s="503" t="str">
        <f t="shared" ref="DZ39:DZ46" si="173">IF(DY39="","",EOMONTH(DATE(YEAR(DY39),MONTH(DY39)+1,1),0))</f>
        <v/>
      </c>
      <c r="EA39" s="501" t="e">
        <f>IF(AND(DZ39&gt;=EXPEDIENTE!$F$25,DZ39&lt;=EXPEDIENTE!$F$29),ROUNDDOWN(DX39/DW39,2),0)</f>
        <v>#DIV/0!</v>
      </c>
      <c r="EC39" s="14">
        <v>20</v>
      </c>
      <c r="ED39" s="482">
        <f t="shared" si="102"/>
        <v>46235</v>
      </c>
      <c r="EE39" s="482">
        <f t="shared" si="103"/>
        <v>46265</v>
      </c>
      <c r="EF39" s="14" t="str">
        <f>IF(AND(EE39&gt;=EXPEDIENTE!$F$25,ED39&lt;=EXPEDIENTE!$F$29),"SI","NO")</f>
        <v>SI</v>
      </c>
      <c r="EG39" s="11">
        <f t="shared" ref="EG39:EG69" si="174">IF(AND($ED39&gt;=$DU$23,$EE39&lt;=$DV$23),$EA$23,0)</f>
        <v>0</v>
      </c>
      <c r="EH39" s="11">
        <f t="shared" ref="EH39:EH69" si="175">IF(AND($ED39&gt;=$DU$24,$EE39&lt;=$DV$24),$EA$24,0)</f>
        <v>0</v>
      </c>
      <c r="EI39" s="11">
        <f t="shared" ref="EI39:EI69" si="176">IF(AND($ED39&gt;=$DU$25,$EE39&lt;=$DV$25),$EA$25,0)</f>
        <v>0</v>
      </c>
      <c r="EJ39" s="11">
        <f t="shared" ref="EJ39:EJ69" si="177">IF(AND($ED39&gt;=$DU$26,$EE39&lt;=$DV$26),$EA$26,0)</f>
        <v>0</v>
      </c>
      <c r="EK39" s="11">
        <f t="shared" ref="EK39:EK69" si="178">IF(AND($ED39&gt;=$DU$27,$EE39&lt;=$DV$27),$EA$27,0)</f>
        <v>0</v>
      </c>
      <c r="EL39" s="11">
        <f t="shared" ref="EL39:EL69" si="179">IF(AND($ED39&gt;=$DU$28,$EE39&lt;=$DV$28),$EA$28,0)</f>
        <v>0</v>
      </c>
      <c r="EM39" s="11">
        <f t="shared" ref="EM39:EM69" si="180">IF(AND($ED39&gt;=$DU$29,$EE39&lt;=$DV$29),$EA$29,0)</f>
        <v>0</v>
      </c>
      <c r="EN39" s="11">
        <f t="shared" ref="EN39:EN69" si="181">IF(AND($ED39&gt;=$DU$30,$EE39&lt;=$DV$30),$EA$30,0)</f>
        <v>0</v>
      </c>
      <c r="EO39" s="11">
        <f t="shared" ref="EO39:EO69" si="182">IF(AND($ED39&gt;=$DU$39,$EE39&lt;=$DV$39),$EA$39,0)</f>
        <v>0</v>
      </c>
      <c r="EP39" s="11">
        <f t="shared" ref="EP39:EP69" si="183">IF(AND($ED39&gt;=$DU$40,$EE39&lt;=$DV$40),$EA$40,0)</f>
        <v>0</v>
      </c>
      <c r="EQ39" s="11">
        <f t="shared" ref="EQ39:EQ69" si="184">IF(AND($ED39&gt;=$DU$41,$EE39&lt;=$DV$41),$EA$41,0)</f>
        <v>0</v>
      </c>
      <c r="ER39" s="11">
        <f t="shared" ref="ER39:ER69" si="185">IF(AND($ED39&gt;=$DU$42,$EE39&lt;=$DV$42),$EA$42,0)</f>
        <v>0</v>
      </c>
      <c r="ES39" s="11">
        <f t="shared" ref="ES39:ES69" si="186">IF(AND($ED39&gt;=$DU$43,$EE39&lt;=$DV$43),$EA$43,0)</f>
        <v>0</v>
      </c>
      <c r="ET39" s="11">
        <f t="shared" ref="ET39:ET69" si="187">IF(AND($ED39&gt;=$DU$44,$EE39&lt;=$DV$44),$EA$44,0)</f>
        <v>0</v>
      </c>
      <c r="EU39" s="11">
        <f t="shared" ref="EU39:EU69" si="188">IF(AND($ED39&gt;=$DU$45,$EE39&lt;=$DV$45),$EA$45,0)</f>
        <v>0</v>
      </c>
      <c r="EV39" s="11">
        <f t="shared" ref="EV39:EV69" si="189">IF(AND($ED39&gt;=$DU$46,$EE39&lt;=$DV$46),$EA$46,0)</f>
        <v>0</v>
      </c>
      <c r="EW39" s="11">
        <f t="shared" ref="EW39:EW69" si="190">IF(AND($ED39&gt;=$DU$55,$EE39&lt;=$DV$55),$EA$55,0)</f>
        <v>0</v>
      </c>
      <c r="EX39" s="11">
        <f t="shared" ref="EX39:EX69" si="191">IF(AND($ED39&gt;=$DU$56,$EE39&lt;=$DV$56),$EA$56,0)</f>
        <v>0</v>
      </c>
      <c r="EY39" s="11">
        <f t="shared" ref="EY39:EY69" si="192">IF(AND($ED39&gt;=$DU$57,$EE39&lt;=$DV$57),$EA$57,0)</f>
        <v>0</v>
      </c>
      <c r="EZ39" s="11">
        <f t="shared" ref="EZ39:EZ69" si="193">IF(AND($ED39&gt;=$DU$58,$EE39&lt;=$DV$58),$EA$58,0)</f>
        <v>0</v>
      </c>
      <c r="FA39" s="11">
        <f t="shared" ref="FA39:FA69" si="194">IF(AND($ED39&gt;=$DU$59,$EE39&lt;=$DV$59),$EA$59,0)</f>
        <v>0</v>
      </c>
      <c r="FB39" s="11">
        <f t="shared" ref="FB39:FB69" si="195">IF(AND($ED39&gt;=$DU$60,$EE39&lt;=$DV$60),$EA$60,0)</f>
        <v>0</v>
      </c>
      <c r="FC39" s="11">
        <f t="shared" ref="FC39:FC69" si="196">IF(AND($ED39&gt;=$DU$61,$EE39&lt;=$DV$61),$EA$61,0)</f>
        <v>0</v>
      </c>
      <c r="FD39" s="11">
        <f t="shared" ref="FD39:FD69" si="197">IF(AND($ED39&gt;=$DU$62,$EE39&lt;=$DV$62),$EA$62,0)</f>
        <v>0</v>
      </c>
      <c r="FE39" s="11">
        <f t="shared" ref="FE39:FE69" si="198">IF(AND($ED39&gt;=$DU$71,$EE39&lt;=$DV$71),$EA$71,0)</f>
        <v>0</v>
      </c>
      <c r="FF39" s="11">
        <f t="shared" ref="FF39:FF69" si="199">IF(AND($ED39&gt;=$DU$72,$EE39&lt;=$DV$72),$EA$72,0)</f>
        <v>0</v>
      </c>
      <c r="FG39" s="11">
        <f t="shared" ref="FG39:FG69" si="200">IF(AND($ED39&gt;=$DU$73,$EE39&lt;=$DV$73),$EA$73,0)</f>
        <v>0</v>
      </c>
      <c r="FH39" s="11">
        <f t="shared" ref="FH39:FH69" si="201">IF(AND($ED39&gt;=$DU$74,$EE39&lt;=$DV$74),$EA$74,0)</f>
        <v>0</v>
      </c>
      <c r="FI39" s="11">
        <f t="shared" ref="FI39:FI69" si="202">IF(AND($ED39&gt;=$DU$75,$EE39&lt;=$DV$75),$EA$75,0)</f>
        <v>0</v>
      </c>
      <c r="FJ39" s="11">
        <f t="shared" ref="FJ39:FJ69" si="203">IF(AND($ED39&gt;=$DU$76,$EE39&lt;=$DV$76),$EA$76,0)</f>
        <v>0</v>
      </c>
      <c r="FK39" s="11">
        <f t="shared" ref="FK39:FK69" si="204">IF(AND($ED39&gt;=$DU$77,$EE39&lt;=$DV$77),$EA$77,0)</f>
        <v>0</v>
      </c>
      <c r="FL39" s="11">
        <f t="shared" ref="FL39:FL69" si="205">IF(AND($ED39&gt;=$DU$78,$EE39&lt;=$DV$78),$EA$78,0)</f>
        <v>0</v>
      </c>
      <c r="FM39" s="11">
        <f t="shared" si="65"/>
        <v>0</v>
      </c>
      <c r="FO39" s="85">
        <v>1</v>
      </c>
      <c r="FP39" s="513">
        <f>DATE(YEAR(EXPEDIENTE!$F$25)+1,FO39,1)</f>
        <v>46023</v>
      </c>
      <c r="FQ39" s="513" t="str">
        <f>IF('GASTOS EJER. 2'!I52="","",'GASTOS EJER. 2'!I52)</f>
        <v/>
      </c>
      <c r="FR39" s="514">
        <f>'GASTOS EJER. 2'!X20</f>
        <v>0</v>
      </c>
      <c r="FS39" s="514">
        <f>'GASTOS EJER. 2'!H52</f>
        <v>0</v>
      </c>
      <c r="FT39" s="483">
        <f>VLOOKUP(FP39,$ED$7:$FM$69,36,FALSE)</f>
        <v>0</v>
      </c>
      <c r="FU39" s="514">
        <f t="shared" ref="FU39:FU50" si="206">SUM(FR39:FT39)</f>
        <v>0</v>
      </c>
      <c r="FW39" s="498">
        <v>9</v>
      </c>
      <c r="FX39" s="510">
        <f>'GASTOS EJER. 2'!$C38</f>
        <v>0</v>
      </c>
      <c r="FY39" s="507" t="str">
        <f t="shared" ref="FY39:FZ46" si="207">CM40</f>
        <v/>
      </c>
      <c r="FZ39" s="507" t="str">
        <f t="shared" si="207"/>
        <v/>
      </c>
      <c r="GA39" s="511">
        <f t="shared" ref="GA39:GA46" si="208">CP40</f>
        <v>0</v>
      </c>
      <c r="GB39" s="512">
        <f>'GASTOS EJER. 2'!CM38</f>
        <v>0</v>
      </c>
      <c r="GC39" s="503" t="str">
        <f>IF(GB39=0,"",'GASTOS EJER. 2'!CT38)</f>
        <v/>
      </c>
      <c r="GD39" s="503" t="str">
        <f t="shared" ref="GD39:GD46" si="209">IF(GC39="","",EOMONTH(DATE(YEAR(GC39),MONTH(GC39)+1,1),0))</f>
        <v/>
      </c>
      <c r="GE39" s="501" t="e">
        <f>IF(AND(GD39&gt;=EXPEDIENTE!$F$25,GD39&lt;=EXPEDIENTE!$F$29),ROUNDDOWN(GB39/GA39,2),0)</f>
        <v>#DIV/0!</v>
      </c>
      <c r="GG39" s="14">
        <v>20</v>
      </c>
      <c r="GH39" s="482">
        <f t="shared" si="104"/>
        <v>46235</v>
      </c>
      <c r="GI39" s="482">
        <f t="shared" si="105"/>
        <v>46265</v>
      </c>
      <c r="GJ39" s="14" t="str">
        <f>IF(AND(GI39&gt;=EXPEDIENTE!$F$25,GH39&lt;=EXPEDIENTE!$F$29),"SI","NO")</f>
        <v>SI</v>
      </c>
      <c r="GK39" s="11">
        <f t="shared" si="66"/>
        <v>0</v>
      </c>
      <c r="GL39" s="11">
        <f t="shared" si="67"/>
        <v>0</v>
      </c>
      <c r="GM39" s="11">
        <f t="shared" si="68"/>
        <v>0</v>
      </c>
      <c r="GN39" s="11">
        <f t="shared" si="69"/>
        <v>0</v>
      </c>
      <c r="GO39" s="11">
        <f t="shared" si="70"/>
        <v>0</v>
      </c>
      <c r="GP39" s="11">
        <f t="shared" si="71"/>
        <v>0</v>
      </c>
      <c r="GQ39" s="11">
        <f t="shared" si="72"/>
        <v>0</v>
      </c>
      <c r="GR39" s="11">
        <f t="shared" si="73"/>
        <v>0</v>
      </c>
      <c r="GS39" s="11">
        <f t="shared" si="74"/>
        <v>0</v>
      </c>
      <c r="GT39" s="11">
        <f t="shared" si="75"/>
        <v>0</v>
      </c>
      <c r="GU39" s="11">
        <f t="shared" si="76"/>
        <v>0</v>
      </c>
      <c r="GV39" s="11">
        <f t="shared" si="77"/>
        <v>0</v>
      </c>
      <c r="GW39" s="11">
        <f t="shared" si="78"/>
        <v>0</v>
      </c>
      <c r="GX39" s="11">
        <f t="shared" si="79"/>
        <v>0</v>
      </c>
      <c r="GY39" s="11">
        <f t="shared" si="80"/>
        <v>0</v>
      </c>
      <c r="GZ39" s="11">
        <f t="shared" si="81"/>
        <v>0</v>
      </c>
      <c r="HA39" s="11">
        <f t="shared" si="82"/>
        <v>0</v>
      </c>
      <c r="HB39" s="11">
        <f t="shared" si="83"/>
        <v>0</v>
      </c>
      <c r="HC39" s="11">
        <f t="shared" si="84"/>
        <v>0</v>
      </c>
      <c r="HD39" s="11">
        <f t="shared" si="85"/>
        <v>0</v>
      </c>
      <c r="HE39" s="11">
        <f t="shared" si="86"/>
        <v>0</v>
      </c>
      <c r="HF39" s="11">
        <f t="shared" si="87"/>
        <v>0</v>
      </c>
      <c r="HG39" s="11">
        <f t="shared" si="88"/>
        <v>0</v>
      </c>
      <c r="HH39" s="11">
        <f t="shared" si="89"/>
        <v>0</v>
      </c>
      <c r="HI39" s="11">
        <f t="shared" si="90"/>
        <v>0</v>
      </c>
      <c r="HJ39" s="11">
        <f t="shared" si="91"/>
        <v>0</v>
      </c>
      <c r="HK39" s="11">
        <f t="shared" si="92"/>
        <v>0</v>
      </c>
      <c r="HL39" s="11">
        <f t="shared" si="93"/>
        <v>0</v>
      </c>
      <c r="HM39" s="11">
        <f t="shared" si="94"/>
        <v>0</v>
      </c>
      <c r="HN39" s="11">
        <f t="shared" si="95"/>
        <v>0</v>
      </c>
      <c r="HO39" s="11">
        <f t="shared" si="96"/>
        <v>0</v>
      </c>
      <c r="HP39" s="11">
        <f t="shared" si="97"/>
        <v>0</v>
      </c>
      <c r="HQ39" s="11">
        <f t="shared" si="98"/>
        <v>0</v>
      </c>
      <c r="HT39" s="85">
        <v>1</v>
      </c>
      <c r="HU39" s="513">
        <f>DATE(YEAR(EXPEDIENTE!$F$25)+1,HT39,1)</f>
        <v>46023</v>
      </c>
      <c r="HV39" s="513" t="str">
        <f>IF('GASTOS EJER. 2'!BF52="","",'GASTOS EJER. 2'!BF52)</f>
        <v/>
      </c>
      <c r="HW39" s="514">
        <f>'GASTOS EJER. 2'!CM20</f>
        <v>0</v>
      </c>
      <c r="HX39" s="514">
        <f>'GASTOS EJER. 2'!BA52</f>
        <v>0</v>
      </c>
      <c r="HY39" s="483">
        <f>VLOOKUP(HU39,$GH$7:$HQ$69,36,FALSE)</f>
        <v>0</v>
      </c>
      <c r="HZ39" s="514">
        <f t="shared" ref="HZ39:HZ50" si="210">SUM(HW39:HY39)</f>
        <v>0</v>
      </c>
      <c r="JF39" s="485">
        <v>35</v>
      </c>
      <c r="JG39" s="474">
        <f t="shared" si="101"/>
        <v>12</v>
      </c>
    </row>
    <row r="40" spans="3:267" x14ac:dyDescent="0.3">
      <c r="C40" s="8">
        <v>34</v>
      </c>
      <c r="D40" s="12"/>
      <c r="E40" s="17"/>
      <c r="F40" s="18"/>
      <c r="G40" s="19"/>
      <c r="H40" s="19"/>
      <c r="I40" s="19"/>
      <c r="J40" s="12"/>
      <c r="K40" s="14">
        <f t="shared" si="43"/>
        <v>76</v>
      </c>
      <c r="L40" s="14">
        <f t="shared" si="44"/>
        <v>76</v>
      </c>
      <c r="M40" s="14" t="str">
        <f t="shared" si="45"/>
        <v>X</v>
      </c>
      <c r="Y40" s="547">
        <f t="shared" si="46"/>
        <v>34</v>
      </c>
      <c r="Z40" s="478" t="str">
        <f>IF(Y40="","",IF(EDATE($Z$6,Y40)&gt;EXPEDIENTE!$F$27,"",EDATE($Z$6,Y40)))</f>
        <v/>
      </c>
      <c r="AA40" s="478" t="str">
        <f t="shared" si="170"/>
        <v/>
      </c>
      <c r="AB40" s="478" t="str">
        <f>IF(AA40="","",IF(YEAR(EXPEDIENTE!$F$25)=YEAR(AA40),AA40,""))</f>
        <v/>
      </c>
      <c r="AC40" s="478" t="str">
        <f>IF(AA40="","",IF(YEAR(EXPEDIENTE!$F$25)+1=YEAR(AA40),AA40,""))</f>
        <v/>
      </c>
      <c r="AD40" s="478" t="str">
        <f>IF(AA40="","",IF(YEAR(EXPEDIENTE!$F$25)+2=YEAR(AA40),AA40,""))</f>
        <v/>
      </c>
      <c r="AE40" s="478" t="str">
        <f>IF(AA40="","",IF(YEAR(EXPEDIENTE!$F$25)+3=YEAR(AA40),AA40,""))</f>
        <v/>
      </c>
      <c r="AG40" s="583">
        <v>9</v>
      </c>
      <c r="AH40" s="512">
        <f>'GASTOS EJER. 2'!M38</f>
        <v>0</v>
      </c>
      <c r="AI40" s="512">
        <f>'GASTOS EJER. 2'!X38</f>
        <v>0</v>
      </c>
      <c r="AJ40" s="589">
        <f>'GASTOS EJER. 2'!Y38</f>
        <v>0</v>
      </c>
      <c r="AK40" s="501">
        <f>AH40-AI40</f>
        <v>0</v>
      </c>
      <c r="AM40" s="502">
        <f>'GASTOS EJER. 2'!F38+'GASTOS EJER. 2'!L38-'GASTOS EJER. 2'!X38-'GASTOS EJER. 2'!Y38</f>
        <v>0</v>
      </c>
      <c r="AN40" s="503" t="str">
        <f>IF('GASTOS EJER. 2'!AA38="","",'GASTOS EJER. 2'!AA38)</f>
        <v/>
      </c>
      <c r="AO40" s="500">
        <f>'GASTOS EJER. 2'!Y38</f>
        <v>0</v>
      </c>
      <c r="AP40" s="504" t="str">
        <f>IF('GASTOS EJER. 2'!AB38="","",'GASTOS EJER. 2'!AB38)</f>
        <v/>
      </c>
      <c r="AQ40" s="505">
        <f>IF(AND(AN40&gt;=EXPEDIENTE!$I$25,AN40&lt;=EXPEDIENTE!$I$29),AM40,0)</f>
        <v>0</v>
      </c>
      <c r="AR40" s="481">
        <f>IF(AND(AP40&gt;=EXPEDIENTE!$I$25,AP40&lt;=EXPEDIENTE!$I$29),AO40,0)</f>
        <v>0</v>
      </c>
      <c r="AS40" s="501">
        <f>AQ40+AR40</f>
        <v>0</v>
      </c>
      <c r="AT40" s="506" t="str">
        <f>IF('GASTOS EJER. 2'!D38="","",'GASTOS EJER. 2'!D38)</f>
        <v/>
      </c>
      <c r="AU40" s="507" t="str">
        <f>IF('GASTOS EJER. 2'!E38="","",'GASTOS EJER. 2'!E38)</f>
        <v/>
      </c>
      <c r="AV40" s="593">
        <f>IF(OR(AT40="",AU40=""),0,DAYS360(AT40,AU40,TRUE)+1)</f>
        <v>0</v>
      </c>
      <c r="AW40" s="508">
        <f>IF(OR(AT40="",AU40=""),0,DATEDIF(AT40,AU40,"M")+1)</f>
        <v>0</v>
      </c>
      <c r="AX40" s="16">
        <f t="shared" ref="AX40:AX47" si="211">IF(OR(AT40="",AU40=""),0,IF(YEAR(AT40)&lt;$AX$23,DATEDIF(DATE($AX$23,1,1),AU40,"M")+1,AW40))</f>
        <v>0</v>
      </c>
      <c r="AY40" s="603">
        <f>IF(OR(AT40="",AU40=""),0,ROUNDDOWN(AS40/AV40,2))</f>
        <v>0</v>
      </c>
      <c r="AZ40" s="606">
        <f>IF(OR(AT40="",AU40=""),0,ROUND(AS40/AW40,2))</f>
        <v>0</v>
      </c>
      <c r="BB40" s="596">
        <v>1</v>
      </c>
      <c r="BC40" s="597" t="e">
        <f t="shared" ref="BC40:BC51" si="212">IF($BC$37="","",DATE($BC$37,BB40,1))</f>
        <v>#VALUE!</v>
      </c>
      <c r="BD40" s="600">
        <f>IF($AH$40="",0,IF($BD$38=0,0,IF(EOMONTH($BC40,0)&lt;$AT$40,0,IF($AU$40&lt;$BC40,0,IF(AND($AT$40&lt;=$BC40,$AU$40&gt;= EOMONTH($BC40,0)),ROUND(30*$AY$40,2),IF(AND($BC40&lt;=$AT$40, EOMONTH($BC40,0)&gt;$AT$40, EOMONTH($BC40,0)&lt;=$AU$40),ROUND($AY$40*DAYS360($AT$40, EOMONTH($BC40,0),TRUE),2),IF(AND($BC40&gt;=$AT$40,$BC40&lt;=$AU$40, EOMONTH($BC40,0)&gt;$AU$40),ROUND($AY$40*(DAYS360($BC40,$AU$40,TRUE)+1),2))))))))</f>
        <v>0</v>
      </c>
      <c r="BE40" s="640">
        <f>IF($AH$41="",0,IF($BE$38=0,0,IF(EOMONTH($BC40,0)&lt;$AT$41,0,IF($AU$41&lt;$BC40,0,IF(AND($AT$41&lt;=$BC40,$AU$41&gt;= EOMONTH($BC40,0)),ROUND(30*$AY$41,2),IF(AND($BC40&lt;=$AT$41, EOMONTH($BC40,0)&gt;$AT$41, EOMONTH($BC40,0)&lt;=$AU$41),ROUND($AY$41*DAYS360($AT$41, EOMONTH($BC40,0),TRUE),2),IF(AND($BC40&gt;=$AT$41,$BC40&lt;=$AU$41, EOMONTH($BC40,0)&gt;$AU$41),ROUND($AY$41*(DAYS360($BC40,$AU$41,TRUE)+1),2))))))))</f>
        <v>0</v>
      </c>
      <c r="BF40" s="640">
        <f>IF($AH$42="",0,IF($BF$38=0,0,IF(EOMONTH($BC40,0)&lt;$AT$42,0,IF($AU$42&lt;$BC40,0,IF(AND($AT$42&lt;=$BC40,$AU$42&gt;= EOMONTH($BC40,0)),ROUND(30*$AY$42,2),IF(AND($BC40&lt;=$AT$42, EOMONTH($BC40,0)&gt;$AT$42, EOMONTH($BC40,0)&lt;=$AU$42),ROUND($AY$42*DAYS360($AT$42, EOMONTH($BC40,0),TRUE),2),IF(AND($BC40&gt;=$AT$42,$BC40&lt;=$AU$42, EOMONTH($BC40,0)&gt;$AU$42),ROUND($AY$42*(DAYS360($BC40,$AU$42,TRUE)+1),2))))))))</f>
        <v>0</v>
      </c>
      <c r="BG40" s="640">
        <f>IF($AH$43="",0,IF($BG$38=0,0,IF(EOMONTH($BC40,0)&lt;$AT$43,0,IF($AU$43&lt;$BC40,0,IF(AND($AT$43&lt;=$BC40,$AU$43&gt;= EOMONTH($BC40,0)),ROUND(30*$AY$43,2),IF(AND($BC40&lt;=$AT$43, EOMONTH($BC40,0)&gt;$AT$43, EOMONTH($BC40,0)&lt;=$AU$43),ROUND($AY$43*DAYS360($AT$43, EOMONTH($BC40,0),TRUE),2),IF(AND($BC40&gt;=$AT$43,$BC40&lt;=$AU$43, EOMONTH($BC40,0)&gt;$AU$43),ROUND($AY$43*(DAYS360($BC40,$AU$43,TRUE)+1),2))))))))</f>
        <v>0</v>
      </c>
      <c r="BH40" s="640">
        <f>IF($AH$44="",0,IF($BH$38=0,0,IF(EOMONTH($BC40,0)&lt;$AT$44,0,IF($AU$44&lt;$BC40,0,IF(AND($AT$44&lt;=$BC40,$AU$44&gt;= EOMONTH($BC40,0)),ROUND(30*$AY$44,2),IF(AND($BC40&lt;=$AT$44, EOMONTH($BC40,0)&gt;$AT$44, EOMONTH($BC40,0)&lt;=$AU$44),ROUND($AY$44*DAYS360($AT$44, EOMONTH($BC40,0),TRUE),2),IF(AND($BC40&gt;=$AT$44,$BC40&lt;=$AU$44, EOMONTH($BC40,0)&gt;$AU$44),ROUND($AY$44*(DAYS360($BC40,$AU$44,TRUE)+1),2))))))))</f>
        <v>0</v>
      </c>
      <c r="BI40" s="640">
        <f>IF($AH$45="",0,IF($BI$38=0,0,IF(EOMONTH($BC40,0)&lt;$AT$45,0,IF($AU$45&lt;$BC40,0,IF(AND($AT$45&lt;=$BC40,$AU$45&gt;= EOMONTH($BC40,0)),ROUND(30*$AY$45,2),IF(AND($BC40&lt;=$AT$45, EOMONTH($BC40,0)&gt;$AT$45, EOMONTH($BC40,0)&lt;=$AU$45),ROUND($AY$45*DAYS360($AT$45, EOMONTH($BC40,0),TRUE),2),IF(AND($BC40&gt;=$AT$45,$BC40&lt;=$AU$45, EOMONTH($BC40,0)&gt;$AU$45),ROUND($AY$45*(DAYS360($BC40,$AU$45,TRUE)+1),2))))))))</f>
        <v>0</v>
      </c>
      <c r="BJ40" s="640">
        <f>IF($AH$46="",0,IF($BJ$38=0,0,IF(EOMONTH($BC40,0)&lt;$AT$46,0,IF($AU$46&lt;$BC40,0,IF(AND($AT$46&lt;=$BC40,$AU$46&gt;= EOMONTH($BC40,0)),ROUND(30*$AY$46,2),IF(AND($BC40&lt;=$AT$46, EOMONTH($BC40,0)&gt;$AT$46, EOMONTH($BC40,0)&lt;=$AU$46),ROUND($AY$46*DAYS360($AT$46, EOMONTH($BC40,0),TRUE),2),IF(AND($BC40&gt;=$AT$46,$BC40&lt;=$AU$46, EOMONTH($BC40,0)&gt;$AU$46),ROUND($AY$46*(DAYS360($BC40,$AU$46,TRUE)+1),2))))))))</f>
        <v>0</v>
      </c>
      <c r="BK40" s="641">
        <f>IF($AH$47="",0,IF($BK$38=0,0,IF(EOMONTH($BC40,0)&lt;$AT$47,0,IF($AU$47&lt;$BC40,0,IF(AND($AT$47&lt;=$BC40,$AU$47&gt;= EOMONTH($BC40,0)),ROUND(30*$AY$47,2),IF(AND($BC40&lt;=$AT$47, EOMONTH($BC40,0)&gt;$AT$47, EOMONTH($BC40,0)&lt;=$AU$47),ROUND($AY$47*DAYS360($AT$47, EOMONTH($BC40,0),TRUE),2),IF(AND($BC40&gt;=$AT$47,$BC40&lt;=$AU$47, EOMONTH($BC40,0)&gt;$AU$47),ROUND($AY$47*(DAYS360($BC40,$AU$47,TRUE)+1),2))))))))</f>
        <v>0</v>
      </c>
      <c r="BL40" s="642">
        <f t="shared" ref="BL40:BL51" si="213">SUM(BD40:BK40)</f>
        <v>0</v>
      </c>
      <c r="BN40" s="600">
        <f t="shared" ref="BN40:BN51" si="214">IF($AH$56="",0,IF($BN$38=0,0,IF(EOMONTH($BC40,0)&lt;$AT$56,0,IF($AU$56&lt;$BC40,0,IF(AND($AT$56&lt;=$BC40,$AU$56&gt;= EOMONTH($BC40,0)),ROUND(30*$AY$56,2),IF(AND($BC40&lt;=$AT$56, EOMONTH($BC40,0)&gt;$AT$56, EOMONTH($BC40,0)&lt;=$AU$56),ROUND($AY$56*DAYS360($AT$56, EOMONTH($BC40,0),TRUE),2),IF(AND($BC40&gt;=$AT$56,$BC40&lt;=$AU$56, EOMONTH($BC40,0)&gt;$AU$56),ROUND($AY$56*(DAYS360($BC40,$AU$56,TRUE)+1),2))))))))</f>
        <v>0</v>
      </c>
      <c r="BO40" s="640">
        <f t="shared" ref="BO40:BO51" si="215">IF($AH$57="",0,IF($BO$38=0,0,IF(EOMONTH($BC40,0)&lt;$AT$57,0,IF($AU$57&lt;$BC40,0,IF(AND($AT$57&lt;=$BC40,$AU$57&gt;= EOMONTH($BC40,0)),ROUND(30*$AY$57,2),IF(AND($BC40&lt;=$AT$57, EOMONTH($BC40,0)&gt;$AT$57, EOMONTH($BC40,0)&lt;=$AU$57),ROUND($AY$57*DAYS360($AT$57, EOMONTH($BC40,0),TRUE),2),IF(AND($BC40&gt;=$AT$57,$BC40&lt;=$AU$57, EOMONTH($BC40,0)&gt;$AU$57),ROUND($AY$57*(DAYS360($BC40,$AU$57,TRUE)+1),2))))))))</f>
        <v>0</v>
      </c>
      <c r="BP40" s="640">
        <f t="shared" ref="BP40:BP51" si="216">IF($AH$58="",0,IF($BP$38=0,0,IF(EOMONTH($BC40,0)&lt;$AT$58,0,IF($AU$58&lt;$BC40,0,IF(AND($AT$58&lt;=$BC40,$AU$58&gt;= EOMONTH($BC40,0)),ROUND(30*$AY$58,2),IF(AND($BC40&lt;=$AT$58, EOMONTH($BC40,0)&gt;$AT$58, EOMONTH($BC40,0)&lt;=$AU$58),ROUND($AY$58*DAYS360($AT$58, EOMONTH($BC40,0),TRUE),2),IF(AND($BC40&gt;=$AT$58,$BC40&lt;=$AU$58, EOMONTH($BC40,0)&gt;$AU$58),ROUND($AY$58*(DAYS360($BC40,$AU$58,TRUE)+1),2))))))))</f>
        <v>0</v>
      </c>
      <c r="BQ40" s="640">
        <f t="shared" ref="BQ40:BQ51" si="217">IF($AH$59="",0,IF($BQ$38=0,0,IF(EOMONTH($BC40,0)&lt;$AT$59,0,IF($AU$59&lt;$BC40,0,IF(AND($AT$59&lt;=$BC40,$AU$59&gt;= EOMONTH($BC40,0)),ROUND(30*$AY$59,2),IF(AND($BC40&lt;=$AT$59, EOMONTH($BC40,0)&gt;$AT$59, EOMONTH($BC40,0)&lt;=$AU$59),ROUND($AY$59*DAYS360($AT$59, EOMONTH($BC40,0),TRUE),2),IF(AND($BC40&gt;=$AT$59,$BC40&lt;=$AU$59, EOMONTH($BC40,0)&gt;$AU$59),ROUND($AY$59*(DAYS360($BC40,$AU$59,TRUE)+1),2))))))))</f>
        <v>0</v>
      </c>
      <c r="BR40" s="640">
        <f t="shared" ref="BR40:BR51" si="218">IF($AH$60="",0,IF($BR$38=0,0,IF(EOMONTH($BC40,0)&lt;$AT$60,0,IF($AU$60&lt;$BC40,0,IF(AND($AT$60&lt;=$BC40,$AU$60&gt;= EOMONTH($BC40,0)),ROUND(30*$AY$60,2),IF(AND($BC40&lt;=$AT$60, EOMONTH($BC40,0)&gt;$AT$60, EOMONTH($BC40,0)&lt;=$AU$60),ROUND($AY$60*DAYS360($AT$60, EOMONTH($BC40,0),TRUE),2),IF(AND($BC40&gt;=$AT$60,$BC40&lt;=$AU$60, EOMONTH($BC40,0)&gt;$AU$60),ROUND($AY$60*(DAYS360($BC40,$AU$60,TRUE)+1),2))))))))</f>
        <v>0</v>
      </c>
      <c r="BS40" s="640">
        <f t="shared" ref="BS40:BS51" si="219">IF($AH$61="",0,IF($BS$38=0,0,IF(EOMONTH($BC40,0)&lt;$AT$61,0,IF($AU$61&lt;$BC40,0,IF(AND($AT$61&lt;=$BC40,$AU$61&gt;= EOMONTH($BC40,0)),ROUND(30*$AY$61,2),IF(AND($BC40&lt;=$AT$61, EOMONTH($BC40,0)&gt;$AT$61, EOMONTH($BC40,0)&lt;=$AU$61),ROUND($AY$61*DAYS360($AT$61, EOMONTH($BC40,0),TRUE),2),IF(AND($BC40&gt;=$AT$61,$BC40&lt;=$AU$61, EOMONTH($BC40,0)&gt;$AU$61),ROUND($AY$61*(DAYS360($BC40,$AU$61,TRUE)+1),2))))))))</f>
        <v>0</v>
      </c>
      <c r="BT40" s="640">
        <f t="shared" ref="BT40:BT51" si="220">IF($AH$62="",0,IF($BT$38=0,0,IF(EOMONTH($BC40,0)&lt;$AT$62,0,IF($AU$62&lt;$BC40,0,IF(AND($AT$62&lt;=$BC40,$AU$62&gt;= EOMONTH($BC40,0)),ROUND(30*$AY$62,2),IF(AND($BC40&lt;=$AT$62, EOMONTH($BC40,0)&gt;$AT$62, EOMONTH($BC40,0)&lt;=$AU$62),ROUND($AY$62*DAYS360($AT$62, EOMONTH($BC40,0),TRUE),2),IF(AND($BC40&gt;=$AT$62,$BC40&lt;=$AU$62, EOMONTH($BC40,0)&gt;$AU$62),ROUND($AY$62*(DAYS360($BC40,$AU$62,TRUE)+1),2))))))))</f>
        <v>0</v>
      </c>
      <c r="BU40" s="641">
        <f t="shared" ref="BU40:BU51" si="221">IF($AH$63="",0,IF($BU$38=0,0,IF(EOMONTH($BC40,0)&lt;$AT$63,0,IF($AU$63&lt;$BC40,0,IF(AND($AT$63&lt;=$BC40,$AU$63&gt;= EOMONTH($BC40,0)),ROUND(30*$AY$63,2),IF(AND($BC40&lt;=$AT$63, EOMONTH($BC40,0)&gt;$AT$63, EOMONTH($BC40,0)&lt;=$AU$63),ROUND($AY$63*DAYS360($AT$63, EOMONTH($BC40,0),TRUE),2),IF(AND($BC40&gt;=$AT$63,$BC40&lt;=$AU$63, EOMONTH($BC40,0)&gt;$AU$63),ROUND($AY$63*(DAYS360($BC40,$AU$63,TRUE)+1),2))))))))</f>
        <v>0</v>
      </c>
      <c r="BV40" s="642">
        <f>SUM(BN40:BU40)</f>
        <v>0</v>
      </c>
      <c r="BX40" s="653">
        <f>BL40+BV40</f>
        <v>0</v>
      </c>
      <c r="BZ40" s="615">
        <v>9</v>
      </c>
      <c r="CA40" s="512">
        <f>'GASTOS EJER. 2'!BN38</f>
        <v>0</v>
      </c>
      <c r="CB40" s="512">
        <f>'GASTOS EJER. 2'!CM38</f>
        <v>0</v>
      </c>
      <c r="CC40" s="589">
        <f>'GASTOS EJER. 2'!CP38</f>
        <v>0</v>
      </c>
      <c r="CD40" s="501">
        <f>CA40-CB40</f>
        <v>0</v>
      </c>
      <c r="CF40" s="502">
        <f>'GASTOS EJER. 2'!AW38+'GASTOS EJER. 2'!BM38-'GASTOS EJER. 2'!CM38-'GASTOS EJER. 2'!CP38</f>
        <v>0</v>
      </c>
      <c r="CG40" s="503" t="str">
        <f>IF('GASTOS EJER. 2'!CT38="","",'GASTOS EJER. 2'!CT38)</f>
        <v/>
      </c>
      <c r="CH40" s="500">
        <f>'GASTOS EJER. 2'!CP38</f>
        <v>0</v>
      </c>
      <c r="CI40" s="504" t="str">
        <f>IF('GASTOS EJER. 2'!CW38="","",'GASTOS EJER. 2'!CW38)</f>
        <v/>
      </c>
      <c r="CJ40" s="505">
        <f>IF(AND(CG40&gt;=EXPEDIENTE!$I$25,CG40&lt;=EXPEDIENTE!$I$29),CF40,0)</f>
        <v>0</v>
      </c>
      <c r="CK40" s="481">
        <f>IF(AND(CI40&gt;=EXPEDIENTE!$I$25,CI40&lt;=EXPEDIENTE!$I$29),CH40,0)</f>
        <v>0</v>
      </c>
      <c r="CL40" s="501">
        <f>CJ40+CK40</f>
        <v>0</v>
      </c>
      <c r="CM40" s="506" t="str">
        <f>IF('GASTOS EJER. 2'!AQ38="","",'GASTOS EJER. 2'!AQ38)</f>
        <v/>
      </c>
      <c r="CN40" s="507" t="str">
        <f>IF('GASTOS EJER. 2'!AT38="","",'GASTOS EJER. 2'!AT38)</f>
        <v/>
      </c>
      <c r="CO40" s="593">
        <f>IF(OR(CM40="",CN40=""),0,DAYS360(CM40,CN40,TRUE)+1)</f>
        <v>0</v>
      </c>
      <c r="CP40" s="508">
        <f>IF(OR(CM40="",CN40=""),0,DATEDIF(CM40,CN40,"M")+1)</f>
        <v>0</v>
      </c>
      <c r="CQ40" s="16">
        <f t="shared" ref="CQ40:CQ47" si="222">IF(OR(CM40="",CN40=""),0,IF(YEAR(CM40)&lt;$AX$23,DATEDIF(DATE($AX$23,1,1),CN40,"M")+1,CP40))</f>
        <v>0</v>
      </c>
      <c r="CR40" s="603">
        <f>IF(OR(CM40="",CN40=""),0,ROUNDDOWN(CL40/CO40,2))</f>
        <v>0</v>
      </c>
      <c r="CS40" s="606">
        <f>IF(OR(CM40="",CN40=""),0,ROUND(CL40/CP40,2))</f>
        <v>0</v>
      </c>
      <c r="CU40" s="620">
        <v>1</v>
      </c>
      <c r="CV40" s="597" t="e">
        <f t="shared" ref="CV40:CV51" si="223">IF($BC$37="","",DATE($BC$37,CU40,1))</f>
        <v>#VALUE!</v>
      </c>
      <c r="CW40" s="600">
        <f>IF($CA$40="",0,IF($CW$38=0,0,IF(EOMONTH($CV40,0)&lt;$CM$40,0,IF($CN$40&lt;$CV40,0,IF(AND($CM$40&lt;=$CV40,$CN$40&gt;= EOMONTH($CV40,0)),ROUND(30*$CR$40,2),IF(AND($CV40&lt;=$CM$40, EOMONTH($CV40,0)&gt;$CM$40, EOMONTH($CV40,0)&lt;=$CN$40),ROUND($CR$40*DAYS360($CM$40, EOMONTH($CV40,0),TRUE),2),IF(AND($CV40&gt;=$CM$40,$CV40&lt;=$CN$40, EOMONTH($CV40,0)&gt;$CN$40),ROUND($CR$40*(DAYS360($CV40,$CN$40,TRUE)+1),2))))))))</f>
        <v>0</v>
      </c>
      <c r="CX40" s="640">
        <f>IF($CA$41="",0,IF($CX$38=0,0,IF(EOMONTH($CV40,0)&lt;$CM$41,0,IF($CN$41&lt;$CV40,0,IF(AND($CM$41&lt;=$CV40,$CN$41&gt;= EOMONTH($CV40,0)),ROUND(30*$CR$41,2),IF(AND($CV40&lt;=$CM$41, EOMONTH($CV40,0)&gt;$CM$41, EOMONTH($CV40,0)&lt;=$CN$41),ROUND($CR$41*DAYS360($CM$41, EOMONTH($CV40,0),TRUE),2),IF(AND($CV40&gt;=$CM$41,$CV40&lt;=$CN$41, EOMONTH($CV40,0)&gt;$CN$41),ROUND($CR$41*(DAYS360($CV40,$CN$41,TRUE)+1),2))))))))</f>
        <v>0</v>
      </c>
      <c r="CY40" s="640">
        <f>IF($CA$42="",0,IF($CY$38=0,0,IF(EOMONTH($CV40,0)&lt;$CM$42,0,IF($CN$42&lt;$CV40,0,IF(AND($CM$42&lt;=$CV40,$CN$42&gt;= EOMONTH($CV40,0)),ROUND(30*$CR$42,2),IF(AND($CV40&lt;=$CM$42, EOMONTH($CV40,0)&gt;$CM$42, EOMONTH($CV40,0)&lt;=$CN$42),ROUND($CR$42*DAYS360($CM$42, EOMONTH($CV40,0),TRUE),2),IF(AND($CV40&gt;=$CM$42,$CV40&lt;=$CN$42, EOMONTH($CV40,0)&gt;$CN$42),ROUND($CR$42*(DAYS360($CV40,$CN$42,TRUE)+1),2))))))))</f>
        <v>0</v>
      </c>
      <c r="CZ40" s="640">
        <f>IF($CA$43="",0,IF($CZ$38=0,0,IF(EOMONTH($CV40,0)&lt;$CM$43,0,IF($CN$43&lt;$CV40,0,IF(AND($CM$43&lt;=$CV40,$CN$43&gt;= EOMONTH($CV40,0)),ROUND(30*$CR$43,2),IF(AND($CV40&lt;=$CM$43, EOMONTH($CV40,0)&gt;$CM$43, EOMONTH($CV40,0)&lt;=$CN$43),ROUND($CR$43*DAYS360($CM$43, EOMONTH($CV40,0),TRUE),2),IF(AND($CV40&gt;=$CM$43,$CV40&lt;=$CN$43, EOMONTH($CV40,0)&gt;$CN$43),ROUND($CR$43*(DAYS360($CV40,$CN$43,TRUE)+1),2))))))))</f>
        <v>0</v>
      </c>
      <c r="DA40" s="640">
        <f>IF($CA$44="",0,IF($DA$38=0,0,IF(EOMONTH($CV40,0)&lt;$CM$44,0,IF($CN$44&lt;$CV40,0,IF(AND($CM$44&lt;=$CV40,$CN$44&gt;= EOMONTH($CV40,0)),ROUND(30*$CR$44,2),IF(AND($CV40&lt;=$CM$44, EOMONTH($CV40,0)&gt;$CM$44, EOMONTH($CV40,0)&lt;=$CN$44),ROUND($CR$44*DAYS360($CM$44, EOMONTH($CV40,0),TRUE),2),IF(AND($CV40&gt;=$CM$44,$CV40&lt;=$CN$44, EOMONTH($CV40,0)&gt;$CN$44),ROUND($CR$44*(DAYS360($CV40,$CN$44,TRUE)+1),2))))))))</f>
        <v>0</v>
      </c>
      <c r="DB40" s="640">
        <f>IF($CA$45="",0,IF($DB$38=0,0,IF(EOMONTH($CV40,0)&lt;$CM$45,0,IF($CN$45&lt;$CV40,0,IF(AND($CM$45&lt;=$CV40,$CN$45&gt;= EOMONTH($CV40,0)),ROUND(30*$CR$45,2),IF(AND($CV40&lt;=$CM$45, EOMONTH($CV40,0)&gt;$CM$45, EOMONTH($CV40,0)&lt;=$CN$45),ROUND($CR$45*DAYS360($CM$45, EOMONTH($CV40,0),TRUE),2),IF(AND($CV40&gt;=$CM$45,$CV40&lt;=$CN$45, EOMONTH($CV40,0)&gt;$CN$45),ROUND($CR$45*(DAYS360($CV40,$CN$45,TRUE)+1),2))))))))</f>
        <v>0</v>
      </c>
      <c r="DC40" s="640">
        <f>IF($CA$46="",0,IF($DC$38=0,0,IF(EOMONTH($CV40,0)&lt;$CM$46,0,IF($CN$46&lt;$CV40,0,IF(AND($CM$46&lt;=$CV40,$CN$46&gt;= EOMONTH($CV40,0)),ROUND(30*$CR$46,2),IF(AND($CV40&lt;=$CM$46, EOMONTH($CV40,0)&gt;$CM$46, EOMONTH($CV40,0)&lt;=$CN$46),ROUND($CR$46*DAYS360($CM$46, EOMONTH($CV40,0),TRUE),2),IF(AND($CV40&gt;=$CM$46,$CV40&lt;=$CN$46, EOMONTH($CV40,0)&gt;$CN$46),ROUND($CR$46*(DAYS360($CV40,$CN$46,TRUE)+1),2))))))))</f>
        <v>0</v>
      </c>
      <c r="DD40" s="641">
        <f>IF($CA$47="",0,IF($DD$38=0,0,IF(EOMONTH($CV40,0)&lt;$CM$47,0,IF($CN$47&lt;$CV40,0,IF(AND($CM$47&lt;=$CV40,$CN$47&gt;= EOMONTH($CV40,0)),ROUND(30*$CR$47,2),IF(AND($CV40&lt;=$CM$47, EOMONTH($CV40,0)&gt;$CM$47, EOMONTH($CV40,0)&lt;=$CN$47),ROUND($CR$47*DAYS360($CM$47, EOMONTH($CV40,0),TRUE),2),IF(AND($CV40&gt;=$CM$47,$CV40&lt;=$CN$47, EOMONTH($CV40,0)&gt;$CN$47),ROUND($CR$47*(DAYS360($CV40,$CN$47,TRUE)+1),2))))))))</f>
        <v>0</v>
      </c>
      <c r="DE40" s="642">
        <f t="shared" ref="DE40:DE51" si="224">SUM(CW40:DD40)</f>
        <v>0</v>
      </c>
      <c r="DG40" s="600">
        <f t="shared" ref="DG40:DG51" si="225">IF($CA$56="",0,IF($DG$38=0,0,IF(EOMONTH($CV40,0)&lt;$CM$56,0,IF($CN$56&lt;$CV40,0,IF(AND($CM$56&lt;=$CV40,$CN$56&gt;= EOMONTH($CV40,0)),ROUND(30*$CR$56,2),IF(AND($CV40&lt;=$CM$56, EOMONTH($CV40,0)&gt;$CM$56, EOMONTH($CV40,0)&lt;=$CN$56),ROUND($CR$56*DAYS360($CM$56, EOMONTH($CV40,0),TRUE),2),IF(AND($CV40&gt;=$CM$56,$CV40&lt;=$CN$56, EOMONTH($CV40,0)&gt;$CN$56),ROUND($CR$56*(DAYS360($CV40,$CN$56,TRUE)+1),2))))))))</f>
        <v>0</v>
      </c>
      <c r="DH40" s="640">
        <f t="shared" ref="DH40:DH51" si="226">IF($CA$57="",0,IF($DH$38=0,0,IF(EOMONTH($CV40,0)&lt;$CM$57,0,IF($CN$57&lt;$CV40,0,IF(AND($CM$57&lt;=$CV40,$CN$57&gt;= EOMONTH($CV40,0)),ROUND(30*$CR$57,2),IF(AND($CV40&lt;=$CM$57, EOMONTH($CV40,0)&gt;$CM$57, EOMONTH($CV40,0)&lt;=$CN$57),ROUND($CR$57*DAYS360($CM$57, EOMONTH($CV40,0),TRUE),2),IF(AND($CV40&gt;=$CM$57,$CV40&lt;=$CN$57, EOMONTH($CV40,0)&gt;$CN$57),ROUND($CR$57*(DAYS360($CV40,$CN$57,TRUE)+1),2))))))))</f>
        <v>0</v>
      </c>
      <c r="DI40" s="640">
        <f t="shared" ref="DI40:DI51" si="227">IF($CA$58="",0,IF($DI$38=0,0,IF(EOMONTH($CV40,0)&lt;$CM$58,0,IF($CN$58&lt;$CV40,0,IF(AND($CM$58&lt;=$CV40,$CN$58&gt;= EOMONTH($CV40,0)),ROUND(30*$CR$58,2),IF(AND($CV40&lt;=$CM$58, EOMONTH($CV40,0)&gt;$CM$58, EOMONTH($CV40,0)&lt;=$CN$58),ROUND($CR$58*DAYS360($CM$58, EOMONTH($CV40,0),TRUE),2),IF(AND($CV40&gt;=$CM$58,$CV40&lt;=$CN$58, EOMONTH($CV40,0)&gt;$CN$58),ROUND($CR$58*(DAYS360($CV40,$CN$58,TRUE)+1),2))))))))</f>
        <v>0</v>
      </c>
      <c r="DJ40" s="640">
        <f t="shared" ref="DJ40:DJ51" si="228">IF($CA$59="",0,IF($DJ$38=0,0,IF(EOMONTH($CV40,0)&lt;$CM$59,0,IF($CN$59&lt;$CV40,0,IF(AND($CM$59&lt;=$CV40,$CN$59&gt;= EOMONTH($CV40,0)),ROUND(30*$CR$59,2),IF(AND($CV40&lt;=$CM$59, EOMONTH($CV40,0)&gt;$CM$59, EOMONTH($CV40,0)&lt;=$CN$59),ROUND($CR$59*DAYS360($CM$59, EOMONTH($CV40,0),TRUE),2),IF(AND($CV40&gt;=$CM$59,$CV40&lt;=$CN$59, EOMONTH($CV40,0)&gt;$CN$59),ROUND($CR$59*(DAYS360($CV40,$CN$59,TRUE)+1),2))))))))</f>
        <v>0</v>
      </c>
      <c r="DK40" s="640">
        <f>IF($CA$60="",0,IF($DK$38=0,0,IF(EOMONTH($CV40,0)&lt;$CM$60,0,IF($CN$60&lt;$CV40,0,IF(AND($CM$60&lt;=$CV40,$CN$60&gt;= EOMONTH($CV40,0)),ROUND(30*$CR$60,2),IF(AND($CV40&lt;=$CM$60, EOMONTH($CV40,0)&gt;$CM$60, EOMONTH($CV40,0)&lt;=$CN$60),ROUND($CR$60*DAYS360($CM$60, EOMONTH($CV40,0),TRUE),2),IF(AND($CV40&gt;=$CM$60,$CV40&lt;=$CN$60, EOMONTH($CV40,0)&gt;$CN$60),ROUND($CR$60*(DAYS360($CV40,$CN$60,TRUE)+1),2))))))))</f>
        <v>0</v>
      </c>
      <c r="DL40" s="640">
        <f t="shared" ref="DL40:DL51" si="229">IF($CA$61="",0,IF($DL$38=0,0,IF(EOMONTH($CV40,0)&lt;$CM$61,0,IF($CN$61&lt;$CV40,0,IF(AND($CM$61&lt;=$CV40,$CN$61&gt;= EOMONTH($CV40,0)),ROUND(30*$CR$61,2),IF(AND($CV40&lt;=$CM$61, EOMONTH($CV40,0)&gt;$CM$61, EOMONTH($CV40,0)&lt;=$CN$61),ROUND($CR$61*DAYS360($CM$61, EOMONTH($CV40,0),TRUE),2),IF(AND($CV40&gt;=$CM$61,$CV40&lt;=$CN$61, EOMONTH($CV40,0)&gt;$CN$61),ROUND($CR$61*(DAYS360($CV40,$CN$61,TRUE)+1),2))))))))</f>
        <v>0</v>
      </c>
      <c r="DM40" s="640">
        <f t="shared" ref="DM40:DM51" si="230">IF($CA$62="",0,IF($DM$38=0,0,IF(EOMONTH($CV40,0)&lt;$CM$62,0,IF($CN$62&lt;$CV40,0,IF(AND($CM$62&lt;=$CV40,$CN$62&gt;= EOMONTH($CV40,0)),ROUND(30*$CR$62,2),IF(AND($CV40&lt;=$CM$62, EOMONTH($CV40,0)&gt;$CM$62, EOMONTH($CV40,0)&lt;=$CN$62),ROUND($CR$62*DAYS360($CM$62, EOMONTH($CV40,0),TRUE),2),IF(AND($CV40&gt;=$CM$62,$CV40&lt;=$CN$62, EOMONTH($CV40,0)&gt;$CN$62),ROUND($CR$62*(DAYS360($CV40,$CN$62,TRUE)+1),2))))))))</f>
        <v>0</v>
      </c>
      <c r="DN40" s="641">
        <f t="shared" ref="DN40:DN51" si="231">IF($CA$63="",0,IF($DN$38=0,0,IF(EOMONTH($CV40,0)&lt;$CM$63,0,IF($CN$63&lt;$CV40,0,IF(AND($CM$63&lt;=$CV40,$CN$63&gt;= EOMONTH($CV40,0)),ROUND(30*$CR$63,2),IF(AND($CV40&lt;=$CM$63, EOMONTH($CV40,0)&gt;$CM$63, EOMONTH($CV40,0)&lt;=$CN$63),ROUND($CR$63*DAYS360($CM$63, EOMONTH($CV40,0),TRUE),2),IF(AND($CV40&gt;=$CM$63,$CV40&lt;=$CN$63, EOMONTH($CV40,0)&gt;$CN$63),ROUND($CR$63*(DAYS360($CV40,$CN$63,TRUE)+1),2))))))))</f>
        <v>0</v>
      </c>
      <c r="DO40" s="642">
        <f t="shared" ref="DO40:DO48" si="232">SUM(DG40:DN40)</f>
        <v>0</v>
      </c>
      <c r="DQ40" s="657">
        <f>DE40+DO40</f>
        <v>0</v>
      </c>
      <c r="DS40" s="515">
        <v>10</v>
      </c>
      <c r="DT40" s="526">
        <f>'GASTOS EJER. 2'!$C39</f>
        <v>0</v>
      </c>
      <c r="DU40" s="524" t="str">
        <f t="shared" si="171"/>
        <v/>
      </c>
      <c r="DV40" s="524" t="str">
        <f t="shared" si="171"/>
        <v/>
      </c>
      <c r="DW40" s="14">
        <f t="shared" si="172"/>
        <v>0</v>
      </c>
      <c r="DX40" s="527">
        <f>'GASTOS EJER. 2'!X39</f>
        <v>0</v>
      </c>
      <c r="DY40" s="520" t="str">
        <f>IF(DX40=0,"",'GASTOS EJER. 2'!AA39)</f>
        <v/>
      </c>
      <c r="DZ40" s="520" t="str">
        <f t="shared" si="173"/>
        <v/>
      </c>
      <c r="EA40" s="518" t="e">
        <f>IF(AND(DZ40&gt;=EXPEDIENTE!$F$25,DZ40&lt;=EXPEDIENTE!$F$29),ROUNDDOWN(DX40/DW40,2),0)</f>
        <v>#DIV/0!</v>
      </c>
      <c r="EC40" s="14">
        <v>21</v>
      </c>
      <c r="ED40" s="482">
        <f t="shared" si="102"/>
        <v>46266</v>
      </c>
      <c r="EE40" s="482">
        <f t="shared" si="103"/>
        <v>46295</v>
      </c>
      <c r="EF40" s="14" t="str">
        <f>IF(AND(EE40&gt;=EXPEDIENTE!$F$25,ED40&lt;=EXPEDIENTE!$F$29),"SI","NO")</f>
        <v>SI</v>
      </c>
      <c r="EG40" s="11">
        <f t="shared" si="174"/>
        <v>0</v>
      </c>
      <c r="EH40" s="11">
        <f t="shared" si="175"/>
        <v>0</v>
      </c>
      <c r="EI40" s="11">
        <f t="shared" si="176"/>
        <v>0</v>
      </c>
      <c r="EJ40" s="11">
        <f t="shared" si="177"/>
        <v>0</v>
      </c>
      <c r="EK40" s="11">
        <f t="shared" si="178"/>
        <v>0</v>
      </c>
      <c r="EL40" s="11">
        <f t="shared" si="179"/>
        <v>0</v>
      </c>
      <c r="EM40" s="11">
        <f t="shared" si="180"/>
        <v>0</v>
      </c>
      <c r="EN40" s="11">
        <f t="shared" si="181"/>
        <v>0</v>
      </c>
      <c r="EO40" s="11">
        <f t="shared" si="182"/>
        <v>0</v>
      </c>
      <c r="EP40" s="11">
        <f t="shared" si="183"/>
        <v>0</v>
      </c>
      <c r="EQ40" s="11">
        <f t="shared" si="184"/>
        <v>0</v>
      </c>
      <c r="ER40" s="11">
        <f t="shared" si="185"/>
        <v>0</v>
      </c>
      <c r="ES40" s="11">
        <f t="shared" si="186"/>
        <v>0</v>
      </c>
      <c r="ET40" s="11">
        <f t="shared" si="187"/>
        <v>0</v>
      </c>
      <c r="EU40" s="11">
        <f t="shared" si="188"/>
        <v>0</v>
      </c>
      <c r="EV40" s="11">
        <f t="shared" si="189"/>
        <v>0</v>
      </c>
      <c r="EW40" s="11">
        <f t="shared" si="190"/>
        <v>0</v>
      </c>
      <c r="EX40" s="11">
        <f t="shared" si="191"/>
        <v>0</v>
      </c>
      <c r="EY40" s="11">
        <f t="shared" si="192"/>
        <v>0</v>
      </c>
      <c r="EZ40" s="11">
        <f t="shared" si="193"/>
        <v>0</v>
      </c>
      <c r="FA40" s="11">
        <f t="shared" si="194"/>
        <v>0</v>
      </c>
      <c r="FB40" s="11">
        <f t="shared" si="195"/>
        <v>0</v>
      </c>
      <c r="FC40" s="11">
        <f t="shared" si="196"/>
        <v>0</v>
      </c>
      <c r="FD40" s="11">
        <f t="shared" si="197"/>
        <v>0</v>
      </c>
      <c r="FE40" s="11">
        <f t="shared" si="198"/>
        <v>0</v>
      </c>
      <c r="FF40" s="11">
        <f t="shared" si="199"/>
        <v>0</v>
      </c>
      <c r="FG40" s="11">
        <f t="shared" si="200"/>
        <v>0</v>
      </c>
      <c r="FH40" s="11">
        <f t="shared" si="201"/>
        <v>0</v>
      </c>
      <c r="FI40" s="11">
        <f t="shared" si="202"/>
        <v>0</v>
      </c>
      <c r="FJ40" s="11">
        <f t="shared" si="203"/>
        <v>0</v>
      </c>
      <c r="FK40" s="11">
        <f t="shared" si="204"/>
        <v>0</v>
      </c>
      <c r="FL40" s="11">
        <f t="shared" si="205"/>
        <v>0</v>
      </c>
      <c r="FM40" s="11">
        <f t="shared" si="65"/>
        <v>0</v>
      </c>
      <c r="FO40" s="85">
        <v>2</v>
      </c>
      <c r="FP40" s="520">
        <f>DATE(YEAR(EXPEDIENTE!$F$25)+1,FO40,1)</f>
        <v>46054</v>
      </c>
      <c r="FQ40" s="520" t="str">
        <f>IF('GASTOS EJER. 2'!I53="","",'GASTOS EJER. 2'!I53)</f>
        <v/>
      </c>
      <c r="FR40" s="527">
        <f>'GASTOS EJER. 2'!X21</f>
        <v>0</v>
      </c>
      <c r="FS40" s="527">
        <f>'GASTOS EJER. 2'!H53</f>
        <v>0</v>
      </c>
      <c r="FT40" s="11">
        <f t="shared" ref="FT40:FT50" si="233">VLOOKUP(FP40,$ED$7:$FM$69,36,FALSE)</f>
        <v>0</v>
      </c>
      <c r="FU40" s="527">
        <f t="shared" si="206"/>
        <v>0</v>
      </c>
      <c r="FW40" s="515">
        <v>10</v>
      </c>
      <c r="FX40" s="526">
        <f>'GASTOS EJER. 2'!$C39</f>
        <v>0</v>
      </c>
      <c r="FY40" s="524" t="str">
        <f t="shared" si="207"/>
        <v/>
      </c>
      <c r="FZ40" s="524" t="str">
        <f t="shared" si="207"/>
        <v/>
      </c>
      <c r="GA40" s="14">
        <f t="shared" si="208"/>
        <v>0</v>
      </c>
      <c r="GB40" s="527">
        <f>'GASTOS EJER. 2'!CM39</f>
        <v>0</v>
      </c>
      <c r="GC40" s="520" t="str">
        <f>IF(GB40=0,"",'GASTOS EJER. 2'!CT39)</f>
        <v/>
      </c>
      <c r="GD40" s="520" t="str">
        <f t="shared" si="209"/>
        <v/>
      </c>
      <c r="GE40" s="518" t="e">
        <f>IF(AND(GD40&gt;=EXPEDIENTE!$F$25,GD40&lt;=EXPEDIENTE!$F$29),ROUNDDOWN(GB40/GA40,2),0)</f>
        <v>#DIV/0!</v>
      </c>
      <c r="GG40" s="14">
        <v>21</v>
      </c>
      <c r="GH40" s="482">
        <f t="shared" si="104"/>
        <v>46266</v>
      </c>
      <c r="GI40" s="482">
        <f t="shared" si="105"/>
        <v>46295</v>
      </c>
      <c r="GJ40" s="14" t="str">
        <f>IF(AND(GI40&gt;=EXPEDIENTE!$F$25,GH40&lt;=EXPEDIENTE!$F$29),"SI","NO")</f>
        <v>SI</v>
      </c>
      <c r="GK40" s="11">
        <f t="shared" si="66"/>
        <v>0</v>
      </c>
      <c r="GL40" s="11">
        <f t="shared" si="67"/>
        <v>0</v>
      </c>
      <c r="GM40" s="11">
        <f t="shared" si="68"/>
        <v>0</v>
      </c>
      <c r="GN40" s="11">
        <f t="shared" si="69"/>
        <v>0</v>
      </c>
      <c r="GO40" s="11">
        <f t="shared" si="70"/>
        <v>0</v>
      </c>
      <c r="GP40" s="11">
        <f t="shared" si="71"/>
        <v>0</v>
      </c>
      <c r="GQ40" s="11">
        <f t="shared" si="72"/>
        <v>0</v>
      </c>
      <c r="GR40" s="11">
        <f t="shared" si="73"/>
        <v>0</v>
      </c>
      <c r="GS40" s="11">
        <f t="shared" si="74"/>
        <v>0</v>
      </c>
      <c r="GT40" s="11">
        <f t="shared" si="75"/>
        <v>0</v>
      </c>
      <c r="GU40" s="11">
        <f t="shared" si="76"/>
        <v>0</v>
      </c>
      <c r="GV40" s="11">
        <f t="shared" si="77"/>
        <v>0</v>
      </c>
      <c r="GW40" s="11">
        <f t="shared" si="78"/>
        <v>0</v>
      </c>
      <c r="GX40" s="11">
        <f t="shared" si="79"/>
        <v>0</v>
      </c>
      <c r="GY40" s="11">
        <f t="shared" si="80"/>
        <v>0</v>
      </c>
      <c r="GZ40" s="11">
        <f t="shared" si="81"/>
        <v>0</v>
      </c>
      <c r="HA40" s="11">
        <f t="shared" si="82"/>
        <v>0</v>
      </c>
      <c r="HB40" s="11">
        <f t="shared" si="83"/>
        <v>0</v>
      </c>
      <c r="HC40" s="11">
        <f t="shared" si="84"/>
        <v>0</v>
      </c>
      <c r="HD40" s="11">
        <f t="shared" si="85"/>
        <v>0</v>
      </c>
      <c r="HE40" s="11">
        <f t="shared" si="86"/>
        <v>0</v>
      </c>
      <c r="HF40" s="11">
        <f t="shared" si="87"/>
        <v>0</v>
      </c>
      <c r="HG40" s="11">
        <f t="shared" si="88"/>
        <v>0</v>
      </c>
      <c r="HH40" s="11">
        <f t="shared" si="89"/>
        <v>0</v>
      </c>
      <c r="HI40" s="11">
        <f t="shared" si="90"/>
        <v>0</v>
      </c>
      <c r="HJ40" s="11">
        <f t="shared" si="91"/>
        <v>0</v>
      </c>
      <c r="HK40" s="11">
        <f t="shared" si="92"/>
        <v>0</v>
      </c>
      <c r="HL40" s="11">
        <f t="shared" si="93"/>
        <v>0</v>
      </c>
      <c r="HM40" s="11">
        <f t="shared" si="94"/>
        <v>0</v>
      </c>
      <c r="HN40" s="11">
        <f t="shared" si="95"/>
        <v>0</v>
      </c>
      <c r="HO40" s="11">
        <f t="shared" si="96"/>
        <v>0</v>
      </c>
      <c r="HP40" s="11">
        <f t="shared" si="97"/>
        <v>0</v>
      </c>
      <c r="HQ40" s="11">
        <f t="shared" si="98"/>
        <v>0</v>
      </c>
      <c r="HT40" s="85">
        <v>2</v>
      </c>
      <c r="HU40" s="520">
        <f>DATE(YEAR(EXPEDIENTE!$F$25)+1,HT40,1)</f>
        <v>46054</v>
      </c>
      <c r="HV40" s="520" t="str">
        <f>IF('GASTOS EJER. 2'!BF53="","",'GASTOS EJER. 2'!BF53)</f>
        <v/>
      </c>
      <c r="HW40" s="527">
        <f>'GASTOS EJER. 2'!CM21</f>
        <v>0</v>
      </c>
      <c r="HX40" s="527">
        <f>'GASTOS EJER. 2'!BA53</f>
        <v>0</v>
      </c>
      <c r="HY40" s="11">
        <f t="shared" ref="HY40:HY50" si="234">VLOOKUP(HU40,$GH$7:$HQ$69,36,FALSE)</f>
        <v>0</v>
      </c>
      <c r="HZ40" s="527">
        <f t="shared" si="210"/>
        <v>0</v>
      </c>
      <c r="JF40" s="477">
        <v>36</v>
      </c>
      <c r="JG40" s="474">
        <f t="shared" si="101"/>
        <v>14</v>
      </c>
    </row>
    <row r="41" spans="3:267" x14ac:dyDescent="0.3">
      <c r="C41" s="8">
        <v>35</v>
      </c>
      <c r="D41" s="12"/>
      <c r="E41" s="17"/>
      <c r="F41" s="18"/>
      <c r="G41" s="19"/>
      <c r="H41" s="19"/>
      <c r="I41" s="19"/>
      <c r="J41" s="12"/>
      <c r="K41" s="14">
        <f t="shared" si="43"/>
        <v>76</v>
      </c>
      <c r="L41" s="14">
        <f t="shared" si="44"/>
        <v>76</v>
      </c>
      <c r="M41" s="14" t="str">
        <f t="shared" si="45"/>
        <v>X</v>
      </c>
      <c r="Y41" s="547">
        <f t="shared" si="46"/>
        <v>35</v>
      </c>
      <c r="Z41" s="478" t="str">
        <f>IF(Y41="","",IF(EDATE($Z$6,Y41)&gt;EXPEDIENTE!$F$27,"",EDATE($Z$6,Y41)))</f>
        <v/>
      </c>
      <c r="AA41" s="478" t="str">
        <f t="shared" si="170"/>
        <v/>
      </c>
      <c r="AB41" s="478" t="str">
        <f>IF(AA41="","",IF(YEAR(EXPEDIENTE!$F$25)=YEAR(AA41),AA41,""))</f>
        <v/>
      </c>
      <c r="AC41" s="478" t="str">
        <f>IF(AA41="","",IF(YEAR(EXPEDIENTE!$F$25)+1=YEAR(AA41),AA41,""))</f>
        <v/>
      </c>
      <c r="AD41" s="478" t="str">
        <f>IF(AA41="","",IF(YEAR(EXPEDIENTE!$F$25)+2=YEAR(AA41),AA41,""))</f>
        <v/>
      </c>
      <c r="AE41" s="478" t="str">
        <f>IF(AA41="","",IF(YEAR(EXPEDIENTE!$F$25)+3=YEAR(AA41),AA41,""))</f>
        <v/>
      </c>
      <c r="AG41" s="584">
        <v>10</v>
      </c>
      <c r="AH41" s="527">
        <f>'GASTOS EJER. 2'!M39</f>
        <v>0</v>
      </c>
      <c r="AI41" s="527">
        <f>'GASTOS EJER. 2'!X39</f>
        <v>0</v>
      </c>
      <c r="AJ41" s="590">
        <f>'GASTOS EJER. 2'!Y39</f>
        <v>0</v>
      </c>
      <c r="AK41" s="518">
        <f t="shared" ref="AK41:AK47" si="235">AH41-AI41</f>
        <v>0</v>
      </c>
      <c r="AM41" s="519">
        <f>'GASTOS EJER. 2'!F39+'GASTOS EJER. 2'!L39-'GASTOS EJER. 2'!X39-'GASTOS EJER. 2'!Y39</f>
        <v>0</v>
      </c>
      <c r="AN41" s="520" t="str">
        <f>IF('GASTOS EJER. 2'!AA39="","",'GASTOS EJER. 2'!AA39)</f>
        <v/>
      </c>
      <c r="AO41" s="517">
        <f>'GASTOS EJER. 2'!Y39</f>
        <v>0</v>
      </c>
      <c r="AP41" s="521" t="str">
        <f>IF('GASTOS EJER. 2'!AB39="","",'GASTOS EJER. 2'!AB39)</f>
        <v/>
      </c>
      <c r="AQ41" s="522">
        <f>IF(AND(AN41&gt;=EXPEDIENTE!$I$25,AN41&lt;=EXPEDIENTE!$I$29),AM41,0)</f>
        <v>0</v>
      </c>
      <c r="AR41" s="11">
        <f>IF(AND(AP41&gt;=EXPEDIENTE!$I$25,AP41&lt;=EXPEDIENTE!$I$29),AO41,0)</f>
        <v>0</v>
      </c>
      <c r="AS41" s="518">
        <f t="shared" ref="AS41:AS47" si="236">AQ41+AR41</f>
        <v>0</v>
      </c>
      <c r="AT41" s="523" t="str">
        <f>IF('GASTOS EJER. 2'!D39="","",'GASTOS EJER. 2'!D39)</f>
        <v/>
      </c>
      <c r="AU41" s="524" t="str">
        <f>IF('GASTOS EJER. 2'!E39="","",'GASTOS EJER. 2'!E39)</f>
        <v/>
      </c>
      <c r="AV41" s="594">
        <f t="shared" ref="AV41:AV47" si="237">IF(OR(AT41="",AU41=""),0,DAYS360(AT41,AU41,TRUE)+1)</f>
        <v>0</v>
      </c>
      <c r="AW41" s="525">
        <f t="shared" ref="AW41:AW47" si="238">IF(OR(AT41="",AU41=""),0,DATEDIF(AT41,AU41,"M")+1)</f>
        <v>0</v>
      </c>
      <c r="AX41" s="24">
        <f t="shared" si="211"/>
        <v>0</v>
      </c>
      <c r="AY41" s="604">
        <f t="shared" ref="AY41:AY47" si="239">IF(OR(AT41="",AU41=""),0,ROUNDDOWN(AS41/AV41,2))</f>
        <v>0</v>
      </c>
      <c r="AZ41" s="607">
        <f t="shared" ref="AZ41:AZ47" si="240">IF(OR(AT41="",AU41=""),0,ROUND(AS41/AW41,2))</f>
        <v>0</v>
      </c>
      <c r="BB41" s="596">
        <v>2</v>
      </c>
      <c r="BC41" s="598" t="e">
        <f t="shared" si="212"/>
        <v>#VALUE!</v>
      </c>
      <c r="BD41" s="621">
        <f t="shared" ref="BD41:BD51" si="241">IF($AH$40="",0,IF($BD$38=0,0,IF(EOMONTH($BC41,0)&lt;$AT$40,0,IF($AU$40&lt;$BC41,0,IF(AND($AT$40&lt;=$BC41,$AU$40&gt;= EOMONTH($BC41,0)),ROUND(30*$AY$40,2),IF(AND($BC41&lt;=$AT$40, EOMONTH($BC41,0)&gt;$AT$40, EOMONTH($BC41,0)&lt;=$AU$40),ROUND($AY$40*DAYS360($AT$40, EOMONTH($BC41,0),TRUE),2),IF(AND($BC41&gt;=$AT$40,$BC41&lt;=$AU$40, EOMONTH($BC41,0)&gt;$AU$40),ROUND($AY$40*(DAYS360($BC41,$AU$40,TRUE)+1),2))))))))</f>
        <v>0</v>
      </c>
      <c r="BE41" s="649">
        <f t="shared" ref="BE41:BE51" si="242">IF($AH$41="",0,IF($BE$38=0,0,IF(EOMONTH($BC41,0)&lt;$AT$41,0,IF($AU$41&lt;$BC41,0,IF(AND($AT$41&lt;=$BC41,$AU$41&gt;= EOMONTH($BC41,0)),ROUND(30*$AY$41,2),IF(AND($BC41&lt;=$AT$41, EOMONTH($BC41,0)&gt;$AT$41, EOMONTH($BC41,0)&lt;=$AU$41),ROUND($AY$41*DAYS360($AT$41, EOMONTH($BC41,0),TRUE),2),IF(AND($BC41&gt;=$AT$41,$BC41&lt;=$AU$41, EOMONTH($BC41,0)&gt;$AU$41),ROUND($AY$41*(DAYS360($BC41,$AU$41,TRUE)+1),2))))))))</f>
        <v>0</v>
      </c>
      <c r="BF41" s="649">
        <f t="shared" ref="BF41:BF51" si="243">IF($AH$42="",0,IF($BF$38=0,0,IF(EOMONTH($BC41,0)&lt;$AT$42,0,IF($AU$42&lt;$BC41,0,IF(AND($AT$42&lt;=$BC41,$AU$42&gt;= EOMONTH($BC41,0)),ROUND(30*$AY$42,2),IF(AND($BC41&lt;=$AT$42, EOMONTH($BC41,0)&gt;$AT$42, EOMONTH($BC41,0)&lt;=$AU$42),ROUND($AY$42*DAYS360($AT$42, EOMONTH($BC41,0),TRUE),2),IF(AND($BC41&gt;=$AT$42,$BC41&lt;=$AU$42, EOMONTH($BC41,0)&gt;$AU$42),ROUND($AY$42*(DAYS360($BC41,$AU$42,TRUE)+1),2))))))))</f>
        <v>0</v>
      </c>
      <c r="BG41" s="649">
        <f t="shared" ref="BG41:BG51" si="244">IF($AH$43="",0,IF($BG$38=0,0,IF(EOMONTH($BC41,0)&lt;$AT$43,0,IF($AU$43&lt;$BC41,0,IF(AND($AT$43&lt;=$BC41,$AU$43&gt;= EOMONTH($BC41,0)),ROUND(30*$AY$43,2),IF(AND($BC41&lt;=$AT$43, EOMONTH($BC41,0)&gt;$AT$43, EOMONTH($BC41,0)&lt;=$AU$43),ROUND($AY$43*DAYS360($AT$43, EOMONTH($BC41,0),TRUE),2),IF(AND($BC41&gt;=$AT$43,$BC41&lt;=$AU$43, EOMONTH($BC41,0)&gt;$AU$43),ROUND($AY$43*(DAYS360($BC41,$AU$43,TRUE)+1),2))))))))</f>
        <v>0</v>
      </c>
      <c r="BH41" s="649">
        <f t="shared" ref="BH41:BH51" si="245">IF($AH$44="",0,IF($BH$38=0,0,IF(EOMONTH($BC41,0)&lt;$AT$44,0,IF($AU$44&lt;$BC41,0,IF(AND($AT$44&lt;=$BC41,$AU$44&gt;= EOMONTH($BC41,0)),ROUND(30*$AY$44,2),IF(AND($BC41&lt;=$AT$44, EOMONTH($BC41,0)&gt;$AT$44, EOMONTH($BC41,0)&lt;=$AU$44),ROUND($AY$44*DAYS360($AT$44, EOMONTH($BC41,0),TRUE),2),IF(AND($BC41&gt;=$AT$44,$BC41&lt;=$AU$44, EOMONTH($BC41,0)&gt;$AU$44),ROUND($AY$44*(DAYS360($BC41,$AU$44,TRUE)+1),2))))))))</f>
        <v>0</v>
      </c>
      <c r="BI41" s="649">
        <f t="shared" ref="BI41:BI51" si="246">IF($AH$45="",0,IF($BI$38=0,0,IF(EOMONTH($BC41,0)&lt;$AT$45,0,IF($AU$45&lt;$BC41,0,IF(AND($AT$45&lt;=$BC41,$AU$45&gt;= EOMONTH($BC41,0)),ROUND(30*$AY$45,2),IF(AND($BC41&lt;=$AT$45, EOMONTH($BC41,0)&gt;$AT$45, EOMONTH($BC41,0)&lt;=$AU$45),ROUND($AY$45*DAYS360($AT$45, EOMONTH($BC41,0),TRUE),2),IF(AND($BC41&gt;=$AT$45,$BC41&lt;=$AU$45, EOMONTH($BC41,0)&gt;$AU$45),ROUND($AY$45*(DAYS360($BC41,$AU$45,TRUE)+1),2))))))))</f>
        <v>0</v>
      </c>
      <c r="BJ41" s="649">
        <f t="shared" ref="BJ41:BJ51" si="247">IF($AH$46="",0,IF($BJ$38=0,0,IF(EOMONTH($BC41,0)&lt;$AT$46,0,IF($AU$46&lt;$BC41,0,IF(AND($AT$46&lt;=$BC41,$AU$46&gt;= EOMONTH($BC41,0)),ROUND(30*$AY$46,2),IF(AND($BC41&lt;=$AT$46, EOMONTH($BC41,0)&gt;$AT$46, EOMONTH($BC41,0)&lt;=$AU$46),ROUND($AY$46*DAYS360($AT$46, EOMONTH($BC41,0),TRUE),2),IF(AND($BC41&gt;=$AT$46,$BC41&lt;=$AU$46, EOMONTH($BC41,0)&gt;$AU$46),ROUND($AY$46*(DAYS360($BC41,$AU$46,TRUE)+1),2))))))))</f>
        <v>0</v>
      </c>
      <c r="BK41" s="650">
        <f t="shared" ref="BK41:BK51" si="248">IF($AH$47="",0,IF($BK$38=0,0,IF(EOMONTH($BC41,0)&lt;$AT$47,0,IF($AU$47&lt;$BC41,0,IF(AND($AT$47&lt;=$BC41,$AU$47&gt;= EOMONTH($BC41,0)),ROUND(30*$AY$47,2),IF(AND($BC41&lt;=$AT$47, EOMONTH($BC41,0)&gt;$AT$47, EOMONTH($BC41,0)&lt;=$AU$47),ROUND($AY$47*DAYS360($AT$47, EOMONTH($BC41,0),TRUE),2),IF(AND($BC41&gt;=$AT$47,$BC41&lt;=$AU$47, EOMONTH($BC41,0)&gt;$AU$47),ROUND($AY$47*(DAYS360($BC41,$AU$47,TRUE)+1),2))))))))</f>
        <v>0</v>
      </c>
      <c r="BL41" s="645">
        <f t="shared" si="213"/>
        <v>0</v>
      </c>
      <c r="BN41" s="621">
        <f t="shared" si="214"/>
        <v>0</v>
      </c>
      <c r="BO41" s="643">
        <f t="shared" si="215"/>
        <v>0</v>
      </c>
      <c r="BP41" s="643">
        <f t="shared" si="216"/>
        <v>0</v>
      </c>
      <c r="BQ41" s="643">
        <f t="shared" si="217"/>
        <v>0</v>
      </c>
      <c r="BR41" s="643">
        <f t="shared" si="218"/>
        <v>0</v>
      </c>
      <c r="BS41" s="643">
        <f t="shared" si="219"/>
        <v>0</v>
      </c>
      <c r="BT41" s="643">
        <f t="shared" si="220"/>
        <v>0</v>
      </c>
      <c r="BU41" s="644">
        <f t="shared" si="221"/>
        <v>0</v>
      </c>
      <c r="BV41" s="645">
        <f t="shared" ref="BV41:BV51" si="249">SUM(BN41:BU41)</f>
        <v>0</v>
      </c>
      <c r="BX41" s="645">
        <f t="shared" ref="BX41:BX51" si="250">BL41+BV41</f>
        <v>0</v>
      </c>
      <c r="BZ41" s="616">
        <v>10</v>
      </c>
      <c r="CA41" s="527">
        <f>'GASTOS EJER. 2'!BN39</f>
        <v>0</v>
      </c>
      <c r="CB41" s="527">
        <f>'GASTOS EJER. 2'!CM39</f>
        <v>0</v>
      </c>
      <c r="CC41" s="590">
        <f>'GASTOS EJER. 2'!CP39</f>
        <v>0</v>
      </c>
      <c r="CD41" s="518">
        <f t="shared" ref="CD41:CD47" si="251">CA41-CB41</f>
        <v>0</v>
      </c>
      <c r="CF41" s="519">
        <f>'GASTOS EJER. 2'!AW39+'GASTOS EJER. 2'!BM39-'GASTOS EJER. 2'!CM39-'GASTOS EJER. 2'!CP39</f>
        <v>0</v>
      </c>
      <c r="CG41" s="520" t="str">
        <f>IF('GASTOS EJER. 2'!CT39="","",'GASTOS EJER. 2'!CT39)</f>
        <v/>
      </c>
      <c r="CH41" s="517">
        <f>'GASTOS EJER. 2'!CP39</f>
        <v>0</v>
      </c>
      <c r="CI41" s="521" t="str">
        <f>IF('GASTOS EJER. 2'!CW39="","",'GASTOS EJER. 2'!CW39)</f>
        <v/>
      </c>
      <c r="CJ41" s="522">
        <f>IF(AND(CG41&gt;=EXPEDIENTE!$I$25,CG41&lt;=EXPEDIENTE!$I$29),CF41,0)</f>
        <v>0</v>
      </c>
      <c r="CK41" s="11">
        <f>IF(AND(CI41&gt;=EXPEDIENTE!$I$25,CI41&lt;=EXPEDIENTE!$I$29),CH41,0)</f>
        <v>0</v>
      </c>
      <c r="CL41" s="518">
        <f t="shared" ref="CL41:CL47" si="252">CJ41+CK41</f>
        <v>0</v>
      </c>
      <c r="CM41" s="523" t="str">
        <f>IF('GASTOS EJER. 2'!AQ39="","",'GASTOS EJER. 2'!AQ39)</f>
        <v/>
      </c>
      <c r="CN41" s="524" t="str">
        <f>IF('GASTOS EJER. 2'!AT39="","",'GASTOS EJER. 2'!AT39)</f>
        <v/>
      </c>
      <c r="CO41" s="594">
        <f t="shared" ref="CO41:CO47" si="253">IF(OR(CM41="",CN41=""),0,DAYS360(CM41,CN41,TRUE)+1)</f>
        <v>0</v>
      </c>
      <c r="CP41" s="525">
        <f t="shared" ref="CP41:CP47" si="254">IF(OR(CM41="",CN41=""),0,DATEDIF(CM41,CN41,"M")+1)</f>
        <v>0</v>
      </c>
      <c r="CQ41" s="24">
        <f t="shared" si="222"/>
        <v>0</v>
      </c>
      <c r="CR41" s="604">
        <f t="shared" ref="CR41:CR47" si="255">IF(OR(CM41="",CN41=""),0,ROUNDDOWN(CL41/CO41,2))</f>
        <v>0</v>
      </c>
      <c r="CS41" s="607">
        <f t="shared" ref="CS41:CS47" si="256">IF(OR(CM41="",CN41=""),0,ROUND(CL41/CP41,2))</f>
        <v>0</v>
      </c>
      <c r="CU41" s="620">
        <v>2</v>
      </c>
      <c r="CV41" s="598" t="e">
        <f t="shared" si="223"/>
        <v>#VALUE!</v>
      </c>
      <c r="CW41" s="621">
        <f t="shared" ref="CW41:CW51" si="257">IF($CA$40="",0,IF($CW$38=0,0,IF(EOMONTH($CV41,0)&lt;$CM$40,0,IF($CN$40&lt;$CV41,0,IF(AND($CM$40&lt;=$CV41,$CN$40&gt;= EOMONTH($CV41,0)),ROUND(30*$CR$40,2),IF(AND($CV41&lt;=$CM$40, EOMONTH($CV41,0)&gt;$CM$40, EOMONTH($CV41,0)&lt;=$CN$40),ROUND($CR$40*DAYS360($CM$40, EOMONTH($CV41,0),TRUE),2),IF(AND($CV41&gt;=$CM$40,$CV41&lt;=$CN$40, EOMONTH($CV41,0)&gt;$CN$40),ROUND($CR$40*(DAYS360($CV41,$CN$40,TRUE)+1),2))))))))</f>
        <v>0</v>
      </c>
      <c r="CX41" s="649">
        <f t="shared" ref="CX41:CX51" si="258">IF($CA$41="",0,IF($CX$38=0,0,IF(EOMONTH($CV41,0)&lt;$CM$41,0,IF($CN$41&lt;$CV41,0,IF(AND($CM$41&lt;=$CV41,$CN$41&gt;= EOMONTH($CV41,0)),ROUND(30*$CR$41,2),IF(AND($CV41&lt;=$CM$41, EOMONTH($CV41,0)&gt;$CM$41, EOMONTH($CV41,0)&lt;=$CN$41),ROUND($CR$41*DAYS360($CM$41, EOMONTH($CV41,0),TRUE),2),IF(AND($CV41&gt;=$CM$41,$CV41&lt;=$CN$41, EOMONTH($CV41,0)&gt;$CN$41),ROUND($CR$41*(DAYS360($CV41,$CN$41,TRUE)+1),2))))))))</f>
        <v>0</v>
      </c>
      <c r="CY41" s="649">
        <f t="shared" ref="CY41:CY51" si="259">IF($CA$42="",0,IF($CY$38=0,0,IF(EOMONTH($CV41,0)&lt;$CM$42,0,IF($CN$42&lt;$CV41,0,IF(AND($CM$42&lt;=$CV41,$CN$42&gt;= EOMONTH($CV41,0)),ROUND(30*$CR$42,2),IF(AND($CV41&lt;=$CM$42, EOMONTH($CV41,0)&gt;$CM$42, EOMONTH($CV41,0)&lt;=$CN$42),ROUND($CR$42*DAYS360($CM$42, EOMONTH($CV41,0),TRUE),2),IF(AND($CV41&gt;=$CM$42,$CV41&lt;=$CN$42, EOMONTH($CV41,0)&gt;$CN$42),ROUND($CR$42*(DAYS360($CV41,$CN$42,TRUE)+1),2))))))))</f>
        <v>0</v>
      </c>
      <c r="CZ41" s="649">
        <f t="shared" ref="CZ41:CZ51" si="260">IF($CA$43="",0,IF($CZ$38=0,0,IF(EOMONTH($CV41,0)&lt;$CM$43,0,IF($CN$43&lt;$CV41,0,IF(AND($CM$43&lt;=$CV41,$CN$43&gt;= EOMONTH($CV41,0)),ROUND(30*$CR$43,2),IF(AND($CV41&lt;=$CM$43, EOMONTH($CV41,0)&gt;$CM$43, EOMONTH($CV41,0)&lt;=$CN$43),ROUND($CR$43*DAYS360($CM$43, EOMONTH($CV41,0),TRUE),2),IF(AND($CV41&gt;=$CM$43,$CV41&lt;=$CN$43, EOMONTH($CV41,0)&gt;$CN$43),ROUND($CR$43*(DAYS360($CV41,$CN$43,TRUE)+1),2))))))))</f>
        <v>0</v>
      </c>
      <c r="DA41" s="649">
        <f t="shared" ref="DA41:DA51" si="261">IF($CA$44="",0,IF($DA$38=0,0,IF(EOMONTH($CV41,0)&lt;$CM$44,0,IF($CN$44&lt;$CV41,0,IF(AND($CM$44&lt;=$CV41,$CN$44&gt;= EOMONTH($CV41,0)),ROUND(30*$CR$44,2),IF(AND($CV41&lt;=$CM$44, EOMONTH($CV41,0)&gt;$CM$44, EOMONTH($CV41,0)&lt;=$CN$44),ROUND($CR$44*DAYS360($CM$44, EOMONTH($CV41,0),TRUE),2),IF(AND($CV41&gt;=$CM$44,$CV41&lt;=$CN$44, EOMONTH($CV41,0)&gt;$CN$44),ROUND($CR$44*(DAYS360($CV41,$CN$44,TRUE)+1),2))))))))</f>
        <v>0</v>
      </c>
      <c r="DB41" s="649">
        <f t="shared" ref="DB41:DB51" si="262">IF($CA$45="",0,IF($DB$38=0,0,IF(EOMONTH($CV41,0)&lt;$CM$45,0,IF($CN$45&lt;$CV41,0,IF(AND($CM$45&lt;=$CV41,$CN$45&gt;= EOMONTH($CV41,0)),ROUND(30*$CR$45,2),IF(AND($CV41&lt;=$CM$45, EOMONTH($CV41,0)&gt;$CM$45, EOMONTH($CV41,0)&lt;=$CN$45),ROUND($CR$45*DAYS360($CM$45, EOMONTH($CV41,0),TRUE),2),IF(AND($CV41&gt;=$CM$45,$CV41&lt;=$CN$45, EOMONTH($CV41,0)&gt;$CN$45),ROUND($CR$45*(DAYS360($CV41,$CN$45,TRUE)+1),2))))))))</f>
        <v>0</v>
      </c>
      <c r="DC41" s="649">
        <f t="shared" ref="DC41:DC51" si="263">IF($CA$46="",0,IF($DC$38=0,0,IF(EOMONTH($CV41,0)&lt;$CM$46,0,IF($CN$46&lt;$CV41,0,IF(AND($CM$46&lt;=$CV41,$CN$46&gt;= EOMONTH($CV41,0)),ROUND(30*$CR$46,2),IF(AND($CV41&lt;=$CM$46, EOMONTH($CV41,0)&gt;$CM$46, EOMONTH($CV41,0)&lt;=$CN$46),ROUND($CR$46*DAYS360($CM$46, EOMONTH($CV41,0),TRUE),2),IF(AND($CV41&gt;=$CM$46,$CV41&lt;=$CN$46, EOMONTH($CV41,0)&gt;$CN$46),ROUND($CR$46*(DAYS360($CV41,$CN$46,TRUE)+1),2))))))))</f>
        <v>0</v>
      </c>
      <c r="DD41" s="650">
        <f t="shared" ref="DD41:DD51" si="264">IF($CA$47="",0,IF($DD$38=0,0,IF(EOMONTH($CV41,0)&lt;$CM$47,0,IF($CN$47&lt;$CV41,0,IF(AND($CM$47&lt;=$CV41,$CN$47&gt;= EOMONTH($CV41,0)),ROUND(30*$CR$47,2),IF(AND($CV41&lt;=$CM$47, EOMONTH($CV41,0)&gt;$CM$47, EOMONTH($CV41,0)&lt;=$CN$47),ROUND($CR$47*DAYS360($CM$47, EOMONTH($CV41,0),TRUE),2),IF(AND($CV41&gt;=$CM$47,$CV41&lt;=$CN$47, EOMONTH($CV41,0)&gt;$CN$47),ROUND($CR$47*(DAYS360($CV41,$CN$47,TRUE)+1),2))))))))</f>
        <v>0</v>
      </c>
      <c r="DE41" s="645">
        <f t="shared" si="224"/>
        <v>0</v>
      </c>
      <c r="DG41" s="621">
        <f t="shared" si="225"/>
        <v>0</v>
      </c>
      <c r="DH41" s="649">
        <f t="shared" si="226"/>
        <v>0</v>
      </c>
      <c r="DI41" s="649">
        <f t="shared" si="227"/>
        <v>0</v>
      </c>
      <c r="DJ41" s="649">
        <f t="shared" si="228"/>
        <v>0</v>
      </c>
      <c r="DK41" s="649">
        <f t="shared" ref="DK41:DK51" si="265">IF($CA$60="",0,IF($DK$38=0,0,IF(EOMONTH($CV41,0)&lt;$CM$60,0,IF($CN$60&lt;$CV41,0,IF(AND($CM$60&lt;=$CV41,$CN$60&gt;= EOMONTH($CV41,0)),ROUND(30*$CR$60,2),IF(AND($CV41&lt;=$CM$60, EOMONTH($CV41,0)&gt;$CM$60, EOMONTH($CV41,0)&lt;=$CN$60),ROUND($CR$60*DAYS360($CM$60, EOMONTH($CV41,0),TRUE),2),IF(AND($CV41&gt;=$CM$60,$CV41&lt;=$CN$60, EOMONTH($CV41,0)&gt;$CN$60),ROUND($CR$60*(DAYS360($CV41,$CN$60,TRUE)+1),2))))))))</f>
        <v>0</v>
      </c>
      <c r="DL41" s="649">
        <f t="shared" si="229"/>
        <v>0</v>
      </c>
      <c r="DM41" s="649">
        <f t="shared" si="230"/>
        <v>0</v>
      </c>
      <c r="DN41" s="650">
        <f t="shared" si="231"/>
        <v>0</v>
      </c>
      <c r="DO41" s="645">
        <f t="shared" si="232"/>
        <v>0</v>
      </c>
      <c r="DQ41" s="655">
        <f t="shared" ref="DQ41:DQ51" si="266">DE41+DO41</f>
        <v>0</v>
      </c>
      <c r="DS41" s="515">
        <v>11</v>
      </c>
      <c r="DT41" s="526">
        <f>'GASTOS EJER. 2'!$C40</f>
        <v>0</v>
      </c>
      <c r="DU41" s="524" t="str">
        <f t="shared" si="171"/>
        <v/>
      </c>
      <c r="DV41" s="524" t="str">
        <f t="shared" si="171"/>
        <v/>
      </c>
      <c r="DW41" s="14">
        <f t="shared" si="172"/>
        <v>0</v>
      </c>
      <c r="DX41" s="527">
        <f>'GASTOS EJER. 2'!X40</f>
        <v>0</v>
      </c>
      <c r="DY41" s="520" t="str">
        <f>IF(DX41=0,"",'GASTOS EJER. 2'!AA40)</f>
        <v/>
      </c>
      <c r="DZ41" s="520" t="str">
        <f t="shared" si="173"/>
        <v/>
      </c>
      <c r="EA41" s="518" t="e">
        <f>IF(AND(DZ41&gt;=EXPEDIENTE!$F$25,DZ41&lt;=EXPEDIENTE!$F$29),ROUNDDOWN(DX41/DW41,2),0)</f>
        <v>#DIV/0!</v>
      </c>
      <c r="EC41" s="14">
        <v>22</v>
      </c>
      <c r="ED41" s="482">
        <f t="shared" si="102"/>
        <v>46296</v>
      </c>
      <c r="EE41" s="482">
        <f t="shared" si="103"/>
        <v>46326</v>
      </c>
      <c r="EF41" s="14" t="str">
        <f>IF(AND(EE41&gt;=EXPEDIENTE!$F$25,ED41&lt;=EXPEDIENTE!$F$29),"SI","NO")</f>
        <v>SI</v>
      </c>
      <c r="EG41" s="11">
        <f t="shared" si="174"/>
        <v>0</v>
      </c>
      <c r="EH41" s="11">
        <f t="shared" si="175"/>
        <v>0</v>
      </c>
      <c r="EI41" s="11">
        <f t="shared" si="176"/>
        <v>0</v>
      </c>
      <c r="EJ41" s="11">
        <f t="shared" si="177"/>
        <v>0</v>
      </c>
      <c r="EK41" s="11">
        <f t="shared" si="178"/>
        <v>0</v>
      </c>
      <c r="EL41" s="11">
        <f t="shared" si="179"/>
        <v>0</v>
      </c>
      <c r="EM41" s="11">
        <f t="shared" si="180"/>
        <v>0</v>
      </c>
      <c r="EN41" s="11">
        <f t="shared" si="181"/>
        <v>0</v>
      </c>
      <c r="EO41" s="11">
        <f t="shared" si="182"/>
        <v>0</v>
      </c>
      <c r="EP41" s="11">
        <f t="shared" si="183"/>
        <v>0</v>
      </c>
      <c r="EQ41" s="11">
        <f t="shared" si="184"/>
        <v>0</v>
      </c>
      <c r="ER41" s="11">
        <f t="shared" si="185"/>
        <v>0</v>
      </c>
      <c r="ES41" s="11">
        <f t="shared" si="186"/>
        <v>0</v>
      </c>
      <c r="ET41" s="11">
        <f t="shared" si="187"/>
        <v>0</v>
      </c>
      <c r="EU41" s="11">
        <f t="shared" si="188"/>
        <v>0</v>
      </c>
      <c r="EV41" s="11">
        <f t="shared" si="189"/>
        <v>0</v>
      </c>
      <c r="EW41" s="11">
        <f t="shared" si="190"/>
        <v>0</v>
      </c>
      <c r="EX41" s="11">
        <f t="shared" si="191"/>
        <v>0</v>
      </c>
      <c r="EY41" s="11">
        <f t="shared" si="192"/>
        <v>0</v>
      </c>
      <c r="EZ41" s="11">
        <f t="shared" si="193"/>
        <v>0</v>
      </c>
      <c r="FA41" s="11">
        <f t="shared" si="194"/>
        <v>0</v>
      </c>
      <c r="FB41" s="11">
        <f t="shared" si="195"/>
        <v>0</v>
      </c>
      <c r="FC41" s="11">
        <f t="shared" si="196"/>
        <v>0</v>
      </c>
      <c r="FD41" s="11">
        <f t="shared" si="197"/>
        <v>0</v>
      </c>
      <c r="FE41" s="11">
        <f t="shared" si="198"/>
        <v>0</v>
      </c>
      <c r="FF41" s="11">
        <f t="shared" si="199"/>
        <v>0</v>
      </c>
      <c r="FG41" s="11">
        <f t="shared" si="200"/>
        <v>0</v>
      </c>
      <c r="FH41" s="11">
        <f t="shared" si="201"/>
        <v>0</v>
      </c>
      <c r="FI41" s="11">
        <f t="shared" si="202"/>
        <v>0</v>
      </c>
      <c r="FJ41" s="11">
        <f t="shared" si="203"/>
        <v>0</v>
      </c>
      <c r="FK41" s="11">
        <f t="shared" si="204"/>
        <v>0</v>
      </c>
      <c r="FL41" s="11">
        <f t="shared" si="205"/>
        <v>0</v>
      </c>
      <c r="FM41" s="11">
        <f t="shared" si="65"/>
        <v>0</v>
      </c>
      <c r="FO41" s="85">
        <v>3</v>
      </c>
      <c r="FP41" s="520">
        <f>DATE(YEAR(EXPEDIENTE!$F$25)+1,FO41,1)</f>
        <v>46082</v>
      </c>
      <c r="FQ41" s="520" t="str">
        <f>IF('GASTOS EJER. 2'!I54="","",'GASTOS EJER. 2'!I54)</f>
        <v/>
      </c>
      <c r="FR41" s="527">
        <f>'GASTOS EJER. 2'!X22</f>
        <v>0</v>
      </c>
      <c r="FS41" s="527">
        <f>'GASTOS EJER. 2'!H54</f>
        <v>0</v>
      </c>
      <c r="FT41" s="11">
        <f t="shared" si="233"/>
        <v>0</v>
      </c>
      <c r="FU41" s="527">
        <f t="shared" si="206"/>
        <v>0</v>
      </c>
      <c r="FW41" s="515">
        <v>11</v>
      </c>
      <c r="FX41" s="526">
        <f>'GASTOS EJER. 2'!$C40</f>
        <v>0</v>
      </c>
      <c r="FY41" s="524" t="str">
        <f t="shared" si="207"/>
        <v/>
      </c>
      <c r="FZ41" s="524" t="str">
        <f t="shared" si="207"/>
        <v/>
      </c>
      <c r="GA41" s="14">
        <f t="shared" si="208"/>
        <v>0</v>
      </c>
      <c r="GB41" s="527">
        <f>'GASTOS EJER. 2'!CM40</f>
        <v>0</v>
      </c>
      <c r="GC41" s="520" t="str">
        <f>IF(GB41=0,"",'GASTOS EJER. 2'!CT40)</f>
        <v/>
      </c>
      <c r="GD41" s="520" t="str">
        <f t="shared" si="209"/>
        <v/>
      </c>
      <c r="GE41" s="518" t="e">
        <f>IF(AND(GD41&gt;=EXPEDIENTE!$F$25,GD41&lt;=EXPEDIENTE!$F$29),ROUNDDOWN(GB41/GA41,2),0)</f>
        <v>#DIV/0!</v>
      </c>
      <c r="GG41" s="14">
        <v>22</v>
      </c>
      <c r="GH41" s="482">
        <f t="shared" si="104"/>
        <v>46296</v>
      </c>
      <c r="GI41" s="482">
        <f t="shared" si="105"/>
        <v>46326</v>
      </c>
      <c r="GJ41" s="14" t="str">
        <f>IF(AND(GI41&gt;=EXPEDIENTE!$F$25,GH41&lt;=EXPEDIENTE!$F$29),"SI","NO")</f>
        <v>SI</v>
      </c>
      <c r="GK41" s="11">
        <f t="shared" si="66"/>
        <v>0</v>
      </c>
      <c r="GL41" s="11">
        <f t="shared" si="67"/>
        <v>0</v>
      </c>
      <c r="GM41" s="11">
        <f t="shared" si="68"/>
        <v>0</v>
      </c>
      <c r="GN41" s="11">
        <f t="shared" si="69"/>
        <v>0</v>
      </c>
      <c r="GO41" s="11">
        <f t="shared" si="70"/>
        <v>0</v>
      </c>
      <c r="GP41" s="11">
        <f t="shared" si="71"/>
        <v>0</v>
      </c>
      <c r="GQ41" s="11">
        <f t="shared" si="72"/>
        <v>0</v>
      </c>
      <c r="GR41" s="11">
        <f t="shared" si="73"/>
        <v>0</v>
      </c>
      <c r="GS41" s="11">
        <f t="shared" si="74"/>
        <v>0</v>
      </c>
      <c r="GT41" s="11">
        <f t="shared" si="75"/>
        <v>0</v>
      </c>
      <c r="GU41" s="11">
        <f t="shared" si="76"/>
        <v>0</v>
      </c>
      <c r="GV41" s="11">
        <f t="shared" si="77"/>
        <v>0</v>
      </c>
      <c r="GW41" s="11">
        <f t="shared" si="78"/>
        <v>0</v>
      </c>
      <c r="GX41" s="11">
        <f t="shared" si="79"/>
        <v>0</v>
      </c>
      <c r="GY41" s="11">
        <f t="shared" si="80"/>
        <v>0</v>
      </c>
      <c r="GZ41" s="11">
        <f t="shared" si="81"/>
        <v>0</v>
      </c>
      <c r="HA41" s="11">
        <f t="shared" si="82"/>
        <v>0</v>
      </c>
      <c r="HB41" s="11">
        <f t="shared" si="83"/>
        <v>0</v>
      </c>
      <c r="HC41" s="11">
        <f t="shared" si="84"/>
        <v>0</v>
      </c>
      <c r="HD41" s="11">
        <f t="shared" si="85"/>
        <v>0</v>
      </c>
      <c r="HE41" s="11">
        <f t="shared" si="86"/>
        <v>0</v>
      </c>
      <c r="HF41" s="11">
        <f t="shared" si="87"/>
        <v>0</v>
      </c>
      <c r="HG41" s="11">
        <f t="shared" si="88"/>
        <v>0</v>
      </c>
      <c r="HH41" s="11">
        <f t="shared" si="89"/>
        <v>0</v>
      </c>
      <c r="HI41" s="11">
        <f t="shared" si="90"/>
        <v>0</v>
      </c>
      <c r="HJ41" s="11">
        <f t="shared" si="91"/>
        <v>0</v>
      </c>
      <c r="HK41" s="11">
        <f t="shared" si="92"/>
        <v>0</v>
      </c>
      <c r="HL41" s="11">
        <f t="shared" si="93"/>
        <v>0</v>
      </c>
      <c r="HM41" s="11">
        <f t="shared" si="94"/>
        <v>0</v>
      </c>
      <c r="HN41" s="11">
        <f t="shared" si="95"/>
        <v>0</v>
      </c>
      <c r="HO41" s="11">
        <f t="shared" si="96"/>
        <v>0</v>
      </c>
      <c r="HP41" s="11">
        <f t="shared" si="97"/>
        <v>0</v>
      </c>
      <c r="HQ41" s="11">
        <f t="shared" si="98"/>
        <v>0</v>
      </c>
      <c r="HT41" s="85">
        <v>3</v>
      </c>
      <c r="HU41" s="520">
        <f>DATE(YEAR(EXPEDIENTE!$F$25)+1,HT41,1)</f>
        <v>46082</v>
      </c>
      <c r="HV41" s="520" t="str">
        <f>IF('GASTOS EJER. 2'!BF54="","",'GASTOS EJER. 2'!BF54)</f>
        <v/>
      </c>
      <c r="HW41" s="527">
        <f>'GASTOS EJER. 2'!CM22</f>
        <v>0</v>
      </c>
      <c r="HX41" s="527">
        <f>'GASTOS EJER. 2'!BA54</f>
        <v>0</v>
      </c>
      <c r="HY41" s="11">
        <f t="shared" si="234"/>
        <v>0</v>
      </c>
      <c r="HZ41" s="527">
        <f t="shared" si="210"/>
        <v>0</v>
      </c>
      <c r="JF41" s="480">
        <v>37</v>
      </c>
      <c r="JG41" s="474">
        <f t="shared" si="101"/>
        <v>14</v>
      </c>
    </row>
    <row r="42" spans="3:267" x14ac:dyDescent="0.3">
      <c r="C42" s="8">
        <v>36</v>
      </c>
      <c r="D42" s="12"/>
      <c r="E42" s="17"/>
      <c r="F42" s="18"/>
      <c r="G42" s="19"/>
      <c r="H42" s="19"/>
      <c r="I42" s="19"/>
      <c r="J42" s="12"/>
      <c r="K42" s="14">
        <f t="shared" si="43"/>
        <v>76</v>
      </c>
      <c r="L42" s="14">
        <f t="shared" si="44"/>
        <v>76</v>
      </c>
      <c r="M42" s="14" t="str">
        <f t="shared" si="45"/>
        <v>X</v>
      </c>
      <c r="Y42" s="547">
        <f t="shared" si="46"/>
        <v>36</v>
      </c>
      <c r="Z42" s="478" t="str">
        <f>IF(Y42="","",IF(EDATE($Z$6,Y42)&gt;EXPEDIENTE!$F$27,"",EDATE($Z$6,Y42)))</f>
        <v/>
      </c>
      <c r="AA42" s="478" t="str">
        <f t="shared" si="170"/>
        <v/>
      </c>
      <c r="AB42" s="478" t="str">
        <f>IF(AA42="","",IF(YEAR(EXPEDIENTE!$F$25)=YEAR(AA42),AA42,""))</f>
        <v/>
      </c>
      <c r="AC42" s="478" t="str">
        <f>IF(AA42="","",IF(YEAR(EXPEDIENTE!$F$25)+1=YEAR(AA42),AA42,""))</f>
        <v/>
      </c>
      <c r="AD42" s="478" t="str">
        <f>IF(AA42="","",IF(YEAR(EXPEDIENTE!$F$25)+2=YEAR(AA42),AA42,""))</f>
        <v/>
      </c>
      <c r="AE42" s="478" t="str">
        <f>IF(AA42="","",IF(YEAR(EXPEDIENTE!$F$25)+3=YEAR(AA42),AA42,""))</f>
        <v/>
      </c>
      <c r="AG42" s="584">
        <v>11</v>
      </c>
      <c r="AH42" s="527">
        <f>'GASTOS EJER. 2'!M40</f>
        <v>0</v>
      </c>
      <c r="AI42" s="527">
        <f>'GASTOS EJER. 2'!X40</f>
        <v>0</v>
      </c>
      <c r="AJ42" s="590">
        <f>'GASTOS EJER. 2'!Y40</f>
        <v>0</v>
      </c>
      <c r="AK42" s="518">
        <f t="shared" si="235"/>
        <v>0</v>
      </c>
      <c r="AM42" s="519">
        <f>'GASTOS EJER. 2'!F40+'GASTOS EJER. 2'!L40-'GASTOS EJER. 2'!X40-'GASTOS EJER. 2'!Y40</f>
        <v>0</v>
      </c>
      <c r="AN42" s="520" t="str">
        <f>IF('GASTOS EJER. 2'!AA40="","",'GASTOS EJER. 2'!AA40)</f>
        <v/>
      </c>
      <c r="AO42" s="517">
        <f>'GASTOS EJER. 2'!Y40</f>
        <v>0</v>
      </c>
      <c r="AP42" s="521" t="str">
        <f>IF('GASTOS EJER. 2'!AB40="","",'GASTOS EJER. 2'!AB40)</f>
        <v/>
      </c>
      <c r="AQ42" s="522">
        <f>IF(AND(AN42&gt;=EXPEDIENTE!$I$25,AN42&lt;=EXPEDIENTE!$I$29),AM42,0)</f>
        <v>0</v>
      </c>
      <c r="AR42" s="11">
        <f>IF(AND(AP42&gt;=EXPEDIENTE!$I$25,AP42&lt;=EXPEDIENTE!$I$29),AO42,0)</f>
        <v>0</v>
      </c>
      <c r="AS42" s="518">
        <f t="shared" si="236"/>
        <v>0</v>
      </c>
      <c r="AT42" s="523" t="str">
        <f>IF('GASTOS EJER. 2'!D40="","",'GASTOS EJER. 2'!D40)</f>
        <v/>
      </c>
      <c r="AU42" s="524" t="str">
        <f>IF('GASTOS EJER. 2'!E40="","",'GASTOS EJER. 2'!E40)</f>
        <v/>
      </c>
      <c r="AV42" s="594">
        <f t="shared" si="237"/>
        <v>0</v>
      </c>
      <c r="AW42" s="525">
        <f t="shared" si="238"/>
        <v>0</v>
      </c>
      <c r="AX42" s="24">
        <f t="shared" si="211"/>
        <v>0</v>
      </c>
      <c r="AY42" s="604">
        <f t="shared" si="239"/>
        <v>0</v>
      </c>
      <c r="AZ42" s="607">
        <f t="shared" si="240"/>
        <v>0</v>
      </c>
      <c r="BB42" s="596">
        <v>3</v>
      </c>
      <c r="BC42" s="598" t="e">
        <f t="shared" si="212"/>
        <v>#VALUE!</v>
      </c>
      <c r="BD42" s="621">
        <f t="shared" si="241"/>
        <v>0</v>
      </c>
      <c r="BE42" s="649">
        <f t="shared" si="242"/>
        <v>0</v>
      </c>
      <c r="BF42" s="649">
        <f t="shared" si="243"/>
        <v>0</v>
      </c>
      <c r="BG42" s="649">
        <f t="shared" si="244"/>
        <v>0</v>
      </c>
      <c r="BH42" s="649">
        <f t="shared" si="245"/>
        <v>0</v>
      </c>
      <c r="BI42" s="649">
        <f t="shared" si="246"/>
        <v>0</v>
      </c>
      <c r="BJ42" s="649">
        <f t="shared" si="247"/>
        <v>0</v>
      </c>
      <c r="BK42" s="650">
        <f t="shared" si="248"/>
        <v>0</v>
      </c>
      <c r="BL42" s="645">
        <f t="shared" si="213"/>
        <v>0</v>
      </c>
      <c r="BN42" s="601">
        <f t="shared" si="214"/>
        <v>0</v>
      </c>
      <c r="BO42" s="643">
        <f t="shared" si="215"/>
        <v>0</v>
      </c>
      <c r="BP42" s="643">
        <f t="shared" si="216"/>
        <v>0</v>
      </c>
      <c r="BQ42" s="643">
        <f t="shared" si="217"/>
        <v>0</v>
      </c>
      <c r="BR42" s="643">
        <f t="shared" si="218"/>
        <v>0</v>
      </c>
      <c r="BS42" s="643">
        <f t="shared" si="219"/>
        <v>0</v>
      </c>
      <c r="BT42" s="643">
        <f t="shared" si="220"/>
        <v>0</v>
      </c>
      <c r="BU42" s="644">
        <f t="shared" si="221"/>
        <v>0</v>
      </c>
      <c r="BV42" s="645">
        <f t="shared" si="249"/>
        <v>0</v>
      </c>
      <c r="BX42" s="645">
        <f t="shared" si="250"/>
        <v>0</v>
      </c>
      <c r="BZ42" s="616">
        <v>11</v>
      </c>
      <c r="CA42" s="527">
        <f>'GASTOS EJER. 2'!BN40</f>
        <v>0</v>
      </c>
      <c r="CB42" s="527">
        <f>'GASTOS EJER. 2'!CM40</f>
        <v>0</v>
      </c>
      <c r="CC42" s="590">
        <f>'GASTOS EJER. 2'!CP40</f>
        <v>0</v>
      </c>
      <c r="CD42" s="518">
        <f t="shared" si="251"/>
        <v>0</v>
      </c>
      <c r="CF42" s="519">
        <f>'GASTOS EJER. 2'!AW40+'GASTOS EJER. 2'!BM40-'GASTOS EJER. 2'!CM40-'GASTOS EJER. 2'!CP40</f>
        <v>0</v>
      </c>
      <c r="CG42" s="520" t="str">
        <f>IF('GASTOS EJER. 2'!CT40="","",'GASTOS EJER. 2'!CT40)</f>
        <v/>
      </c>
      <c r="CH42" s="517">
        <f>'GASTOS EJER. 2'!CP40</f>
        <v>0</v>
      </c>
      <c r="CI42" s="521" t="str">
        <f>IF('GASTOS EJER. 2'!CW40="","",'GASTOS EJER. 2'!CW40)</f>
        <v/>
      </c>
      <c r="CJ42" s="522">
        <f>IF(AND(CG42&gt;=EXPEDIENTE!$I$25,CG42&lt;=EXPEDIENTE!$I$29),CF42,0)</f>
        <v>0</v>
      </c>
      <c r="CK42" s="11">
        <f>IF(AND(CI42&gt;=EXPEDIENTE!$I$25,CI42&lt;=EXPEDIENTE!$I$29),CH42,0)</f>
        <v>0</v>
      </c>
      <c r="CL42" s="518">
        <f t="shared" si="252"/>
        <v>0</v>
      </c>
      <c r="CM42" s="523" t="str">
        <f>IF('GASTOS EJER. 2'!AQ40="","",'GASTOS EJER. 2'!AQ40)</f>
        <v/>
      </c>
      <c r="CN42" s="524" t="str">
        <f>IF('GASTOS EJER. 2'!AT40="","",'GASTOS EJER. 2'!AT40)</f>
        <v/>
      </c>
      <c r="CO42" s="594">
        <f t="shared" si="253"/>
        <v>0</v>
      </c>
      <c r="CP42" s="525">
        <f t="shared" si="254"/>
        <v>0</v>
      </c>
      <c r="CQ42" s="24">
        <f t="shared" si="222"/>
        <v>0</v>
      </c>
      <c r="CR42" s="604">
        <f t="shared" si="255"/>
        <v>0</v>
      </c>
      <c r="CS42" s="607">
        <f t="shared" si="256"/>
        <v>0</v>
      </c>
      <c r="CU42" s="620">
        <v>3</v>
      </c>
      <c r="CV42" s="598" t="e">
        <f t="shared" si="223"/>
        <v>#VALUE!</v>
      </c>
      <c r="CW42" s="621">
        <f t="shared" si="257"/>
        <v>0</v>
      </c>
      <c r="CX42" s="649">
        <f t="shared" si="258"/>
        <v>0</v>
      </c>
      <c r="CY42" s="649">
        <f t="shared" si="259"/>
        <v>0</v>
      </c>
      <c r="CZ42" s="649">
        <f t="shared" si="260"/>
        <v>0</v>
      </c>
      <c r="DA42" s="649">
        <f t="shared" si="261"/>
        <v>0</v>
      </c>
      <c r="DB42" s="649">
        <f t="shared" si="262"/>
        <v>0</v>
      </c>
      <c r="DC42" s="649">
        <f t="shared" si="263"/>
        <v>0</v>
      </c>
      <c r="DD42" s="650">
        <f t="shared" si="264"/>
        <v>0</v>
      </c>
      <c r="DE42" s="645">
        <f t="shared" si="224"/>
        <v>0</v>
      </c>
      <c r="DG42" s="621">
        <f t="shared" si="225"/>
        <v>0</v>
      </c>
      <c r="DH42" s="649">
        <f t="shared" si="226"/>
        <v>0</v>
      </c>
      <c r="DI42" s="649">
        <f t="shared" si="227"/>
        <v>0</v>
      </c>
      <c r="DJ42" s="649">
        <f t="shared" si="228"/>
        <v>0</v>
      </c>
      <c r="DK42" s="649">
        <f t="shared" si="265"/>
        <v>0</v>
      </c>
      <c r="DL42" s="649">
        <f t="shared" si="229"/>
        <v>0</v>
      </c>
      <c r="DM42" s="649">
        <f t="shared" si="230"/>
        <v>0</v>
      </c>
      <c r="DN42" s="650">
        <f t="shared" si="231"/>
        <v>0</v>
      </c>
      <c r="DO42" s="645">
        <f t="shared" si="232"/>
        <v>0</v>
      </c>
      <c r="DQ42" s="655">
        <f t="shared" si="266"/>
        <v>0</v>
      </c>
      <c r="DS42" s="515">
        <v>12</v>
      </c>
      <c r="DT42" s="526">
        <f>'GASTOS EJER. 2'!$C41</f>
        <v>0</v>
      </c>
      <c r="DU42" s="524" t="str">
        <f t="shared" si="171"/>
        <v/>
      </c>
      <c r="DV42" s="524" t="str">
        <f t="shared" si="171"/>
        <v/>
      </c>
      <c r="DW42" s="14">
        <f t="shared" si="172"/>
        <v>0</v>
      </c>
      <c r="DX42" s="527">
        <f>'GASTOS EJER. 2'!X41</f>
        <v>0</v>
      </c>
      <c r="DY42" s="520" t="str">
        <f>IF(DX42=0,"",'GASTOS EJER. 2'!AA41)</f>
        <v/>
      </c>
      <c r="DZ42" s="520" t="str">
        <f t="shared" si="173"/>
        <v/>
      </c>
      <c r="EA42" s="518" t="e">
        <f>IF(AND(DZ42&gt;=EXPEDIENTE!$F$25,DZ42&lt;=EXPEDIENTE!$F$29),ROUNDDOWN(DX42/DW42,2),0)</f>
        <v>#DIV/0!</v>
      </c>
      <c r="EC42" s="14">
        <v>23</v>
      </c>
      <c r="ED42" s="482">
        <f t="shared" si="102"/>
        <v>46327</v>
      </c>
      <c r="EE42" s="482">
        <f t="shared" si="103"/>
        <v>46356</v>
      </c>
      <c r="EF42" s="14" t="str">
        <f>IF(AND(EE42&gt;=EXPEDIENTE!$F$25,ED42&lt;=EXPEDIENTE!$F$29),"SI","NO")</f>
        <v>SI</v>
      </c>
      <c r="EG42" s="11">
        <f t="shared" si="174"/>
        <v>0</v>
      </c>
      <c r="EH42" s="11">
        <f t="shared" si="175"/>
        <v>0</v>
      </c>
      <c r="EI42" s="11">
        <f t="shared" si="176"/>
        <v>0</v>
      </c>
      <c r="EJ42" s="11">
        <f t="shared" si="177"/>
        <v>0</v>
      </c>
      <c r="EK42" s="11">
        <f t="shared" si="178"/>
        <v>0</v>
      </c>
      <c r="EL42" s="11">
        <f t="shared" si="179"/>
        <v>0</v>
      </c>
      <c r="EM42" s="11">
        <f t="shared" si="180"/>
        <v>0</v>
      </c>
      <c r="EN42" s="11">
        <f t="shared" si="181"/>
        <v>0</v>
      </c>
      <c r="EO42" s="11">
        <f t="shared" si="182"/>
        <v>0</v>
      </c>
      <c r="EP42" s="11">
        <f t="shared" si="183"/>
        <v>0</v>
      </c>
      <c r="EQ42" s="11">
        <f t="shared" si="184"/>
        <v>0</v>
      </c>
      <c r="ER42" s="11">
        <f t="shared" si="185"/>
        <v>0</v>
      </c>
      <c r="ES42" s="11">
        <f t="shared" si="186"/>
        <v>0</v>
      </c>
      <c r="ET42" s="11">
        <f t="shared" si="187"/>
        <v>0</v>
      </c>
      <c r="EU42" s="11">
        <f t="shared" si="188"/>
        <v>0</v>
      </c>
      <c r="EV42" s="11">
        <f t="shared" si="189"/>
        <v>0</v>
      </c>
      <c r="EW42" s="11">
        <f t="shared" si="190"/>
        <v>0</v>
      </c>
      <c r="EX42" s="11">
        <f t="shared" si="191"/>
        <v>0</v>
      </c>
      <c r="EY42" s="11">
        <f t="shared" si="192"/>
        <v>0</v>
      </c>
      <c r="EZ42" s="11">
        <f t="shared" si="193"/>
        <v>0</v>
      </c>
      <c r="FA42" s="11">
        <f t="shared" si="194"/>
        <v>0</v>
      </c>
      <c r="FB42" s="11">
        <f t="shared" si="195"/>
        <v>0</v>
      </c>
      <c r="FC42" s="11">
        <f t="shared" si="196"/>
        <v>0</v>
      </c>
      <c r="FD42" s="11">
        <f t="shared" si="197"/>
        <v>0</v>
      </c>
      <c r="FE42" s="11">
        <f t="shared" si="198"/>
        <v>0</v>
      </c>
      <c r="FF42" s="11">
        <f t="shared" si="199"/>
        <v>0</v>
      </c>
      <c r="FG42" s="11">
        <f t="shared" si="200"/>
        <v>0</v>
      </c>
      <c r="FH42" s="11">
        <f t="shared" si="201"/>
        <v>0</v>
      </c>
      <c r="FI42" s="11">
        <f t="shared" si="202"/>
        <v>0</v>
      </c>
      <c r="FJ42" s="11">
        <f t="shared" si="203"/>
        <v>0</v>
      </c>
      <c r="FK42" s="11">
        <f t="shared" si="204"/>
        <v>0</v>
      </c>
      <c r="FL42" s="11">
        <f t="shared" si="205"/>
        <v>0</v>
      </c>
      <c r="FM42" s="11">
        <f t="shared" si="65"/>
        <v>0</v>
      </c>
      <c r="FO42" s="85">
        <v>4</v>
      </c>
      <c r="FP42" s="520">
        <f>DATE(YEAR(EXPEDIENTE!$F$25)+1,FO42,1)</f>
        <v>46113</v>
      </c>
      <c r="FQ42" s="520" t="str">
        <f>IF('GASTOS EJER. 2'!I55="","",'GASTOS EJER. 2'!I55)</f>
        <v/>
      </c>
      <c r="FR42" s="527">
        <f>'GASTOS EJER. 2'!X23</f>
        <v>0</v>
      </c>
      <c r="FS42" s="527">
        <f>'GASTOS EJER. 2'!H55</f>
        <v>0</v>
      </c>
      <c r="FT42" s="11">
        <f t="shared" si="233"/>
        <v>0</v>
      </c>
      <c r="FU42" s="527">
        <f t="shared" si="206"/>
        <v>0</v>
      </c>
      <c r="FW42" s="515">
        <v>12</v>
      </c>
      <c r="FX42" s="526">
        <f>'GASTOS EJER. 2'!$C41</f>
        <v>0</v>
      </c>
      <c r="FY42" s="524" t="str">
        <f t="shared" si="207"/>
        <v/>
      </c>
      <c r="FZ42" s="524" t="str">
        <f t="shared" si="207"/>
        <v/>
      </c>
      <c r="GA42" s="14">
        <f t="shared" si="208"/>
        <v>0</v>
      </c>
      <c r="GB42" s="527">
        <f>'GASTOS EJER. 2'!CM41</f>
        <v>0</v>
      </c>
      <c r="GC42" s="520" t="str">
        <f>IF(GB42=0,"",'GASTOS EJER. 2'!CT41)</f>
        <v/>
      </c>
      <c r="GD42" s="520" t="str">
        <f t="shared" si="209"/>
        <v/>
      </c>
      <c r="GE42" s="518" t="e">
        <f>IF(AND(GD42&gt;=EXPEDIENTE!$F$25,GD42&lt;=EXPEDIENTE!$F$29),ROUNDDOWN(GB42/GA42,2),0)</f>
        <v>#DIV/0!</v>
      </c>
      <c r="GG42" s="14">
        <v>23</v>
      </c>
      <c r="GH42" s="482">
        <f t="shared" si="104"/>
        <v>46327</v>
      </c>
      <c r="GI42" s="482">
        <f t="shared" si="105"/>
        <v>46356</v>
      </c>
      <c r="GJ42" s="14" t="str">
        <f>IF(AND(GI42&gt;=EXPEDIENTE!$F$25,GH42&lt;=EXPEDIENTE!$F$29),"SI","NO")</f>
        <v>SI</v>
      </c>
      <c r="GK42" s="11">
        <f t="shared" si="66"/>
        <v>0</v>
      </c>
      <c r="GL42" s="11">
        <f t="shared" si="67"/>
        <v>0</v>
      </c>
      <c r="GM42" s="11">
        <f t="shared" si="68"/>
        <v>0</v>
      </c>
      <c r="GN42" s="11">
        <f t="shared" si="69"/>
        <v>0</v>
      </c>
      <c r="GO42" s="11">
        <f t="shared" si="70"/>
        <v>0</v>
      </c>
      <c r="GP42" s="11">
        <f t="shared" si="71"/>
        <v>0</v>
      </c>
      <c r="GQ42" s="11">
        <f t="shared" si="72"/>
        <v>0</v>
      </c>
      <c r="GR42" s="11">
        <f t="shared" si="73"/>
        <v>0</v>
      </c>
      <c r="GS42" s="11">
        <f t="shared" si="74"/>
        <v>0</v>
      </c>
      <c r="GT42" s="11">
        <f t="shared" si="75"/>
        <v>0</v>
      </c>
      <c r="GU42" s="11">
        <f t="shared" si="76"/>
        <v>0</v>
      </c>
      <c r="GV42" s="11">
        <f t="shared" si="77"/>
        <v>0</v>
      </c>
      <c r="GW42" s="11">
        <f t="shared" si="78"/>
        <v>0</v>
      </c>
      <c r="GX42" s="11">
        <f t="shared" si="79"/>
        <v>0</v>
      </c>
      <c r="GY42" s="11">
        <f t="shared" si="80"/>
        <v>0</v>
      </c>
      <c r="GZ42" s="11">
        <f t="shared" si="81"/>
        <v>0</v>
      </c>
      <c r="HA42" s="11">
        <f t="shared" si="82"/>
        <v>0</v>
      </c>
      <c r="HB42" s="11">
        <f t="shared" si="83"/>
        <v>0</v>
      </c>
      <c r="HC42" s="11">
        <f t="shared" si="84"/>
        <v>0</v>
      </c>
      <c r="HD42" s="11">
        <f t="shared" si="85"/>
        <v>0</v>
      </c>
      <c r="HE42" s="11">
        <f t="shared" si="86"/>
        <v>0</v>
      </c>
      <c r="HF42" s="11">
        <f t="shared" si="87"/>
        <v>0</v>
      </c>
      <c r="HG42" s="11">
        <f t="shared" si="88"/>
        <v>0</v>
      </c>
      <c r="HH42" s="11">
        <f t="shared" si="89"/>
        <v>0</v>
      </c>
      <c r="HI42" s="11">
        <f t="shared" si="90"/>
        <v>0</v>
      </c>
      <c r="HJ42" s="11">
        <f t="shared" si="91"/>
        <v>0</v>
      </c>
      <c r="HK42" s="11">
        <f t="shared" si="92"/>
        <v>0</v>
      </c>
      <c r="HL42" s="11">
        <f t="shared" si="93"/>
        <v>0</v>
      </c>
      <c r="HM42" s="11">
        <f t="shared" si="94"/>
        <v>0</v>
      </c>
      <c r="HN42" s="11">
        <f t="shared" si="95"/>
        <v>0</v>
      </c>
      <c r="HO42" s="11">
        <f t="shared" si="96"/>
        <v>0</v>
      </c>
      <c r="HP42" s="11">
        <f t="shared" si="97"/>
        <v>0</v>
      </c>
      <c r="HQ42" s="11">
        <f t="shared" si="98"/>
        <v>0</v>
      </c>
      <c r="HT42" s="85">
        <v>4</v>
      </c>
      <c r="HU42" s="520">
        <f>DATE(YEAR(EXPEDIENTE!$F$25)+1,HT42,1)</f>
        <v>46113</v>
      </c>
      <c r="HV42" s="520" t="str">
        <f>IF('GASTOS EJER. 2'!BF55="","",'GASTOS EJER. 2'!BF55)</f>
        <v/>
      </c>
      <c r="HW42" s="527">
        <f>'GASTOS EJER. 2'!CM23</f>
        <v>0</v>
      </c>
      <c r="HX42" s="527">
        <f>'GASTOS EJER. 2'!BA55</f>
        <v>0</v>
      </c>
      <c r="HY42" s="11">
        <f t="shared" si="234"/>
        <v>0</v>
      </c>
      <c r="HZ42" s="527">
        <f t="shared" si="210"/>
        <v>0</v>
      </c>
      <c r="JF42" s="480">
        <v>38</v>
      </c>
      <c r="JG42" s="474">
        <f t="shared" si="101"/>
        <v>14</v>
      </c>
    </row>
    <row r="43" spans="3:267" x14ac:dyDescent="0.3">
      <c r="C43" s="8">
        <v>37</v>
      </c>
      <c r="D43" s="12"/>
      <c r="E43" s="17"/>
      <c r="F43" s="18"/>
      <c r="G43" s="19"/>
      <c r="H43" s="19"/>
      <c r="I43" s="19"/>
      <c r="J43" s="12"/>
      <c r="K43" s="14">
        <f t="shared" si="43"/>
        <v>76</v>
      </c>
      <c r="L43" s="14">
        <f t="shared" si="44"/>
        <v>76</v>
      </c>
      <c r="M43" s="14" t="str">
        <f t="shared" si="45"/>
        <v>X</v>
      </c>
      <c r="Y43" s="547">
        <f t="shared" si="46"/>
        <v>37</v>
      </c>
      <c r="Z43" s="478" t="str">
        <f>IF(Y43="","",IF(EDATE($Z$6,Y43)&gt;EXPEDIENTE!$F$27,"",EDATE($Z$6,Y43)))</f>
        <v/>
      </c>
      <c r="AA43" s="478" t="str">
        <f t="shared" si="170"/>
        <v/>
      </c>
      <c r="AB43" s="478" t="str">
        <f>IF(AA43="","",IF(YEAR(EXPEDIENTE!$F$25)=YEAR(AA43),AA43,""))</f>
        <v/>
      </c>
      <c r="AC43" s="478" t="str">
        <f>IF(AA43="","",IF(YEAR(EXPEDIENTE!$F$25)+1=YEAR(AA43),AA43,""))</f>
        <v/>
      </c>
      <c r="AD43" s="478" t="str">
        <f>IF(AA43="","",IF(YEAR(EXPEDIENTE!$F$25)+2=YEAR(AA43),AA43,""))</f>
        <v/>
      </c>
      <c r="AE43" s="478" t="str">
        <f>IF(AA43="","",IF(YEAR(EXPEDIENTE!$F$25)+3=YEAR(AA43),AA43,""))</f>
        <v/>
      </c>
      <c r="AG43" s="584">
        <v>12</v>
      </c>
      <c r="AH43" s="527">
        <f>'GASTOS EJER. 2'!M41</f>
        <v>0</v>
      </c>
      <c r="AI43" s="527">
        <f>'GASTOS EJER. 2'!X41</f>
        <v>0</v>
      </c>
      <c r="AJ43" s="590">
        <f>'GASTOS EJER. 2'!Y41</f>
        <v>0</v>
      </c>
      <c r="AK43" s="518">
        <f t="shared" si="235"/>
        <v>0</v>
      </c>
      <c r="AM43" s="519">
        <f>'GASTOS EJER. 2'!F41+'GASTOS EJER. 2'!L41-'GASTOS EJER. 2'!X41-'GASTOS EJER. 2'!Y41</f>
        <v>0</v>
      </c>
      <c r="AN43" s="520" t="str">
        <f>IF('GASTOS EJER. 2'!AA41="","",'GASTOS EJER. 2'!AA41)</f>
        <v/>
      </c>
      <c r="AO43" s="517">
        <f>'GASTOS EJER. 2'!Y41</f>
        <v>0</v>
      </c>
      <c r="AP43" s="521" t="str">
        <f>IF('GASTOS EJER. 2'!AB41="","",'GASTOS EJER. 2'!AB41)</f>
        <v/>
      </c>
      <c r="AQ43" s="522">
        <f>IF(AND(AN43&gt;=EXPEDIENTE!$I$25,AN43&lt;=EXPEDIENTE!$I$29),AM43,0)</f>
        <v>0</v>
      </c>
      <c r="AR43" s="11">
        <f>IF(AND(AP43&gt;=EXPEDIENTE!$I$25,AP43&lt;=EXPEDIENTE!$I$29),AO43,0)</f>
        <v>0</v>
      </c>
      <c r="AS43" s="518">
        <f t="shared" si="236"/>
        <v>0</v>
      </c>
      <c r="AT43" s="523" t="str">
        <f>IF('GASTOS EJER. 2'!D41="","",'GASTOS EJER. 2'!D41)</f>
        <v/>
      </c>
      <c r="AU43" s="524" t="str">
        <f>IF('GASTOS EJER. 2'!E41="","",'GASTOS EJER. 2'!E41)</f>
        <v/>
      </c>
      <c r="AV43" s="594">
        <f t="shared" si="237"/>
        <v>0</v>
      </c>
      <c r="AW43" s="525">
        <f t="shared" si="238"/>
        <v>0</v>
      </c>
      <c r="AX43" s="24">
        <f t="shared" si="211"/>
        <v>0</v>
      </c>
      <c r="AY43" s="604">
        <f t="shared" si="239"/>
        <v>0</v>
      </c>
      <c r="AZ43" s="607">
        <f t="shared" si="240"/>
        <v>0</v>
      </c>
      <c r="BB43" s="596">
        <v>4</v>
      </c>
      <c r="BC43" s="598" t="e">
        <f t="shared" si="212"/>
        <v>#VALUE!</v>
      </c>
      <c r="BD43" s="621">
        <f t="shared" si="241"/>
        <v>0</v>
      </c>
      <c r="BE43" s="649">
        <f t="shared" si="242"/>
        <v>0</v>
      </c>
      <c r="BF43" s="649">
        <f t="shared" si="243"/>
        <v>0</v>
      </c>
      <c r="BG43" s="649">
        <f t="shared" si="244"/>
        <v>0</v>
      </c>
      <c r="BH43" s="649">
        <f t="shared" si="245"/>
        <v>0</v>
      </c>
      <c r="BI43" s="649">
        <f t="shared" si="246"/>
        <v>0</v>
      </c>
      <c r="BJ43" s="649">
        <f t="shared" si="247"/>
        <v>0</v>
      </c>
      <c r="BK43" s="650">
        <f t="shared" si="248"/>
        <v>0</v>
      </c>
      <c r="BL43" s="645">
        <f t="shared" si="213"/>
        <v>0</v>
      </c>
      <c r="BN43" s="601">
        <f t="shared" si="214"/>
        <v>0</v>
      </c>
      <c r="BO43" s="643">
        <f t="shared" si="215"/>
        <v>0</v>
      </c>
      <c r="BP43" s="643">
        <f t="shared" si="216"/>
        <v>0</v>
      </c>
      <c r="BQ43" s="643">
        <f t="shared" si="217"/>
        <v>0</v>
      </c>
      <c r="BR43" s="643">
        <f t="shared" si="218"/>
        <v>0</v>
      </c>
      <c r="BS43" s="643">
        <f t="shared" si="219"/>
        <v>0</v>
      </c>
      <c r="BT43" s="643">
        <f t="shared" si="220"/>
        <v>0</v>
      </c>
      <c r="BU43" s="644">
        <f t="shared" si="221"/>
        <v>0</v>
      </c>
      <c r="BV43" s="645">
        <f t="shared" si="249"/>
        <v>0</v>
      </c>
      <c r="BX43" s="645">
        <f t="shared" si="250"/>
        <v>0</v>
      </c>
      <c r="BZ43" s="616">
        <v>12</v>
      </c>
      <c r="CA43" s="527">
        <f>'GASTOS EJER. 2'!BN41</f>
        <v>0</v>
      </c>
      <c r="CB43" s="527">
        <f>'GASTOS EJER. 2'!CM41</f>
        <v>0</v>
      </c>
      <c r="CC43" s="590">
        <f>'GASTOS EJER. 2'!CP41</f>
        <v>0</v>
      </c>
      <c r="CD43" s="518">
        <f t="shared" si="251"/>
        <v>0</v>
      </c>
      <c r="CF43" s="519">
        <f>'GASTOS EJER. 2'!AW41+'GASTOS EJER. 2'!BM41-'GASTOS EJER. 2'!CM41-'GASTOS EJER. 2'!CP41</f>
        <v>0</v>
      </c>
      <c r="CG43" s="520" t="str">
        <f>IF('GASTOS EJER. 2'!CT41="","",'GASTOS EJER. 2'!CT41)</f>
        <v/>
      </c>
      <c r="CH43" s="517">
        <f>'GASTOS EJER. 2'!CP41</f>
        <v>0</v>
      </c>
      <c r="CI43" s="521" t="str">
        <f>IF('GASTOS EJER. 2'!CW41="","",'GASTOS EJER. 2'!CW41)</f>
        <v/>
      </c>
      <c r="CJ43" s="522">
        <f>IF(AND(CG43&gt;=EXPEDIENTE!$I$25,CG43&lt;=EXPEDIENTE!$I$29),CF43,0)</f>
        <v>0</v>
      </c>
      <c r="CK43" s="11">
        <f>IF(AND(CI43&gt;=EXPEDIENTE!$I$25,CI43&lt;=EXPEDIENTE!$I$29),CH43,0)</f>
        <v>0</v>
      </c>
      <c r="CL43" s="518">
        <f t="shared" si="252"/>
        <v>0</v>
      </c>
      <c r="CM43" s="523" t="str">
        <f>IF('GASTOS EJER. 2'!AQ41="","",'GASTOS EJER. 2'!AQ41)</f>
        <v/>
      </c>
      <c r="CN43" s="524" t="str">
        <f>IF('GASTOS EJER. 2'!AT41="","",'GASTOS EJER. 2'!AT41)</f>
        <v/>
      </c>
      <c r="CO43" s="594">
        <f t="shared" si="253"/>
        <v>0</v>
      </c>
      <c r="CP43" s="525">
        <f t="shared" si="254"/>
        <v>0</v>
      </c>
      <c r="CQ43" s="24">
        <f t="shared" si="222"/>
        <v>0</v>
      </c>
      <c r="CR43" s="604">
        <f t="shared" si="255"/>
        <v>0</v>
      </c>
      <c r="CS43" s="607">
        <f t="shared" si="256"/>
        <v>0</v>
      </c>
      <c r="CU43" s="620">
        <v>4</v>
      </c>
      <c r="CV43" s="598" t="e">
        <f t="shared" si="223"/>
        <v>#VALUE!</v>
      </c>
      <c r="CW43" s="621">
        <f t="shared" si="257"/>
        <v>0</v>
      </c>
      <c r="CX43" s="649">
        <f t="shared" si="258"/>
        <v>0</v>
      </c>
      <c r="CY43" s="649">
        <f t="shared" si="259"/>
        <v>0</v>
      </c>
      <c r="CZ43" s="649">
        <f t="shared" si="260"/>
        <v>0</v>
      </c>
      <c r="DA43" s="649">
        <f t="shared" si="261"/>
        <v>0</v>
      </c>
      <c r="DB43" s="649">
        <f t="shared" si="262"/>
        <v>0</v>
      </c>
      <c r="DC43" s="649">
        <f t="shared" si="263"/>
        <v>0</v>
      </c>
      <c r="DD43" s="650">
        <f t="shared" si="264"/>
        <v>0</v>
      </c>
      <c r="DE43" s="645">
        <f t="shared" si="224"/>
        <v>0</v>
      </c>
      <c r="DG43" s="621">
        <f t="shared" si="225"/>
        <v>0</v>
      </c>
      <c r="DH43" s="649">
        <f t="shared" si="226"/>
        <v>0</v>
      </c>
      <c r="DI43" s="649">
        <f t="shared" si="227"/>
        <v>0</v>
      </c>
      <c r="DJ43" s="649">
        <f t="shared" si="228"/>
        <v>0</v>
      </c>
      <c r="DK43" s="649">
        <f t="shared" si="265"/>
        <v>0</v>
      </c>
      <c r="DL43" s="649">
        <f t="shared" si="229"/>
        <v>0</v>
      </c>
      <c r="DM43" s="649">
        <f t="shared" si="230"/>
        <v>0</v>
      </c>
      <c r="DN43" s="650">
        <f t="shared" si="231"/>
        <v>0</v>
      </c>
      <c r="DO43" s="645">
        <f t="shared" si="232"/>
        <v>0</v>
      </c>
      <c r="DQ43" s="655">
        <f t="shared" si="266"/>
        <v>0</v>
      </c>
      <c r="DS43" s="515">
        <v>13</v>
      </c>
      <c r="DT43" s="526">
        <f>'GASTOS EJER. 2'!$C42</f>
        <v>0</v>
      </c>
      <c r="DU43" s="524" t="str">
        <f t="shared" si="171"/>
        <v/>
      </c>
      <c r="DV43" s="524" t="str">
        <f t="shared" si="171"/>
        <v/>
      </c>
      <c r="DW43" s="14">
        <f t="shared" si="172"/>
        <v>0</v>
      </c>
      <c r="DX43" s="527">
        <f>'GASTOS EJER. 2'!X42</f>
        <v>0</v>
      </c>
      <c r="DY43" s="520" t="str">
        <f>IF(DX43=0,"",'GASTOS EJER. 2'!AA42)</f>
        <v/>
      </c>
      <c r="DZ43" s="520" t="str">
        <f t="shared" si="173"/>
        <v/>
      </c>
      <c r="EA43" s="518" t="e">
        <f>IF(AND(DZ43&gt;=EXPEDIENTE!$F$25,DZ43&lt;=EXPEDIENTE!$F$29),ROUNDDOWN(DX43/DW43,2),0)</f>
        <v>#DIV/0!</v>
      </c>
      <c r="EC43" s="14">
        <v>24</v>
      </c>
      <c r="ED43" s="482">
        <f t="shared" si="102"/>
        <v>46357</v>
      </c>
      <c r="EE43" s="482">
        <f t="shared" si="103"/>
        <v>46387</v>
      </c>
      <c r="EF43" s="14" t="str">
        <f>IF(AND(EE43&gt;=EXPEDIENTE!$F$25,ED43&lt;=EXPEDIENTE!$F$29),"SI","NO")</f>
        <v>SI</v>
      </c>
      <c r="EG43" s="11">
        <f t="shared" si="174"/>
        <v>0</v>
      </c>
      <c r="EH43" s="11">
        <f t="shared" si="175"/>
        <v>0</v>
      </c>
      <c r="EI43" s="11">
        <f t="shared" si="176"/>
        <v>0</v>
      </c>
      <c r="EJ43" s="11">
        <f t="shared" si="177"/>
        <v>0</v>
      </c>
      <c r="EK43" s="11">
        <f t="shared" si="178"/>
        <v>0</v>
      </c>
      <c r="EL43" s="11">
        <f t="shared" si="179"/>
        <v>0</v>
      </c>
      <c r="EM43" s="11">
        <f t="shared" si="180"/>
        <v>0</v>
      </c>
      <c r="EN43" s="11">
        <f t="shared" si="181"/>
        <v>0</v>
      </c>
      <c r="EO43" s="11">
        <f t="shared" si="182"/>
        <v>0</v>
      </c>
      <c r="EP43" s="11">
        <f t="shared" si="183"/>
        <v>0</v>
      </c>
      <c r="EQ43" s="11">
        <f t="shared" si="184"/>
        <v>0</v>
      </c>
      <c r="ER43" s="11">
        <f t="shared" si="185"/>
        <v>0</v>
      </c>
      <c r="ES43" s="11">
        <f t="shared" si="186"/>
        <v>0</v>
      </c>
      <c r="ET43" s="11">
        <f t="shared" si="187"/>
        <v>0</v>
      </c>
      <c r="EU43" s="11">
        <f t="shared" si="188"/>
        <v>0</v>
      </c>
      <c r="EV43" s="11">
        <f t="shared" si="189"/>
        <v>0</v>
      </c>
      <c r="EW43" s="11">
        <f t="shared" si="190"/>
        <v>0</v>
      </c>
      <c r="EX43" s="11">
        <f t="shared" si="191"/>
        <v>0</v>
      </c>
      <c r="EY43" s="11">
        <f t="shared" si="192"/>
        <v>0</v>
      </c>
      <c r="EZ43" s="11">
        <f t="shared" si="193"/>
        <v>0</v>
      </c>
      <c r="FA43" s="11">
        <f t="shared" si="194"/>
        <v>0</v>
      </c>
      <c r="FB43" s="11">
        <f t="shared" si="195"/>
        <v>0</v>
      </c>
      <c r="FC43" s="11">
        <f t="shared" si="196"/>
        <v>0</v>
      </c>
      <c r="FD43" s="11">
        <f t="shared" si="197"/>
        <v>0</v>
      </c>
      <c r="FE43" s="11">
        <f t="shared" si="198"/>
        <v>0</v>
      </c>
      <c r="FF43" s="11">
        <f t="shared" si="199"/>
        <v>0</v>
      </c>
      <c r="FG43" s="11">
        <f t="shared" si="200"/>
        <v>0</v>
      </c>
      <c r="FH43" s="11">
        <f t="shared" si="201"/>
        <v>0</v>
      </c>
      <c r="FI43" s="11">
        <f t="shared" si="202"/>
        <v>0</v>
      </c>
      <c r="FJ43" s="11">
        <f t="shared" si="203"/>
        <v>0</v>
      </c>
      <c r="FK43" s="11">
        <f t="shared" si="204"/>
        <v>0</v>
      </c>
      <c r="FL43" s="11">
        <f t="shared" si="205"/>
        <v>0</v>
      </c>
      <c r="FM43" s="11">
        <f t="shared" si="65"/>
        <v>0</v>
      </c>
      <c r="FO43" s="85">
        <v>5</v>
      </c>
      <c r="FP43" s="520">
        <f>DATE(YEAR(EXPEDIENTE!$F$25)+1,FO43,1)</f>
        <v>46143</v>
      </c>
      <c r="FQ43" s="520" t="str">
        <f>IF('GASTOS EJER. 2'!I56="","",'GASTOS EJER. 2'!I56)</f>
        <v/>
      </c>
      <c r="FR43" s="527">
        <f>'GASTOS EJER. 2'!X24</f>
        <v>0</v>
      </c>
      <c r="FS43" s="527">
        <f>'GASTOS EJER. 2'!H56</f>
        <v>0</v>
      </c>
      <c r="FT43" s="11">
        <f t="shared" si="233"/>
        <v>0</v>
      </c>
      <c r="FU43" s="527">
        <f t="shared" si="206"/>
        <v>0</v>
      </c>
      <c r="FW43" s="515">
        <v>13</v>
      </c>
      <c r="FX43" s="526">
        <f>'GASTOS EJER. 2'!$C42</f>
        <v>0</v>
      </c>
      <c r="FY43" s="524" t="str">
        <f t="shared" si="207"/>
        <v/>
      </c>
      <c r="FZ43" s="524" t="str">
        <f t="shared" si="207"/>
        <v/>
      </c>
      <c r="GA43" s="14">
        <f t="shared" si="208"/>
        <v>0</v>
      </c>
      <c r="GB43" s="527">
        <f>'GASTOS EJER. 2'!CM42</f>
        <v>0</v>
      </c>
      <c r="GC43" s="520" t="str">
        <f>IF(GB43=0,"",'GASTOS EJER. 2'!CT42)</f>
        <v/>
      </c>
      <c r="GD43" s="520" t="str">
        <f t="shared" si="209"/>
        <v/>
      </c>
      <c r="GE43" s="518" t="e">
        <f>IF(AND(GD43&gt;=EXPEDIENTE!$F$25,GD43&lt;=EXPEDIENTE!$F$29),ROUNDDOWN(GB43/GA43,2),0)</f>
        <v>#DIV/0!</v>
      </c>
      <c r="GG43" s="14">
        <v>24</v>
      </c>
      <c r="GH43" s="482">
        <f t="shared" si="104"/>
        <v>46357</v>
      </c>
      <c r="GI43" s="482">
        <f t="shared" si="105"/>
        <v>46387</v>
      </c>
      <c r="GJ43" s="14" t="str">
        <f>IF(AND(GI43&gt;=EXPEDIENTE!$F$25,GH43&lt;=EXPEDIENTE!$F$29),"SI","NO")</f>
        <v>SI</v>
      </c>
      <c r="GK43" s="11">
        <f t="shared" si="66"/>
        <v>0</v>
      </c>
      <c r="GL43" s="11">
        <f t="shared" si="67"/>
        <v>0</v>
      </c>
      <c r="GM43" s="11">
        <f t="shared" si="68"/>
        <v>0</v>
      </c>
      <c r="GN43" s="11">
        <f t="shared" si="69"/>
        <v>0</v>
      </c>
      <c r="GO43" s="11">
        <f t="shared" si="70"/>
        <v>0</v>
      </c>
      <c r="GP43" s="11">
        <f t="shared" si="71"/>
        <v>0</v>
      </c>
      <c r="GQ43" s="11">
        <f t="shared" si="72"/>
        <v>0</v>
      </c>
      <c r="GR43" s="11">
        <f t="shared" si="73"/>
        <v>0</v>
      </c>
      <c r="GS43" s="11">
        <f t="shared" si="74"/>
        <v>0</v>
      </c>
      <c r="GT43" s="11">
        <f t="shared" si="75"/>
        <v>0</v>
      </c>
      <c r="GU43" s="11">
        <f t="shared" si="76"/>
        <v>0</v>
      </c>
      <c r="GV43" s="11">
        <f t="shared" si="77"/>
        <v>0</v>
      </c>
      <c r="GW43" s="11">
        <f t="shared" si="78"/>
        <v>0</v>
      </c>
      <c r="GX43" s="11">
        <f t="shared" si="79"/>
        <v>0</v>
      </c>
      <c r="GY43" s="11">
        <f t="shared" si="80"/>
        <v>0</v>
      </c>
      <c r="GZ43" s="11">
        <f t="shared" si="81"/>
        <v>0</v>
      </c>
      <c r="HA43" s="11">
        <f t="shared" si="82"/>
        <v>0</v>
      </c>
      <c r="HB43" s="11">
        <f t="shared" si="83"/>
        <v>0</v>
      </c>
      <c r="HC43" s="11">
        <f t="shared" si="84"/>
        <v>0</v>
      </c>
      <c r="HD43" s="11">
        <f t="shared" si="85"/>
        <v>0</v>
      </c>
      <c r="HE43" s="11">
        <f t="shared" si="86"/>
        <v>0</v>
      </c>
      <c r="HF43" s="11">
        <f t="shared" si="87"/>
        <v>0</v>
      </c>
      <c r="HG43" s="11">
        <f t="shared" si="88"/>
        <v>0</v>
      </c>
      <c r="HH43" s="11">
        <f t="shared" si="89"/>
        <v>0</v>
      </c>
      <c r="HI43" s="11">
        <f t="shared" si="90"/>
        <v>0</v>
      </c>
      <c r="HJ43" s="11">
        <f t="shared" si="91"/>
        <v>0</v>
      </c>
      <c r="HK43" s="11">
        <f t="shared" si="92"/>
        <v>0</v>
      </c>
      <c r="HL43" s="11">
        <f t="shared" si="93"/>
        <v>0</v>
      </c>
      <c r="HM43" s="11">
        <f t="shared" si="94"/>
        <v>0</v>
      </c>
      <c r="HN43" s="11">
        <f t="shared" si="95"/>
        <v>0</v>
      </c>
      <c r="HO43" s="11">
        <f t="shared" si="96"/>
        <v>0</v>
      </c>
      <c r="HP43" s="11">
        <f t="shared" si="97"/>
        <v>0</v>
      </c>
      <c r="HQ43" s="11">
        <f t="shared" si="98"/>
        <v>0</v>
      </c>
      <c r="HT43" s="85">
        <v>5</v>
      </c>
      <c r="HU43" s="520">
        <f>DATE(YEAR(EXPEDIENTE!$F$25)+1,HT43,1)</f>
        <v>46143</v>
      </c>
      <c r="HV43" s="520" t="str">
        <f>IF('GASTOS EJER. 2'!BF56="","",'GASTOS EJER. 2'!BF56)</f>
        <v/>
      </c>
      <c r="HW43" s="527">
        <f>'GASTOS EJER. 2'!CM24</f>
        <v>0</v>
      </c>
      <c r="HX43" s="527">
        <f>'GASTOS EJER. 2'!BA56</f>
        <v>0</v>
      </c>
      <c r="HY43" s="11">
        <f t="shared" si="234"/>
        <v>0</v>
      </c>
      <c r="HZ43" s="527">
        <f t="shared" si="210"/>
        <v>0</v>
      </c>
      <c r="JF43" s="480">
        <v>39</v>
      </c>
      <c r="JG43" s="474">
        <f t="shared" si="101"/>
        <v>14</v>
      </c>
    </row>
    <row r="44" spans="3:267" x14ac:dyDescent="0.3">
      <c r="C44" s="8">
        <v>38</v>
      </c>
      <c r="D44" s="12"/>
      <c r="E44" s="17"/>
      <c r="F44" s="18"/>
      <c r="G44" s="19"/>
      <c r="H44" s="19"/>
      <c r="I44" s="19"/>
      <c r="J44" s="12"/>
      <c r="K44" s="14">
        <f t="shared" si="43"/>
        <v>76</v>
      </c>
      <c r="L44" s="14">
        <f t="shared" si="44"/>
        <v>76</v>
      </c>
      <c r="M44" s="14" t="str">
        <f t="shared" si="45"/>
        <v>X</v>
      </c>
      <c r="Y44" s="547">
        <f t="shared" si="46"/>
        <v>38</v>
      </c>
      <c r="Z44" s="478" t="str">
        <f>IF(Y44="","",IF(EDATE($Z$6,Y44)&gt;EXPEDIENTE!$F$27,"",EDATE($Z$6,Y44)))</f>
        <v/>
      </c>
      <c r="AA44" s="478" t="str">
        <f t="shared" si="170"/>
        <v/>
      </c>
      <c r="AB44" s="478" t="str">
        <f>IF(AA44="","",IF(YEAR(EXPEDIENTE!$F$25)=YEAR(AA44),AA44,""))</f>
        <v/>
      </c>
      <c r="AC44" s="478" t="str">
        <f>IF(AA44="","",IF(YEAR(EXPEDIENTE!$F$25)+1=YEAR(AA44),AA44,""))</f>
        <v/>
      </c>
      <c r="AD44" s="478" t="str">
        <f>IF(AA44="","",IF(YEAR(EXPEDIENTE!$F$25)+2=YEAR(AA44),AA44,""))</f>
        <v/>
      </c>
      <c r="AE44" s="478" t="str">
        <f>IF(AA44="","",IF(YEAR(EXPEDIENTE!$F$25)+3=YEAR(AA44),AA44,""))</f>
        <v/>
      </c>
      <c r="AG44" s="584">
        <v>13</v>
      </c>
      <c r="AH44" s="527">
        <f>'GASTOS EJER. 2'!M42</f>
        <v>0</v>
      </c>
      <c r="AI44" s="527">
        <f>'GASTOS EJER. 2'!X42</f>
        <v>0</v>
      </c>
      <c r="AJ44" s="590">
        <f>'GASTOS EJER. 2'!Y42</f>
        <v>0</v>
      </c>
      <c r="AK44" s="518">
        <f t="shared" si="235"/>
        <v>0</v>
      </c>
      <c r="AM44" s="519">
        <f>'GASTOS EJER. 2'!F42+'GASTOS EJER. 2'!L42-'GASTOS EJER. 2'!X42-'GASTOS EJER. 2'!Y42</f>
        <v>0</v>
      </c>
      <c r="AN44" s="520" t="str">
        <f>IF('GASTOS EJER. 2'!AA42="","",'GASTOS EJER. 2'!AA42)</f>
        <v/>
      </c>
      <c r="AO44" s="517">
        <f>'GASTOS EJER. 2'!Y42</f>
        <v>0</v>
      </c>
      <c r="AP44" s="521" t="str">
        <f>IF('GASTOS EJER. 2'!AB42="","",'GASTOS EJER. 2'!AB42)</f>
        <v/>
      </c>
      <c r="AQ44" s="522">
        <f>IF(AND(AN44&gt;=EXPEDIENTE!$I$25,AN44&lt;=EXPEDIENTE!$I$29),AM44,0)</f>
        <v>0</v>
      </c>
      <c r="AR44" s="11">
        <f>IF(AND(AP44&gt;=EXPEDIENTE!$I$25,AP44&lt;=EXPEDIENTE!$I$29),AO44,0)</f>
        <v>0</v>
      </c>
      <c r="AS44" s="518">
        <f t="shared" si="236"/>
        <v>0</v>
      </c>
      <c r="AT44" s="523" t="str">
        <f>IF('GASTOS EJER. 2'!D42="","",'GASTOS EJER. 2'!D42)</f>
        <v/>
      </c>
      <c r="AU44" s="524" t="str">
        <f>IF('GASTOS EJER. 2'!E42="","",'GASTOS EJER. 2'!E42)</f>
        <v/>
      </c>
      <c r="AV44" s="594">
        <f t="shared" si="237"/>
        <v>0</v>
      </c>
      <c r="AW44" s="525">
        <f t="shared" si="238"/>
        <v>0</v>
      </c>
      <c r="AX44" s="24">
        <f t="shared" si="211"/>
        <v>0</v>
      </c>
      <c r="AY44" s="604">
        <f t="shared" si="239"/>
        <v>0</v>
      </c>
      <c r="AZ44" s="607">
        <f t="shared" si="240"/>
        <v>0</v>
      </c>
      <c r="BB44" s="596">
        <v>5</v>
      </c>
      <c r="BC44" s="598" t="e">
        <f t="shared" si="212"/>
        <v>#VALUE!</v>
      </c>
      <c r="BD44" s="621">
        <f t="shared" si="241"/>
        <v>0</v>
      </c>
      <c r="BE44" s="649">
        <f t="shared" si="242"/>
        <v>0</v>
      </c>
      <c r="BF44" s="649">
        <f t="shared" si="243"/>
        <v>0</v>
      </c>
      <c r="BG44" s="649">
        <f t="shared" si="244"/>
        <v>0</v>
      </c>
      <c r="BH44" s="649">
        <f t="shared" si="245"/>
        <v>0</v>
      </c>
      <c r="BI44" s="649">
        <f t="shared" si="246"/>
        <v>0</v>
      </c>
      <c r="BJ44" s="649">
        <f t="shared" si="247"/>
        <v>0</v>
      </c>
      <c r="BK44" s="650">
        <f t="shared" si="248"/>
        <v>0</v>
      </c>
      <c r="BL44" s="645">
        <f t="shared" si="213"/>
        <v>0</v>
      </c>
      <c r="BN44" s="601">
        <f t="shared" si="214"/>
        <v>0</v>
      </c>
      <c r="BO44" s="643">
        <f t="shared" si="215"/>
        <v>0</v>
      </c>
      <c r="BP44" s="643">
        <f t="shared" si="216"/>
        <v>0</v>
      </c>
      <c r="BQ44" s="643">
        <f t="shared" si="217"/>
        <v>0</v>
      </c>
      <c r="BR44" s="643">
        <f t="shared" si="218"/>
        <v>0</v>
      </c>
      <c r="BS44" s="643">
        <f t="shared" si="219"/>
        <v>0</v>
      </c>
      <c r="BT44" s="643">
        <f t="shared" si="220"/>
        <v>0</v>
      </c>
      <c r="BU44" s="644">
        <f t="shared" si="221"/>
        <v>0</v>
      </c>
      <c r="BV44" s="645">
        <f t="shared" si="249"/>
        <v>0</v>
      </c>
      <c r="BX44" s="645">
        <f t="shared" si="250"/>
        <v>0</v>
      </c>
      <c r="BZ44" s="616">
        <v>13</v>
      </c>
      <c r="CA44" s="527">
        <f>'GASTOS EJER. 2'!BN42</f>
        <v>0</v>
      </c>
      <c r="CB44" s="527">
        <f>'GASTOS EJER. 2'!CM42</f>
        <v>0</v>
      </c>
      <c r="CC44" s="590">
        <f>'GASTOS EJER. 2'!CP42</f>
        <v>0</v>
      </c>
      <c r="CD44" s="518">
        <f t="shared" si="251"/>
        <v>0</v>
      </c>
      <c r="CF44" s="519">
        <f>'GASTOS EJER. 2'!AW42+'GASTOS EJER. 2'!BM42-'GASTOS EJER. 2'!CM42-'GASTOS EJER. 2'!CP42</f>
        <v>0</v>
      </c>
      <c r="CG44" s="520" t="str">
        <f>IF('GASTOS EJER. 2'!CT42="","",'GASTOS EJER. 2'!CT42)</f>
        <v/>
      </c>
      <c r="CH44" s="517">
        <f>'GASTOS EJER. 2'!CP42</f>
        <v>0</v>
      </c>
      <c r="CI44" s="521" t="str">
        <f>IF('GASTOS EJER. 2'!CW42="","",'GASTOS EJER. 2'!CW42)</f>
        <v/>
      </c>
      <c r="CJ44" s="522">
        <f>IF(AND(CG44&gt;=EXPEDIENTE!$I$25,CG44&lt;=EXPEDIENTE!$I$29),CF44,0)</f>
        <v>0</v>
      </c>
      <c r="CK44" s="11">
        <f>IF(AND(CI44&gt;=EXPEDIENTE!$I$25,CI44&lt;=EXPEDIENTE!$I$29),CH44,0)</f>
        <v>0</v>
      </c>
      <c r="CL44" s="518">
        <f t="shared" si="252"/>
        <v>0</v>
      </c>
      <c r="CM44" s="523" t="str">
        <f>IF('GASTOS EJER. 2'!AQ42="","",'GASTOS EJER. 2'!AQ42)</f>
        <v/>
      </c>
      <c r="CN44" s="524" t="str">
        <f>IF('GASTOS EJER. 2'!AT42="","",'GASTOS EJER. 2'!AT42)</f>
        <v/>
      </c>
      <c r="CO44" s="594">
        <f t="shared" si="253"/>
        <v>0</v>
      </c>
      <c r="CP44" s="525">
        <f t="shared" si="254"/>
        <v>0</v>
      </c>
      <c r="CQ44" s="24">
        <f t="shared" si="222"/>
        <v>0</v>
      </c>
      <c r="CR44" s="604">
        <f t="shared" si="255"/>
        <v>0</v>
      </c>
      <c r="CS44" s="607">
        <f t="shared" si="256"/>
        <v>0</v>
      </c>
      <c r="CU44" s="620">
        <v>5</v>
      </c>
      <c r="CV44" s="598" t="e">
        <f t="shared" si="223"/>
        <v>#VALUE!</v>
      </c>
      <c r="CW44" s="621">
        <f t="shared" si="257"/>
        <v>0</v>
      </c>
      <c r="CX44" s="649">
        <f t="shared" si="258"/>
        <v>0</v>
      </c>
      <c r="CY44" s="649">
        <f t="shared" si="259"/>
        <v>0</v>
      </c>
      <c r="CZ44" s="649">
        <f t="shared" si="260"/>
        <v>0</v>
      </c>
      <c r="DA44" s="649">
        <f t="shared" si="261"/>
        <v>0</v>
      </c>
      <c r="DB44" s="649">
        <f t="shared" si="262"/>
        <v>0</v>
      </c>
      <c r="DC44" s="649">
        <f t="shared" si="263"/>
        <v>0</v>
      </c>
      <c r="DD44" s="650">
        <f t="shared" si="264"/>
        <v>0</v>
      </c>
      <c r="DE44" s="645">
        <f t="shared" si="224"/>
        <v>0</v>
      </c>
      <c r="DG44" s="621">
        <f t="shared" si="225"/>
        <v>0</v>
      </c>
      <c r="DH44" s="649">
        <f t="shared" si="226"/>
        <v>0</v>
      </c>
      <c r="DI44" s="649">
        <f t="shared" si="227"/>
        <v>0</v>
      </c>
      <c r="DJ44" s="649">
        <f t="shared" si="228"/>
        <v>0</v>
      </c>
      <c r="DK44" s="649">
        <f t="shared" si="265"/>
        <v>0</v>
      </c>
      <c r="DL44" s="649">
        <f t="shared" si="229"/>
        <v>0</v>
      </c>
      <c r="DM44" s="649">
        <f t="shared" si="230"/>
        <v>0</v>
      </c>
      <c r="DN44" s="650">
        <f t="shared" si="231"/>
        <v>0</v>
      </c>
      <c r="DO44" s="645">
        <f t="shared" si="232"/>
        <v>0</v>
      </c>
      <c r="DQ44" s="655">
        <f t="shared" si="266"/>
        <v>0</v>
      </c>
      <c r="DS44" s="515">
        <v>14</v>
      </c>
      <c r="DT44" s="526">
        <f>'GASTOS EJER. 2'!$C43</f>
        <v>0</v>
      </c>
      <c r="DU44" s="524" t="str">
        <f t="shared" si="171"/>
        <v/>
      </c>
      <c r="DV44" s="524" t="str">
        <f t="shared" si="171"/>
        <v/>
      </c>
      <c r="DW44" s="14">
        <f t="shared" si="172"/>
        <v>0</v>
      </c>
      <c r="DX44" s="527">
        <f>'GASTOS EJER. 2'!X43</f>
        <v>0</v>
      </c>
      <c r="DY44" s="520" t="str">
        <f>IF(DX44=0,"",'GASTOS EJER. 2'!AA43)</f>
        <v/>
      </c>
      <c r="DZ44" s="520" t="str">
        <f t="shared" si="173"/>
        <v/>
      </c>
      <c r="EA44" s="518" t="e">
        <f>IF(AND(DZ44&gt;=EXPEDIENTE!$F$25,DZ44&lt;=EXPEDIENTE!$F$29),ROUNDDOWN(DX44/DW44,2),0)</f>
        <v>#DIV/0!</v>
      </c>
      <c r="EC44" s="14">
        <v>25</v>
      </c>
      <c r="ED44" s="482">
        <f t="shared" si="102"/>
        <v>46388</v>
      </c>
      <c r="EE44" s="482">
        <f t="shared" si="103"/>
        <v>46418</v>
      </c>
      <c r="EF44" s="14" t="str">
        <f>IF(AND(EE44&gt;=EXPEDIENTE!$F$25,ED44&lt;=EXPEDIENTE!$F$29),"SI","NO")</f>
        <v>SI</v>
      </c>
      <c r="EG44" s="11">
        <f t="shared" si="174"/>
        <v>0</v>
      </c>
      <c r="EH44" s="11">
        <f t="shared" si="175"/>
        <v>0</v>
      </c>
      <c r="EI44" s="11">
        <f t="shared" si="176"/>
        <v>0</v>
      </c>
      <c r="EJ44" s="11">
        <f t="shared" si="177"/>
        <v>0</v>
      </c>
      <c r="EK44" s="11">
        <f t="shared" si="178"/>
        <v>0</v>
      </c>
      <c r="EL44" s="11">
        <f t="shared" si="179"/>
        <v>0</v>
      </c>
      <c r="EM44" s="11">
        <f t="shared" si="180"/>
        <v>0</v>
      </c>
      <c r="EN44" s="11">
        <f t="shared" si="181"/>
        <v>0</v>
      </c>
      <c r="EO44" s="11">
        <f t="shared" si="182"/>
        <v>0</v>
      </c>
      <c r="EP44" s="11">
        <f t="shared" si="183"/>
        <v>0</v>
      </c>
      <c r="EQ44" s="11">
        <f t="shared" si="184"/>
        <v>0</v>
      </c>
      <c r="ER44" s="11">
        <f t="shared" si="185"/>
        <v>0</v>
      </c>
      <c r="ES44" s="11">
        <f t="shared" si="186"/>
        <v>0</v>
      </c>
      <c r="ET44" s="11">
        <f t="shared" si="187"/>
        <v>0</v>
      </c>
      <c r="EU44" s="11">
        <f t="shared" si="188"/>
        <v>0</v>
      </c>
      <c r="EV44" s="11">
        <f t="shared" si="189"/>
        <v>0</v>
      </c>
      <c r="EW44" s="11">
        <f t="shared" si="190"/>
        <v>0</v>
      </c>
      <c r="EX44" s="11">
        <f t="shared" si="191"/>
        <v>0</v>
      </c>
      <c r="EY44" s="11">
        <f t="shared" si="192"/>
        <v>0</v>
      </c>
      <c r="EZ44" s="11">
        <f t="shared" si="193"/>
        <v>0</v>
      </c>
      <c r="FA44" s="11">
        <f t="shared" si="194"/>
        <v>0</v>
      </c>
      <c r="FB44" s="11">
        <f t="shared" si="195"/>
        <v>0</v>
      </c>
      <c r="FC44" s="11">
        <f t="shared" si="196"/>
        <v>0</v>
      </c>
      <c r="FD44" s="11">
        <f t="shared" si="197"/>
        <v>0</v>
      </c>
      <c r="FE44" s="11">
        <f t="shared" si="198"/>
        <v>0</v>
      </c>
      <c r="FF44" s="11">
        <f t="shared" si="199"/>
        <v>0</v>
      </c>
      <c r="FG44" s="11">
        <f t="shared" si="200"/>
        <v>0</v>
      </c>
      <c r="FH44" s="11">
        <f t="shared" si="201"/>
        <v>0</v>
      </c>
      <c r="FI44" s="11">
        <f t="shared" si="202"/>
        <v>0</v>
      </c>
      <c r="FJ44" s="11">
        <f t="shared" si="203"/>
        <v>0</v>
      </c>
      <c r="FK44" s="11">
        <f t="shared" si="204"/>
        <v>0</v>
      </c>
      <c r="FL44" s="11">
        <f t="shared" si="205"/>
        <v>0</v>
      </c>
      <c r="FM44" s="11">
        <f t="shared" si="65"/>
        <v>0</v>
      </c>
      <c r="FO44" s="85">
        <v>6</v>
      </c>
      <c r="FP44" s="520">
        <f>DATE(YEAR(EXPEDIENTE!$F$25)+1,FO44,1)</f>
        <v>46174</v>
      </c>
      <c r="FQ44" s="520" t="str">
        <f>IF('GASTOS EJER. 2'!I57="","",'GASTOS EJER. 2'!I57)</f>
        <v/>
      </c>
      <c r="FR44" s="527">
        <f>'GASTOS EJER. 2'!X25</f>
        <v>0</v>
      </c>
      <c r="FS44" s="527">
        <f>'GASTOS EJER. 2'!H57</f>
        <v>0</v>
      </c>
      <c r="FT44" s="11">
        <f t="shared" si="233"/>
        <v>0</v>
      </c>
      <c r="FU44" s="527">
        <f t="shared" si="206"/>
        <v>0</v>
      </c>
      <c r="FW44" s="515">
        <v>14</v>
      </c>
      <c r="FX44" s="526">
        <f>'GASTOS EJER. 2'!$C43</f>
        <v>0</v>
      </c>
      <c r="FY44" s="524" t="str">
        <f t="shared" si="207"/>
        <v/>
      </c>
      <c r="FZ44" s="524" t="str">
        <f t="shared" si="207"/>
        <v/>
      </c>
      <c r="GA44" s="14">
        <f t="shared" si="208"/>
        <v>0</v>
      </c>
      <c r="GB44" s="527">
        <f>'GASTOS EJER. 2'!CM43</f>
        <v>0</v>
      </c>
      <c r="GC44" s="520" t="str">
        <f>IF(GB44=0,"",'GASTOS EJER. 2'!CT43)</f>
        <v/>
      </c>
      <c r="GD44" s="520" t="str">
        <f t="shared" si="209"/>
        <v/>
      </c>
      <c r="GE44" s="518" t="e">
        <f>IF(AND(GD44&gt;=EXPEDIENTE!$F$25,GD44&lt;=EXPEDIENTE!$F$29),ROUNDDOWN(GB44/GA44,2),0)</f>
        <v>#DIV/0!</v>
      </c>
      <c r="GG44" s="14">
        <v>25</v>
      </c>
      <c r="GH44" s="482">
        <f t="shared" si="104"/>
        <v>46388</v>
      </c>
      <c r="GI44" s="482">
        <f t="shared" si="105"/>
        <v>46418</v>
      </c>
      <c r="GJ44" s="14" t="str">
        <f>IF(AND(GI44&gt;=EXPEDIENTE!$F$25,GH44&lt;=EXPEDIENTE!$F$29),"SI","NO")</f>
        <v>SI</v>
      </c>
      <c r="GK44" s="11">
        <f t="shared" si="66"/>
        <v>0</v>
      </c>
      <c r="GL44" s="11">
        <f t="shared" si="67"/>
        <v>0</v>
      </c>
      <c r="GM44" s="11">
        <f t="shared" si="68"/>
        <v>0</v>
      </c>
      <c r="GN44" s="11">
        <f t="shared" si="69"/>
        <v>0</v>
      </c>
      <c r="GO44" s="11">
        <f t="shared" si="70"/>
        <v>0</v>
      </c>
      <c r="GP44" s="11">
        <f t="shared" si="71"/>
        <v>0</v>
      </c>
      <c r="GQ44" s="11">
        <f t="shared" si="72"/>
        <v>0</v>
      </c>
      <c r="GR44" s="11">
        <f t="shared" si="73"/>
        <v>0</v>
      </c>
      <c r="GS44" s="11">
        <f t="shared" si="74"/>
        <v>0</v>
      </c>
      <c r="GT44" s="11">
        <f t="shared" si="75"/>
        <v>0</v>
      </c>
      <c r="GU44" s="11">
        <f t="shared" si="76"/>
        <v>0</v>
      </c>
      <c r="GV44" s="11">
        <f t="shared" si="77"/>
        <v>0</v>
      </c>
      <c r="GW44" s="11">
        <f t="shared" si="78"/>
        <v>0</v>
      </c>
      <c r="GX44" s="11">
        <f t="shared" si="79"/>
        <v>0</v>
      </c>
      <c r="GY44" s="11">
        <f t="shared" si="80"/>
        <v>0</v>
      </c>
      <c r="GZ44" s="11">
        <f t="shared" si="81"/>
        <v>0</v>
      </c>
      <c r="HA44" s="11">
        <f t="shared" si="82"/>
        <v>0</v>
      </c>
      <c r="HB44" s="11">
        <f t="shared" si="83"/>
        <v>0</v>
      </c>
      <c r="HC44" s="11">
        <f t="shared" si="84"/>
        <v>0</v>
      </c>
      <c r="HD44" s="11">
        <f t="shared" si="85"/>
        <v>0</v>
      </c>
      <c r="HE44" s="11">
        <f t="shared" si="86"/>
        <v>0</v>
      </c>
      <c r="HF44" s="11">
        <f t="shared" si="87"/>
        <v>0</v>
      </c>
      <c r="HG44" s="11">
        <f t="shared" si="88"/>
        <v>0</v>
      </c>
      <c r="HH44" s="11">
        <f t="shared" si="89"/>
        <v>0</v>
      </c>
      <c r="HI44" s="11">
        <f t="shared" si="90"/>
        <v>0</v>
      </c>
      <c r="HJ44" s="11">
        <f t="shared" si="91"/>
        <v>0</v>
      </c>
      <c r="HK44" s="11">
        <f t="shared" si="92"/>
        <v>0</v>
      </c>
      <c r="HL44" s="11">
        <f t="shared" si="93"/>
        <v>0</v>
      </c>
      <c r="HM44" s="11">
        <f t="shared" si="94"/>
        <v>0</v>
      </c>
      <c r="HN44" s="11">
        <f t="shared" si="95"/>
        <v>0</v>
      </c>
      <c r="HO44" s="11">
        <f t="shared" si="96"/>
        <v>0</v>
      </c>
      <c r="HP44" s="11">
        <f t="shared" si="97"/>
        <v>0</v>
      </c>
      <c r="HQ44" s="11">
        <f t="shared" si="98"/>
        <v>0</v>
      </c>
      <c r="HT44" s="85">
        <v>6</v>
      </c>
      <c r="HU44" s="520">
        <f>DATE(YEAR(EXPEDIENTE!$F$25)+1,HT44,1)</f>
        <v>46174</v>
      </c>
      <c r="HV44" s="520" t="str">
        <f>IF('GASTOS EJER. 2'!BF57="","",'GASTOS EJER. 2'!BF57)</f>
        <v/>
      </c>
      <c r="HW44" s="527">
        <f>'GASTOS EJER. 2'!CM25</f>
        <v>0</v>
      </c>
      <c r="HX44" s="527">
        <f>'GASTOS EJER. 2'!BA57</f>
        <v>0</v>
      </c>
      <c r="HY44" s="11">
        <f t="shared" si="234"/>
        <v>0</v>
      </c>
      <c r="HZ44" s="527">
        <f t="shared" si="210"/>
        <v>0</v>
      </c>
      <c r="JF44" s="485">
        <v>40</v>
      </c>
      <c r="JG44" s="474">
        <f t="shared" si="101"/>
        <v>14</v>
      </c>
    </row>
    <row r="45" spans="3:267" x14ac:dyDescent="0.3">
      <c r="C45" s="8">
        <v>39</v>
      </c>
      <c r="D45" s="12"/>
      <c r="E45" s="17"/>
      <c r="F45" s="18"/>
      <c r="G45" s="19"/>
      <c r="H45" s="19"/>
      <c r="I45" s="19"/>
      <c r="J45" s="12"/>
      <c r="K45" s="14">
        <f t="shared" si="43"/>
        <v>76</v>
      </c>
      <c r="L45" s="14">
        <f t="shared" si="44"/>
        <v>76</v>
      </c>
      <c r="M45" s="14" t="str">
        <f t="shared" si="45"/>
        <v>X</v>
      </c>
      <c r="Y45" s="547">
        <f t="shared" si="46"/>
        <v>39</v>
      </c>
      <c r="Z45" s="478" t="str">
        <f>IF(Y45="","",IF(EDATE($Z$6,Y45)&gt;EXPEDIENTE!$F$27,"",EDATE($Z$6,Y45)))</f>
        <v/>
      </c>
      <c r="AA45" s="478" t="str">
        <f t="shared" si="170"/>
        <v/>
      </c>
      <c r="AB45" s="478" t="str">
        <f>IF(AA45="","",IF(YEAR(EXPEDIENTE!$F$25)=YEAR(AA45),AA45,""))</f>
        <v/>
      </c>
      <c r="AC45" s="478" t="str">
        <f>IF(AA45="","",IF(YEAR(EXPEDIENTE!$F$25)+1=YEAR(AA45),AA45,""))</f>
        <v/>
      </c>
      <c r="AD45" s="478" t="str">
        <f>IF(AA45="","",IF(YEAR(EXPEDIENTE!$F$25)+2=YEAR(AA45),AA45,""))</f>
        <v/>
      </c>
      <c r="AE45" s="478" t="str">
        <f>IF(AA45="","",IF(YEAR(EXPEDIENTE!$F$25)+3=YEAR(AA45),AA45,""))</f>
        <v/>
      </c>
      <c r="AG45" s="584">
        <v>14</v>
      </c>
      <c r="AH45" s="527">
        <f>'GASTOS EJER. 2'!M43</f>
        <v>0</v>
      </c>
      <c r="AI45" s="527">
        <f>'GASTOS EJER. 2'!X43</f>
        <v>0</v>
      </c>
      <c r="AJ45" s="590">
        <f>'GASTOS EJER. 2'!Y43</f>
        <v>0</v>
      </c>
      <c r="AK45" s="518">
        <f t="shared" si="235"/>
        <v>0</v>
      </c>
      <c r="AM45" s="519">
        <f>'GASTOS EJER. 2'!F43+'GASTOS EJER. 2'!L43-'GASTOS EJER. 2'!X43-'GASTOS EJER. 2'!Y43</f>
        <v>0</v>
      </c>
      <c r="AN45" s="520" t="str">
        <f>IF('GASTOS EJER. 2'!AA43="","",'GASTOS EJER. 2'!AA43)</f>
        <v/>
      </c>
      <c r="AO45" s="517">
        <f>'GASTOS EJER. 2'!Y43</f>
        <v>0</v>
      </c>
      <c r="AP45" s="521" t="str">
        <f>IF('GASTOS EJER. 2'!AB43="","",'GASTOS EJER. 2'!AB43)</f>
        <v/>
      </c>
      <c r="AQ45" s="522">
        <f>IF(AND(AN45&gt;=EXPEDIENTE!$I$25,AN45&lt;=EXPEDIENTE!$I$29),AM45,0)</f>
        <v>0</v>
      </c>
      <c r="AR45" s="11">
        <f>IF(AND(AP45&gt;=EXPEDIENTE!$I$25,AP45&lt;=EXPEDIENTE!$I$29),AO45,0)</f>
        <v>0</v>
      </c>
      <c r="AS45" s="518">
        <f t="shared" si="236"/>
        <v>0</v>
      </c>
      <c r="AT45" s="523" t="str">
        <f>IF('GASTOS EJER. 2'!D43="","",'GASTOS EJER. 2'!D43)</f>
        <v/>
      </c>
      <c r="AU45" s="524" t="str">
        <f>IF('GASTOS EJER. 2'!E43="","",'GASTOS EJER. 2'!E43)</f>
        <v/>
      </c>
      <c r="AV45" s="594">
        <f t="shared" si="237"/>
        <v>0</v>
      </c>
      <c r="AW45" s="525">
        <f t="shared" si="238"/>
        <v>0</v>
      </c>
      <c r="AX45" s="24">
        <f t="shared" si="211"/>
        <v>0</v>
      </c>
      <c r="AY45" s="604">
        <f t="shared" si="239"/>
        <v>0</v>
      </c>
      <c r="AZ45" s="607">
        <f t="shared" si="240"/>
        <v>0</v>
      </c>
      <c r="BB45" s="596">
        <v>6</v>
      </c>
      <c r="BC45" s="598" t="e">
        <f t="shared" si="212"/>
        <v>#VALUE!</v>
      </c>
      <c r="BD45" s="621">
        <f t="shared" si="241"/>
        <v>0</v>
      </c>
      <c r="BE45" s="649">
        <f t="shared" si="242"/>
        <v>0</v>
      </c>
      <c r="BF45" s="649">
        <f t="shared" si="243"/>
        <v>0</v>
      </c>
      <c r="BG45" s="649">
        <f t="shared" si="244"/>
        <v>0</v>
      </c>
      <c r="BH45" s="649">
        <f t="shared" si="245"/>
        <v>0</v>
      </c>
      <c r="BI45" s="649">
        <f t="shared" si="246"/>
        <v>0</v>
      </c>
      <c r="BJ45" s="649">
        <f t="shared" si="247"/>
        <v>0</v>
      </c>
      <c r="BK45" s="650">
        <f t="shared" si="248"/>
        <v>0</v>
      </c>
      <c r="BL45" s="645">
        <f t="shared" si="213"/>
        <v>0</v>
      </c>
      <c r="BN45" s="601">
        <f t="shared" si="214"/>
        <v>0</v>
      </c>
      <c r="BO45" s="643">
        <f t="shared" si="215"/>
        <v>0</v>
      </c>
      <c r="BP45" s="643">
        <f t="shared" si="216"/>
        <v>0</v>
      </c>
      <c r="BQ45" s="643">
        <f t="shared" si="217"/>
        <v>0</v>
      </c>
      <c r="BR45" s="643">
        <f t="shared" si="218"/>
        <v>0</v>
      </c>
      <c r="BS45" s="643">
        <f t="shared" si="219"/>
        <v>0</v>
      </c>
      <c r="BT45" s="643">
        <f t="shared" si="220"/>
        <v>0</v>
      </c>
      <c r="BU45" s="644">
        <f t="shared" si="221"/>
        <v>0</v>
      </c>
      <c r="BV45" s="645">
        <f t="shared" si="249"/>
        <v>0</v>
      </c>
      <c r="BX45" s="645">
        <f t="shared" si="250"/>
        <v>0</v>
      </c>
      <c r="BZ45" s="616">
        <v>14</v>
      </c>
      <c r="CA45" s="527">
        <f>'GASTOS EJER. 2'!BN43</f>
        <v>0</v>
      </c>
      <c r="CB45" s="527">
        <f>'GASTOS EJER. 2'!CM43</f>
        <v>0</v>
      </c>
      <c r="CC45" s="590">
        <f>'GASTOS EJER. 2'!CP43</f>
        <v>0</v>
      </c>
      <c r="CD45" s="518">
        <f t="shared" si="251"/>
        <v>0</v>
      </c>
      <c r="CF45" s="519">
        <f>'GASTOS EJER. 2'!AW43+'GASTOS EJER. 2'!BM43-'GASTOS EJER. 2'!CM43-'GASTOS EJER. 2'!CP43</f>
        <v>0</v>
      </c>
      <c r="CG45" s="520" t="str">
        <f>IF('GASTOS EJER. 2'!CT43="","",'GASTOS EJER. 2'!CT43)</f>
        <v/>
      </c>
      <c r="CH45" s="517">
        <f>'GASTOS EJER. 2'!CP43</f>
        <v>0</v>
      </c>
      <c r="CI45" s="521" t="str">
        <f>IF('GASTOS EJER. 2'!CW43="","",'GASTOS EJER. 2'!CW43)</f>
        <v/>
      </c>
      <c r="CJ45" s="522">
        <f>IF(AND(CG45&gt;=EXPEDIENTE!$I$25,CG45&lt;=EXPEDIENTE!$I$29),CF45,0)</f>
        <v>0</v>
      </c>
      <c r="CK45" s="11">
        <f>IF(AND(CI45&gt;=EXPEDIENTE!$I$25,CI45&lt;=EXPEDIENTE!$I$29),CH45,0)</f>
        <v>0</v>
      </c>
      <c r="CL45" s="518">
        <f t="shared" si="252"/>
        <v>0</v>
      </c>
      <c r="CM45" s="523" t="str">
        <f>IF('GASTOS EJER. 2'!AQ43="","",'GASTOS EJER. 2'!AQ43)</f>
        <v/>
      </c>
      <c r="CN45" s="524" t="str">
        <f>IF('GASTOS EJER. 2'!AT43="","",'GASTOS EJER. 2'!AT43)</f>
        <v/>
      </c>
      <c r="CO45" s="594">
        <f t="shared" si="253"/>
        <v>0</v>
      </c>
      <c r="CP45" s="525">
        <f t="shared" si="254"/>
        <v>0</v>
      </c>
      <c r="CQ45" s="24">
        <f t="shared" si="222"/>
        <v>0</v>
      </c>
      <c r="CR45" s="604">
        <f t="shared" si="255"/>
        <v>0</v>
      </c>
      <c r="CS45" s="607">
        <f t="shared" si="256"/>
        <v>0</v>
      </c>
      <c r="CU45" s="620">
        <v>6</v>
      </c>
      <c r="CV45" s="598" t="e">
        <f t="shared" si="223"/>
        <v>#VALUE!</v>
      </c>
      <c r="CW45" s="621">
        <f t="shared" si="257"/>
        <v>0</v>
      </c>
      <c r="CX45" s="649">
        <f t="shared" si="258"/>
        <v>0</v>
      </c>
      <c r="CY45" s="649">
        <f t="shared" si="259"/>
        <v>0</v>
      </c>
      <c r="CZ45" s="649">
        <f t="shared" si="260"/>
        <v>0</v>
      </c>
      <c r="DA45" s="649">
        <f t="shared" si="261"/>
        <v>0</v>
      </c>
      <c r="DB45" s="649">
        <f t="shared" si="262"/>
        <v>0</v>
      </c>
      <c r="DC45" s="649">
        <f t="shared" si="263"/>
        <v>0</v>
      </c>
      <c r="DD45" s="650">
        <f t="shared" si="264"/>
        <v>0</v>
      </c>
      <c r="DE45" s="645">
        <f t="shared" si="224"/>
        <v>0</v>
      </c>
      <c r="DG45" s="621">
        <f t="shared" si="225"/>
        <v>0</v>
      </c>
      <c r="DH45" s="649">
        <f t="shared" si="226"/>
        <v>0</v>
      </c>
      <c r="DI45" s="649">
        <f t="shared" si="227"/>
        <v>0</v>
      </c>
      <c r="DJ45" s="649">
        <f t="shared" si="228"/>
        <v>0</v>
      </c>
      <c r="DK45" s="649">
        <f t="shared" si="265"/>
        <v>0</v>
      </c>
      <c r="DL45" s="649">
        <f t="shared" si="229"/>
        <v>0</v>
      </c>
      <c r="DM45" s="649">
        <f t="shared" si="230"/>
        <v>0</v>
      </c>
      <c r="DN45" s="650">
        <f t="shared" si="231"/>
        <v>0</v>
      </c>
      <c r="DO45" s="645">
        <f t="shared" si="232"/>
        <v>0</v>
      </c>
      <c r="DQ45" s="655">
        <f t="shared" si="266"/>
        <v>0</v>
      </c>
      <c r="DS45" s="515">
        <v>15</v>
      </c>
      <c r="DT45" s="526">
        <f>'GASTOS EJER. 2'!$C44</f>
        <v>0</v>
      </c>
      <c r="DU45" s="524" t="str">
        <f t="shared" si="171"/>
        <v/>
      </c>
      <c r="DV45" s="524" t="str">
        <f t="shared" si="171"/>
        <v/>
      </c>
      <c r="DW45" s="14">
        <f t="shared" si="172"/>
        <v>0</v>
      </c>
      <c r="DX45" s="527">
        <f>'GASTOS EJER. 2'!X44</f>
        <v>0</v>
      </c>
      <c r="DY45" s="520" t="str">
        <f>IF(DX45=0,"",'GASTOS EJER. 2'!AA44)</f>
        <v/>
      </c>
      <c r="DZ45" s="520" t="str">
        <f t="shared" si="173"/>
        <v/>
      </c>
      <c r="EA45" s="518" t="e">
        <f>IF(AND(DZ45&gt;=EXPEDIENTE!$F$25,DZ45&lt;=EXPEDIENTE!$F$29),ROUNDDOWN(DX45/DW45,2),0)</f>
        <v>#DIV/0!</v>
      </c>
      <c r="EC45" s="14">
        <v>26</v>
      </c>
      <c r="ED45" s="482">
        <f t="shared" si="102"/>
        <v>46419</v>
      </c>
      <c r="EE45" s="482">
        <f t="shared" si="103"/>
        <v>46446</v>
      </c>
      <c r="EF45" s="14" t="str">
        <f>IF(AND(EE45&gt;=EXPEDIENTE!$F$25,ED45&lt;=EXPEDIENTE!$F$29),"SI","NO")</f>
        <v>SI</v>
      </c>
      <c r="EG45" s="11">
        <f t="shared" si="174"/>
        <v>0</v>
      </c>
      <c r="EH45" s="11">
        <f t="shared" si="175"/>
        <v>0</v>
      </c>
      <c r="EI45" s="11">
        <f t="shared" si="176"/>
        <v>0</v>
      </c>
      <c r="EJ45" s="11">
        <f t="shared" si="177"/>
        <v>0</v>
      </c>
      <c r="EK45" s="11">
        <f t="shared" si="178"/>
        <v>0</v>
      </c>
      <c r="EL45" s="11">
        <f t="shared" si="179"/>
        <v>0</v>
      </c>
      <c r="EM45" s="11">
        <f t="shared" si="180"/>
        <v>0</v>
      </c>
      <c r="EN45" s="11">
        <f t="shared" si="181"/>
        <v>0</v>
      </c>
      <c r="EO45" s="11">
        <f t="shared" si="182"/>
        <v>0</v>
      </c>
      <c r="EP45" s="11">
        <f t="shared" si="183"/>
        <v>0</v>
      </c>
      <c r="EQ45" s="11">
        <f t="shared" si="184"/>
        <v>0</v>
      </c>
      <c r="ER45" s="11">
        <f t="shared" si="185"/>
        <v>0</v>
      </c>
      <c r="ES45" s="11">
        <f t="shared" si="186"/>
        <v>0</v>
      </c>
      <c r="ET45" s="11">
        <f t="shared" si="187"/>
        <v>0</v>
      </c>
      <c r="EU45" s="11">
        <f t="shared" si="188"/>
        <v>0</v>
      </c>
      <c r="EV45" s="11">
        <f t="shared" si="189"/>
        <v>0</v>
      </c>
      <c r="EW45" s="11">
        <f t="shared" si="190"/>
        <v>0</v>
      </c>
      <c r="EX45" s="11">
        <f t="shared" si="191"/>
        <v>0</v>
      </c>
      <c r="EY45" s="11">
        <f t="shared" si="192"/>
        <v>0</v>
      </c>
      <c r="EZ45" s="11">
        <f t="shared" si="193"/>
        <v>0</v>
      </c>
      <c r="FA45" s="11">
        <f t="shared" si="194"/>
        <v>0</v>
      </c>
      <c r="FB45" s="11">
        <f t="shared" si="195"/>
        <v>0</v>
      </c>
      <c r="FC45" s="11">
        <f t="shared" si="196"/>
        <v>0</v>
      </c>
      <c r="FD45" s="11">
        <f t="shared" si="197"/>
        <v>0</v>
      </c>
      <c r="FE45" s="11">
        <f t="shared" si="198"/>
        <v>0</v>
      </c>
      <c r="FF45" s="11">
        <f t="shared" si="199"/>
        <v>0</v>
      </c>
      <c r="FG45" s="11">
        <f t="shared" si="200"/>
        <v>0</v>
      </c>
      <c r="FH45" s="11">
        <f t="shared" si="201"/>
        <v>0</v>
      </c>
      <c r="FI45" s="11">
        <f t="shared" si="202"/>
        <v>0</v>
      </c>
      <c r="FJ45" s="11">
        <f t="shared" si="203"/>
        <v>0</v>
      </c>
      <c r="FK45" s="11">
        <f t="shared" si="204"/>
        <v>0</v>
      </c>
      <c r="FL45" s="11">
        <f t="shared" si="205"/>
        <v>0</v>
      </c>
      <c r="FM45" s="11">
        <f t="shared" si="65"/>
        <v>0</v>
      </c>
      <c r="FO45" s="85">
        <v>7</v>
      </c>
      <c r="FP45" s="520">
        <f>DATE(YEAR(EXPEDIENTE!$F$25)+1,FO45,1)</f>
        <v>46204</v>
      </c>
      <c r="FQ45" s="520" t="str">
        <f>IF('GASTOS EJER. 2'!I58="","",'GASTOS EJER. 2'!I58)</f>
        <v/>
      </c>
      <c r="FR45" s="527">
        <f>'GASTOS EJER. 2'!X26</f>
        <v>0</v>
      </c>
      <c r="FS45" s="527">
        <f>'GASTOS EJER. 2'!H58</f>
        <v>0</v>
      </c>
      <c r="FT45" s="11">
        <f t="shared" si="233"/>
        <v>0</v>
      </c>
      <c r="FU45" s="527">
        <f t="shared" si="206"/>
        <v>0</v>
      </c>
      <c r="FW45" s="515">
        <v>15</v>
      </c>
      <c r="FX45" s="526">
        <f>'GASTOS EJER. 2'!$C44</f>
        <v>0</v>
      </c>
      <c r="FY45" s="524" t="str">
        <f t="shared" si="207"/>
        <v/>
      </c>
      <c r="FZ45" s="524" t="str">
        <f t="shared" si="207"/>
        <v/>
      </c>
      <c r="GA45" s="14">
        <f t="shared" si="208"/>
        <v>0</v>
      </c>
      <c r="GB45" s="527">
        <f>'GASTOS EJER. 2'!CM44</f>
        <v>0</v>
      </c>
      <c r="GC45" s="520" t="str">
        <f>IF(GB45=0,"",'GASTOS EJER. 2'!CT44)</f>
        <v/>
      </c>
      <c r="GD45" s="520" t="str">
        <f t="shared" si="209"/>
        <v/>
      </c>
      <c r="GE45" s="518" t="e">
        <f>IF(AND(GD45&gt;=EXPEDIENTE!$F$25,GD45&lt;=EXPEDIENTE!$F$29),ROUNDDOWN(GB45/GA45,2),0)</f>
        <v>#DIV/0!</v>
      </c>
      <c r="GG45" s="14">
        <v>26</v>
      </c>
      <c r="GH45" s="482">
        <f t="shared" si="104"/>
        <v>46419</v>
      </c>
      <c r="GI45" s="482">
        <f t="shared" si="105"/>
        <v>46446</v>
      </c>
      <c r="GJ45" s="14" t="str">
        <f>IF(AND(GI45&gt;=EXPEDIENTE!$F$25,GH45&lt;=EXPEDIENTE!$F$29),"SI","NO")</f>
        <v>SI</v>
      </c>
      <c r="GK45" s="11">
        <f t="shared" si="66"/>
        <v>0</v>
      </c>
      <c r="GL45" s="11">
        <f t="shared" si="67"/>
        <v>0</v>
      </c>
      <c r="GM45" s="11">
        <f t="shared" si="68"/>
        <v>0</v>
      </c>
      <c r="GN45" s="11">
        <f t="shared" si="69"/>
        <v>0</v>
      </c>
      <c r="GO45" s="11">
        <f t="shared" si="70"/>
        <v>0</v>
      </c>
      <c r="GP45" s="11">
        <f t="shared" si="71"/>
        <v>0</v>
      </c>
      <c r="GQ45" s="11">
        <f t="shared" si="72"/>
        <v>0</v>
      </c>
      <c r="GR45" s="11">
        <f t="shared" si="73"/>
        <v>0</v>
      </c>
      <c r="GS45" s="11">
        <f t="shared" si="74"/>
        <v>0</v>
      </c>
      <c r="GT45" s="11">
        <f t="shared" si="75"/>
        <v>0</v>
      </c>
      <c r="GU45" s="11">
        <f t="shared" si="76"/>
        <v>0</v>
      </c>
      <c r="GV45" s="11">
        <f t="shared" si="77"/>
        <v>0</v>
      </c>
      <c r="GW45" s="11">
        <f t="shared" si="78"/>
        <v>0</v>
      </c>
      <c r="GX45" s="11">
        <f t="shared" si="79"/>
        <v>0</v>
      </c>
      <c r="GY45" s="11">
        <f t="shared" si="80"/>
        <v>0</v>
      </c>
      <c r="GZ45" s="11">
        <f t="shared" si="81"/>
        <v>0</v>
      </c>
      <c r="HA45" s="11">
        <f t="shared" si="82"/>
        <v>0</v>
      </c>
      <c r="HB45" s="11">
        <f t="shared" si="83"/>
        <v>0</v>
      </c>
      <c r="HC45" s="11">
        <f t="shared" si="84"/>
        <v>0</v>
      </c>
      <c r="HD45" s="11">
        <f t="shared" si="85"/>
        <v>0</v>
      </c>
      <c r="HE45" s="11">
        <f t="shared" si="86"/>
        <v>0</v>
      </c>
      <c r="HF45" s="11">
        <f t="shared" si="87"/>
        <v>0</v>
      </c>
      <c r="HG45" s="11">
        <f t="shared" si="88"/>
        <v>0</v>
      </c>
      <c r="HH45" s="11">
        <f t="shared" si="89"/>
        <v>0</v>
      </c>
      <c r="HI45" s="11">
        <f t="shared" si="90"/>
        <v>0</v>
      </c>
      <c r="HJ45" s="11">
        <f t="shared" si="91"/>
        <v>0</v>
      </c>
      <c r="HK45" s="11">
        <f t="shared" si="92"/>
        <v>0</v>
      </c>
      <c r="HL45" s="11">
        <f t="shared" si="93"/>
        <v>0</v>
      </c>
      <c r="HM45" s="11">
        <f t="shared" si="94"/>
        <v>0</v>
      </c>
      <c r="HN45" s="11">
        <f t="shared" si="95"/>
        <v>0</v>
      </c>
      <c r="HO45" s="11">
        <f t="shared" si="96"/>
        <v>0</v>
      </c>
      <c r="HP45" s="11">
        <f t="shared" si="97"/>
        <v>0</v>
      </c>
      <c r="HQ45" s="11">
        <f t="shared" si="98"/>
        <v>0</v>
      </c>
      <c r="HT45" s="85">
        <v>7</v>
      </c>
      <c r="HU45" s="520">
        <f>DATE(YEAR(EXPEDIENTE!$F$25)+1,HT45,1)</f>
        <v>46204</v>
      </c>
      <c r="HV45" s="520" t="str">
        <f>IF('GASTOS EJER. 2'!BF58="","",'GASTOS EJER. 2'!BF58)</f>
        <v/>
      </c>
      <c r="HW45" s="527">
        <f>'GASTOS EJER. 2'!CM26</f>
        <v>0</v>
      </c>
      <c r="HX45" s="527">
        <f>'GASTOS EJER. 2'!BA58</f>
        <v>0</v>
      </c>
      <c r="HY45" s="11">
        <f t="shared" si="234"/>
        <v>0</v>
      </c>
      <c r="HZ45" s="527">
        <f t="shared" si="210"/>
        <v>0</v>
      </c>
      <c r="JF45" s="477">
        <v>41</v>
      </c>
      <c r="JG45" s="474">
        <f t="shared" si="101"/>
        <v>16</v>
      </c>
    </row>
    <row r="46" spans="3:267" ht="15.75" thickBot="1" x14ac:dyDescent="0.35">
      <c r="C46" s="8">
        <v>40</v>
      </c>
      <c r="D46" s="12"/>
      <c r="E46" s="17"/>
      <c r="F46" s="18"/>
      <c r="G46" s="19"/>
      <c r="H46" s="19"/>
      <c r="I46" s="19"/>
      <c r="J46" s="12"/>
      <c r="K46" s="14">
        <f t="shared" si="43"/>
        <v>76</v>
      </c>
      <c r="L46" s="14">
        <f t="shared" si="44"/>
        <v>76</v>
      </c>
      <c r="M46" s="14" t="str">
        <f t="shared" si="45"/>
        <v>X</v>
      </c>
      <c r="Y46" s="547">
        <f t="shared" si="46"/>
        <v>40</v>
      </c>
      <c r="Z46" s="478" t="str">
        <f>IF(Y46="","",IF(EDATE($Z$6,Y46)&gt;EXPEDIENTE!$F$27,"",EDATE($Z$6,Y46)))</f>
        <v/>
      </c>
      <c r="AA46" s="478" t="str">
        <f t="shared" si="170"/>
        <v/>
      </c>
      <c r="AB46" s="478" t="str">
        <f>IF(AA46="","",IF(YEAR(EXPEDIENTE!$F$25)=YEAR(AA46),AA46,""))</f>
        <v/>
      </c>
      <c r="AC46" s="478" t="str">
        <f>IF(AA46="","",IF(YEAR(EXPEDIENTE!$F$25)+1=YEAR(AA46),AA46,""))</f>
        <v/>
      </c>
      <c r="AD46" s="478" t="str">
        <f>IF(AA46="","",IF(YEAR(EXPEDIENTE!$F$25)+2=YEAR(AA46),AA46,""))</f>
        <v/>
      </c>
      <c r="AE46" s="478" t="str">
        <f>IF(AA46="","",IF(YEAR(EXPEDIENTE!$F$25)+3=YEAR(AA46),AA46,""))</f>
        <v/>
      </c>
      <c r="AG46" s="584">
        <v>15</v>
      </c>
      <c r="AH46" s="527">
        <f>'GASTOS EJER. 2'!M44</f>
        <v>0</v>
      </c>
      <c r="AI46" s="527">
        <f>'GASTOS EJER. 2'!X44</f>
        <v>0</v>
      </c>
      <c r="AJ46" s="590">
        <f>'GASTOS EJER. 2'!Y44</f>
        <v>0</v>
      </c>
      <c r="AK46" s="518">
        <f t="shared" si="235"/>
        <v>0</v>
      </c>
      <c r="AM46" s="519">
        <f>'GASTOS EJER. 2'!F44+'GASTOS EJER. 2'!L44-'GASTOS EJER. 2'!X44-'GASTOS EJER. 2'!Y44</f>
        <v>0</v>
      </c>
      <c r="AN46" s="520" t="str">
        <f>IF('GASTOS EJER. 2'!AA44="","",'GASTOS EJER. 2'!AA44)</f>
        <v/>
      </c>
      <c r="AO46" s="517">
        <f>'GASTOS EJER. 2'!Y44</f>
        <v>0</v>
      </c>
      <c r="AP46" s="521" t="str">
        <f>IF('GASTOS EJER. 2'!AB44="","",'GASTOS EJER. 2'!AB44)</f>
        <v/>
      </c>
      <c r="AQ46" s="522">
        <f>IF(AND(AN46&gt;=EXPEDIENTE!$I$25,AN46&lt;=EXPEDIENTE!$I$29),AM46,0)</f>
        <v>0</v>
      </c>
      <c r="AR46" s="11">
        <f>IF(AND(AP46&gt;=EXPEDIENTE!$I$25,AP46&lt;=EXPEDIENTE!$I$29),AO46,0)</f>
        <v>0</v>
      </c>
      <c r="AS46" s="518">
        <f t="shared" si="236"/>
        <v>0</v>
      </c>
      <c r="AT46" s="523" t="str">
        <f>IF('GASTOS EJER. 2'!D44="","",'GASTOS EJER. 2'!D44)</f>
        <v/>
      </c>
      <c r="AU46" s="524" t="str">
        <f>IF('GASTOS EJER. 2'!E44="","",'GASTOS EJER. 2'!E44)</f>
        <v/>
      </c>
      <c r="AV46" s="594">
        <f t="shared" si="237"/>
        <v>0</v>
      </c>
      <c r="AW46" s="525">
        <f t="shared" si="238"/>
        <v>0</v>
      </c>
      <c r="AX46" s="24">
        <f t="shared" si="211"/>
        <v>0</v>
      </c>
      <c r="AY46" s="604">
        <f t="shared" si="239"/>
        <v>0</v>
      </c>
      <c r="AZ46" s="607">
        <f t="shared" si="240"/>
        <v>0</v>
      </c>
      <c r="BB46" s="596">
        <v>7</v>
      </c>
      <c r="BC46" s="598" t="e">
        <f t="shared" si="212"/>
        <v>#VALUE!</v>
      </c>
      <c r="BD46" s="621">
        <f t="shared" si="241"/>
        <v>0</v>
      </c>
      <c r="BE46" s="649">
        <f t="shared" si="242"/>
        <v>0</v>
      </c>
      <c r="BF46" s="649">
        <f t="shared" si="243"/>
        <v>0</v>
      </c>
      <c r="BG46" s="649">
        <f t="shared" si="244"/>
        <v>0</v>
      </c>
      <c r="BH46" s="649">
        <f t="shared" si="245"/>
        <v>0</v>
      </c>
      <c r="BI46" s="649">
        <f t="shared" si="246"/>
        <v>0</v>
      </c>
      <c r="BJ46" s="649">
        <f t="shared" si="247"/>
        <v>0</v>
      </c>
      <c r="BK46" s="650">
        <f t="shared" si="248"/>
        <v>0</v>
      </c>
      <c r="BL46" s="645">
        <f t="shared" si="213"/>
        <v>0</v>
      </c>
      <c r="BN46" s="601">
        <f t="shared" si="214"/>
        <v>0</v>
      </c>
      <c r="BO46" s="643">
        <f t="shared" si="215"/>
        <v>0</v>
      </c>
      <c r="BP46" s="643">
        <f t="shared" si="216"/>
        <v>0</v>
      </c>
      <c r="BQ46" s="643">
        <f t="shared" si="217"/>
        <v>0</v>
      </c>
      <c r="BR46" s="643">
        <f t="shared" si="218"/>
        <v>0</v>
      </c>
      <c r="BS46" s="643">
        <f t="shared" si="219"/>
        <v>0</v>
      </c>
      <c r="BT46" s="643">
        <f t="shared" si="220"/>
        <v>0</v>
      </c>
      <c r="BU46" s="644">
        <f t="shared" si="221"/>
        <v>0</v>
      </c>
      <c r="BV46" s="645">
        <f t="shared" si="249"/>
        <v>0</v>
      </c>
      <c r="BX46" s="645">
        <f t="shared" si="250"/>
        <v>0</v>
      </c>
      <c r="BZ46" s="616">
        <v>15</v>
      </c>
      <c r="CA46" s="527">
        <f>'GASTOS EJER. 2'!BN44</f>
        <v>0</v>
      </c>
      <c r="CB46" s="527">
        <f>'GASTOS EJER. 2'!CM44</f>
        <v>0</v>
      </c>
      <c r="CC46" s="590">
        <f>'GASTOS EJER. 2'!CP44</f>
        <v>0</v>
      </c>
      <c r="CD46" s="518">
        <f t="shared" si="251"/>
        <v>0</v>
      </c>
      <c r="CF46" s="519">
        <f>'GASTOS EJER. 2'!AW44+'GASTOS EJER. 2'!BM44-'GASTOS EJER. 2'!CM44-'GASTOS EJER. 2'!CP44</f>
        <v>0</v>
      </c>
      <c r="CG46" s="520" t="str">
        <f>IF('GASTOS EJER. 2'!CT44="","",'GASTOS EJER. 2'!CT44)</f>
        <v/>
      </c>
      <c r="CH46" s="517">
        <f>'GASTOS EJER. 2'!CP44</f>
        <v>0</v>
      </c>
      <c r="CI46" s="521" t="str">
        <f>IF('GASTOS EJER. 2'!CW44="","",'GASTOS EJER. 2'!CW44)</f>
        <v/>
      </c>
      <c r="CJ46" s="522">
        <f>IF(AND(CG46&gt;=EXPEDIENTE!$I$25,CG46&lt;=EXPEDIENTE!$I$29),CF46,0)</f>
        <v>0</v>
      </c>
      <c r="CK46" s="11">
        <f>IF(AND(CI46&gt;=EXPEDIENTE!$I$25,CI46&lt;=EXPEDIENTE!$I$29),CH46,0)</f>
        <v>0</v>
      </c>
      <c r="CL46" s="518">
        <f t="shared" si="252"/>
        <v>0</v>
      </c>
      <c r="CM46" s="523" t="str">
        <f>IF('GASTOS EJER. 2'!AQ44="","",'GASTOS EJER. 2'!AQ44)</f>
        <v/>
      </c>
      <c r="CN46" s="524" t="str">
        <f>IF('GASTOS EJER. 2'!AT44="","",'GASTOS EJER. 2'!AT44)</f>
        <v/>
      </c>
      <c r="CO46" s="594">
        <f t="shared" si="253"/>
        <v>0</v>
      </c>
      <c r="CP46" s="525">
        <f t="shared" si="254"/>
        <v>0</v>
      </c>
      <c r="CQ46" s="24">
        <f t="shared" si="222"/>
        <v>0</v>
      </c>
      <c r="CR46" s="604">
        <f t="shared" si="255"/>
        <v>0</v>
      </c>
      <c r="CS46" s="607">
        <f t="shared" si="256"/>
        <v>0</v>
      </c>
      <c r="CU46" s="620">
        <v>7</v>
      </c>
      <c r="CV46" s="598" t="e">
        <f t="shared" si="223"/>
        <v>#VALUE!</v>
      </c>
      <c r="CW46" s="621">
        <f t="shared" si="257"/>
        <v>0</v>
      </c>
      <c r="CX46" s="649">
        <f t="shared" si="258"/>
        <v>0</v>
      </c>
      <c r="CY46" s="649">
        <f t="shared" si="259"/>
        <v>0</v>
      </c>
      <c r="CZ46" s="649">
        <f t="shared" si="260"/>
        <v>0</v>
      </c>
      <c r="DA46" s="649">
        <f t="shared" si="261"/>
        <v>0</v>
      </c>
      <c r="DB46" s="649">
        <f t="shared" si="262"/>
        <v>0</v>
      </c>
      <c r="DC46" s="649">
        <f t="shared" si="263"/>
        <v>0</v>
      </c>
      <c r="DD46" s="650">
        <f t="shared" si="264"/>
        <v>0</v>
      </c>
      <c r="DE46" s="645">
        <f t="shared" si="224"/>
        <v>0</v>
      </c>
      <c r="DG46" s="621">
        <f t="shared" si="225"/>
        <v>0</v>
      </c>
      <c r="DH46" s="649">
        <f t="shared" si="226"/>
        <v>0</v>
      </c>
      <c r="DI46" s="649">
        <f t="shared" si="227"/>
        <v>0</v>
      </c>
      <c r="DJ46" s="649">
        <f t="shared" si="228"/>
        <v>0</v>
      </c>
      <c r="DK46" s="649">
        <f t="shared" si="265"/>
        <v>0</v>
      </c>
      <c r="DL46" s="649">
        <f t="shared" si="229"/>
        <v>0</v>
      </c>
      <c r="DM46" s="649">
        <f t="shared" si="230"/>
        <v>0</v>
      </c>
      <c r="DN46" s="650">
        <f t="shared" si="231"/>
        <v>0</v>
      </c>
      <c r="DO46" s="645">
        <f t="shared" si="232"/>
        <v>0</v>
      </c>
      <c r="DQ46" s="655">
        <f t="shared" si="266"/>
        <v>0</v>
      </c>
      <c r="DS46" s="528">
        <v>16</v>
      </c>
      <c r="DT46" s="539">
        <f>'GASTOS EJER. 2'!$C45</f>
        <v>0</v>
      </c>
      <c r="DU46" s="537" t="str">
        <f t="shared" si="171"/>
        <v/>
      </c>
      <c r="DV46" s="537" t="str">
        <f t="shared" si="171"/>
        <v/>
      </c>
      <c r="DW46" s="540">
        <f t="shared" si="172"/>
        <v>0</v>
      </c>
      <c r="DX46" s="541">
        <f>'GASTOS EJER. 2'!X45</f>
        <v>0</v>
      </c>
      <c r="DY46" s="533" t="str">
        <f>IF(DX46=0,"",'GASTOS EJER. 2'!AA45)</f>
        <v/>
      </c>
      <c r="DZ46" s="533" t="str">
        <f t="shared" si="173"/>
        <v/>
      </c>
      <c r="EA46" s="531" t="e">
        <f>IF(AND(DZ46&gt;=EXPEDIENTE!$F$25,DZ46&lt;=EXPEDIENTE!$F$29),ROUNDDOWN(DX46/DW46,2),0)</f>
        <v>#DIV/0!</v>
      </c>
      <c r="EC46" s="14">
        <v>27</v>
      </c>
      <c r="ED46" s="482">
        <f t="shared" si="102"/>
        <v>46447</v>
      </c>
      <c r="EE46" s="482">
        <f t="shared" si="103"/>
        <v>46477</v>
      </c>
      <c r="EF46" s="14" t="str">
        <f>IF(AND(EE46&gt;=EXPEDIENTE!$F$25,ED46&lt;=EXPEDIENTE!$F$29),"SI","NO")</f>
        <v>SI</v>
      </c>
      <c r="EG46" s="11">
        <f t="shared" si="174"/>
        <v>0</v>
      </c>
      <c r="EH46" s="11">
        <f t="shared" si="175"/>
        <v>0</v>
      </c>
      <c r="EI46" s="11">
        <f t="shared" si="176"/>
        <v>0</v>
      </c>
      <c r="EJ46" s="11">
        <f t="shared" si="177"/>
        <v>0</v>
      </c>
      <c r="EK46" s="11">
        <f t="shared" si="178"/>
        <v>0</v>
      </c>
      <c r="EL46" s="11">
        <f t="shared" si="179"/>
        <v>0</v>
      </c>
      <c r="EM46" s="11">
        <f t="shared" si="180"/>
        <v>0</v>
      </c>
      <c r="EN46" s="11">
        <f t="shared" si="181"/>
        <v>0</v>
      </c>
      <c r="EO46" s="11">
        <f t="shared" si="182"/>
        <v>0</v>
      </c>
      <c r="EP46" s="11">
        <f t="shared" si="183"/>
        <v>0</v>
      </c>
      <c r="EQ46" s="11">
        <f t="shared" si="184"/>
        <v>0</v>
      </c>
      <c r="ER46" s="11">
        <f t="shared" si="185"/>
        <v>0</v>
      </c>
      <c r="ES46" s="11">
        <f t="shared" si="186"/>
        <v>0</v>
      </c>
      <c r="ET46" s="11">
        <f t="shared" si="187"/>
        <v>0</v>
      </c>
      <c r="EU46" s="11">
        <f t="shared" si="188"/>
        <v>0</v>
      </c>
      <c r="EV46" s="11">
        <f t="shared" si="189"/>
        <v>0</v>
      </c>
      <c r="EW46" s="11">
        <f t="shared" si="190"/>
        <v>0</v>
      </c>
      <c r="EX46" s="11">
        <f t="shared" si="191"/>
        <v>0</v>
      </c>
      <c r="EY46" s="11">
        <f t="shared" si="192"/>
        <v>0</v>
      </c>
      <c r="EZ46" s="11">
        <f t="shared" si="193"/>
        <v>0</v>
      </c>
      <c r="FA46" s="11">
        <f t="shared" si="194"/>
        <v>0</v>
      </c>
      <c r="FB46" s="11">
        <f t="shared" si="195"/>
        <v>0</v>
      </c>
      <c r="FC46" s="11">
        <f t="shared" si="196"/>
        <v>0</v>
      </c>
      <c r="FD46" s="11">
        <f t="shared" si="197"/>
        <v>0</v>
      </c>
      <c r="FE46" s="11">
        <f t="shared" si="198"/>
        <v>0</v>
      </c>
      <c r="FF46" s="11">
        <f t="shared" si="199"/>
        <v>0</v>
      </c>
      <c r="FG46" s="11">
        <f t="shared" si="200"/>
        <v>0</v>
      </c>
      <c r="FH46" s="11">
        <f t="shared" si="201"/>
        <v>0</v>
      </c>
      <c r="FI46" s="11">
        <f t="shared" si="202"/>
        <v>0</v>
      </c>
      <c r="FJ46" s="11">
        <f t="shared" si="203"/>
        <v>0</v>
      </c>
      <c r="FK46" s="11">
        <f t="shared" si="204"/>
        <v>0</v>
      </c>
      <c r="FL46" s="11">
        <f t="shared" si="205"/>
        <v>0</v>
      </c>
      <c r="FM46" s="11">
        <f t="shared" si="65"/>
        <v>0</v>
      </c>
      <c r="FO46" s="85">
        <v>8</v>
      </c>
      <c r="FP46" s="520">
        <f>DATE(YEAR(EXPEDIENTE!$F$25)+1,FO46,1)</f>
        <v>46235</v>
      </c>
      <c r="FQ46" s="520" t="str">
        <f>IF('GASTOS EJER. 2'!I59="","",'GASTOS EJER. 2'!I59)</f>
        <v/>
      </c>
      <c r="FR46" s="527">
        <f>'GASTOS EJER. 2'!X27</f>
        <v>0</v>
      </c>
      <c r="FS46" s="527">
        <f>'GASTOS EJER. 2'!H59</f>
        <v>0</v>
      </c>
      <c r="FT46" s="11">
        <f t="shared" si="233"/>
        <v>0</v>
      </c>
      <c r="FU46" s="527">
        <f t="shared" si="206"/>
        <v>0</v>
      </c>
      <c r="FW46" s="528">
        <v>16</v>
      </c>
      <c r="FX46" s="539">
        <f>'GASTOS EJER. 2'!$C45</f>
        <v>0</v>
      </c>
      <c r="FY46" s="537" t="str">
        <f t="shared" si="207"/>
        <v/>
      </c>
      <c r="FZ46" s="537" t="str">
        <f t="shared" si="207"/>
        <v/>
      </c>
      <c r="GA46" s="540">
        <f t="shared" si="208"/>
        <v>0</v>
      </c>
      <c r="GB46" s="541">
        <f>'GASTOS EJER. 2'!CM45</f>
        <v>0</v>
      </c>
      <c r="GC46" s="533" t="str">
        <f>IF(GB46=0,"",'GASTOS EJER. 2'!CT45)</f>
        <v/>
      </c>
      <c r="GD46" s="533" t="str">
        <f t="shared" si="209"/>
        <v/>
      </c>
      <c r="GE46" s="531" t="e">
        <f>IF(AND(GD46&gt;=EXPEDIENTE!$F$25,GD46&lt;=EXPEDIENTE!$F$29),ROUNDDOWN(GB46/GA46,2),0)</f>
        <v>#DIV/0!</v>
      </c>
      <c r="GG46" s="14">
        <v>27</v>
      </c>
      <c r="GH46" s="482">
        <f t="shared" si="104"/>
        <v>46447</v>
      </c>
      <c r="GI46" s="482">
        <f t="shared" si="105"/>
        <v>46477</v>
      </c>
      <c r="GJ46" s="14" t="str">
        <f>IF(AND(GI46&gt;=EXPEDIENTE!$F$25,GH46&lt;=EXPEDIENTE!$F$29),"SI","NO")</f>
        <v>SI</v>
      </c>
      <c r="GK46" s="11">
        <f t="shared" si="66"/>
        <v>0</v>
      </c>
      <c r="GL46" s="11">
        <f t="shared" si="67"/>
        <v>0</v>
      </c>
      <c r="GM46" s="11">
        <f t="shared" si="68"/>
        <v>0</v>
      </c>
      <c r="GN46" s="11">
        <f t="shared" si="69"/>
        <v>0</v>
      </c>
      <c r="GO46" s="11">
        <f t="shared" si="70"/>
        <v>0</v>
      </c>
      <c r="GP46" s="11">
        <f t="shared" si="71"/>
        <v>0</v>
      </c>
      <c r="GQ46" s="11">
        <f t="shared" si="72"/>
        <v>0</v>
      </c>
      <c r="GR46" s="11">
        <f t="shared" si="73"/>
        <v>0</v>
      </c>
      <c r="GS46" s="11">
        <f t="shared" si="74"/>
        <v>0</v>
      </c>
      <c r="GT46" s="11">
        <f t="shared" si="75"/>
        <v>0</v>
      </c>
      <c r="GU46" s="11">
        <f t="shared" si="76"/>
        <v>0</v>
      </c>
      <c r="GV46" s="11">
        <f t="shared" si="77"/>
        <v>0</v>
      </c>
      <c r="GW46" s="11">
        <f t="shared" si="78"/>
        <v>0</v>
      </c>
      <c r="GX46" s="11">
        <f t="shared" si="79"/>
        <v>0</v>
      </c>
      <c r="GY46" s="11">
        <f t="shared" si="80"/>
        <v>0</v>
      </c>
      <c r="GZ46" s="11">
        <f t="shared" si="81"/>
        <v>0</v>
      </c>
      <c r="HA46" s="11">
        <f t="shared" si="82"/>
        <v>0</v>
      </c>
      <c r="HB46" s="11">
        <f t="shared" si="83"/>
        <v>0</v>
      </c>
      <c r="HC46" s="11">
        <f t="shared" si="84"/>
        <v>0</v>
      </c>
      <c r="HD46" s="11">
        <f t="shared" si="85"/>
        <v>0</v>
      </c>
      <c r="HE46" s="11">
        <f t="shared" si="86"/>
        <v>0</v>
      </c>
      <c r="HF46" s="11">
        <f t="shared" si="87"/>
        <v>0</v>
      </c>
      <c r="HG46" s="11">
        <f t="shared" si="88"/>
        <v>0</v>
      </c>
      <c r="HH46" s="11">
        <f t="shared" si="89"/>
        <v>0</v>
      </c>
      <c r="HI46" s="11">
        <f t="shared" si="90"/>
        <v>0</v>
      </c>
      <c r="HJ46" s="11">
        <f t="shared" si="91"/>
        <v>0</v>
      </c>
      <c r="HK46" s="11">
        <f t="shared" si="92"/>
        <v>0</v>
      </c>
      <c r="HL46" s="11">
        <f t="shared" si="93"/>
        <v>0</v>
      </c>
      <c r="HM46" s="11">
        <f t="shared" si="94"/>
        <v>0</v>
      </c>
      <c r="HN46" s="11">
        <f t="shared" si="95"/>
        <v>0</v>
      </c>
      <c r="HO46" s="11">
        <f t="shared" si="96"/>
        <v>0</v>
      </c>
      <c r="HP46" s="11">
        <f t="shared" si="97"/>
        <v>0</v>
      </c>
      <c r="HQ46" s="11">
        <f t="shared" si="98"/>
        <v>0</v>
      </c>
      <c r="HT46" s="85">
        <v>8</v>
      </c>
      <c r="HU46" s="520">
        <f>DATE(YEAR(EXPEDIENTE!$F$25)+1,HT46,1)</f>
        <v>46235</v>
      </c>
      <c r="HV46" s="520" t="str">
        <f>IF('GASTOS EJER. 2'!BF59="","",'GASTOS EJER. 2'!BF59)</f>
        <v/>
      </c>
      <c r="HW46" s="527">
        <f>'GASTOS EJER. 2'!CM27</f>
        <v>0</v>
      </c>
      <c r="HX46" s="527">
        <f>'GASTOS EJER. 2'!BA59</f>
        <v>0</v>
      </c>
      <c r="HY46" s="11">
        <f t="shared" si="234"/>
        <v>0</v>
      </c>
      <c r="HZ46" s="527">
        <f t="shared" si="210"/>
        <v>0</v>
      </c>
      <c r="JF46" s="480">
        <v>42</v>
      </c>
      <c r="JG46" s="474">
        <f t="shared" si="101"/>
        <v>16</v>
      </c>
    </row>
    <row r="47" spans="3:267" ht="15.75" thickBot="1" x14ac:dyDescent="0.35">
      <c r="C47" s="8">
        <v>41</v>
      </c>
      <c r="D47" s="12"/>
      <c r="E47" s="17"/>
      <c r="F47" s="18"/>
      <c r="G47" s="19"/>
      <c r="H47" s="19"/>
      <c r="I47" s="19"/>
      <c r="J47" s="12"/>
      <c r="K47" s="14">
        <f t="shared" si="43"/>
        <v>76</v>
      </c>
      <c r="L47" s="14">
        <f t="shared" si="44"/>
        <v>76</v>
      </c>
      <c r="M47" s="14" t="str">
        <f t="shared" si="45"/>
        <v>X</v>
      </c>
      <c r="Y47" s="547">
        <f t="shared" si="46"/>
        <v>41</v>
      </c>
      <c r="Z47" s="478" t="str">
        <f>IF(Y47="","",IF(EDATE($Z$6,Y47)&gt;EXPEDIENTE!$F$27,"",EDATE($Z$6,Y47)))</f>
        <v/>
      </c>
      <c r="AA47" s="478" t="str">
        <f t="shared" si="170"/>
        <v/>
      </c>
      <c r="AB47" s="478" t="str">
        <f>IF(AA47="","",IF(YEAR(EXPEDIENTE!$F$25)=YEAR(AA47),AA47,""))</f>
        <v/>
      </c>
      <c r="AC47" s="478" t="str">
        <f>IF(AA47="","",IF(YEAR(EXPEDIENTE!$F$25)+1=YEAR(AA47),AA47,""))</f>
        <v/>
      </c>
      <c r="AD47" s="478" t="str">
        <f>IF(AA47="","",IF(YEAR(EXPEDIENTE!$F$25)+2=YEAR(AA47),AA47,""))</f>
        <v/>
      </c>
      <c r="AE47" s="478" t="str">
        <f>IF(AA47="","",IF(YEAR(EXPEDIENTE!$F$25)+3=YEAR(AA47),AA47,""))</f>
        <v/>
      </c>
      <c r="AG47" s="585">
        <v>16</v>
      </c>
      <c r="AH47" s="541">
        <f>'GASTOS EJER. 2'!M45</f>
        <v>0</v>
      </c>
      <c r="AI47" s="541">
        <f>'GASTOS EJER. 2'!X45</f>
        <v>0</v>
      </c>
      <c r="AJ47" s="591">
        <f>'GASTOS EJER. 2'!Y45</f>
        <v>0</v>
      </c>
      <c r="AK47" s="531">
        <f t="shared" si="235"/>
        <v>0</v>
      </c>
      <c r="AM47" s="532">
        <f>'GASTOS EJER. 2'!F45+'GASTOS EJER. 2'!L45-'GASTOS EJER. 2'!X45-'GASTOS EJER. 2'!Y45</f>
        <v>0</v>
      </c>
      <c r="AN47" s="533" t="str">
        <f>IF('GASTOS EJER. 2'!AA45="","",'GASTOS EJER. 2'!AA45)</f>
        <v/>
      </c>
      <c r="AO47" s="530">
        <f>'GASTOS EJER. 2'!Y45</f>
        <v>0</v>
      </c>
      <c r="AP47" s="534" t="str">
        <f>IF('GASTOS EJER. 2'!AB45="","",'GASTOS EJER. 2'!AB45)</f>
        <v/>
      </c>
      <c r="AQ47" s="535">
        <f>IF(AND(AN47&gt;=EXPEDIENTE!$I$25,AN47&lt;=EXPEDIENTE!$I$29),AM47,0)</f>
        <v>0</v>
      </c>
      <c r="AR47" s="487">
        <f>IF(AND(AP47&gt;=EXPEDIENTE!$I$25,AP47&lt;=EXPEDIENTE!$I$29),AO47,0)</f>
        <v>0</v>
      </c>
      <c r="AS47" s="531">
        <f t="shared" si="236"/>
        <v>0</v>
      </c>
      <c r="AT47" s="536" t="str">
        <f>IF('GASTOS EJER. 2'!D45="","",'GASTOS EJER. 2'!D45)</f>
        <v/>
      </c>
      <c r="AU47" s="537" t="str">
        <f>IF('GASTOS EJER. 2'!E45="","",'GASTOS EJER. 2'!E45)</f>
        <v/>
      </c>
      <c r="AV47" s="595">
        <f t="shared" si="237"/>
        <v>0</v>
      </c>
      <c r="AW47" s="538">
        <f t="shared" si="238"/>
        <v>0</v>
      </c>
      <c r="AX47" s="20">
        <f t="shared" si="211"/>
        <v>0</v>
      </c>
      <c r="AY47" s="605">
        <f t="shared" si="239"/>
        <v>0</v>
      </c>
      <c r="AZ47" s="608">
        <f t="shared" si="240"/>
        <v>0</v>
      </c>
      <c r="BB47" s="596">
        <v>8</v>
      </c>
      <c r="BC47" s="598" t="e">
        <f t="shared" si="212"/>
        <v>#VALUE!</v>
      </c>
      <c r="BD47" s="621">
        <f t="shared" si="241"/>
        <v>0</v>
      </c>
      <c r="BE47" s="649">
        <f t="shared" si="242"/>
        <v>0</v>
      </c>
      <c r="BF47" s="649">
        <f t="shared" si="243"/>
        <v>0</v>
      </c>
      <c r="BG47" s="649">
        <f t="shared" si="244"/>
        <v>0</v>
      </c>
      <c r="BH47" s="649">
        <f t="shared" si="245"/>
        <v>0</v>
      </c>
      <c r="BI47" s="649">
        <f t="shared" si="246"/>
        <v>0</v>
      </c>
      <c r="BJ47" s="649">
        <f t="shared" si="247"/>
        <v>0</v>
      </c>
      <c r="BK47" s="650">
        <f t="shared" si="248"/>
        <v>0</v>
      </c>
      <c r="BL47" s="645">
        <f t="shared" si="213"/>
        <v>0</v>
      </c>
      <c r="BN47" s="601">
        <f t="shared" si="214"/>
        <v>0</v>
      </c>
      <c r="BO47" s="643">
        <f t="shared" si="215"/>
        <v>0</v>
      </c>
      <c r="BP47" s="643">
        <f t="shared" si="216"/>
        <v>0</v>
      </c>
      <c r="BQ47" s="643">
        <f t="shared" si="217"/>
        <v>0</v>
      </c>
      <c r="BR47" s="643">
        <f t="shared" si="218"/>
        <v>0</v>
      </c>
      <c r="BS47" s="643">
        <f t="shared" si="219"/>
        <v>0</v>
      </c>
      <c r="BT47" s="643">
        <f t="shared" si="220"/>
        <v>0</v>
      </c>
      <c r="BU47" s="644">
        <f t="shared" si="221"/>
        <v>0</v>
      </c>
      <c r="BV47" s="645">
        <f t="shared" si="249"/>
        <v>0</v>
      </c>
      <c r="BX47" s="645">
        <f t="shared" si="250"/>
        <v>0</v>
      </c>
      <c r="BZ47" s="617">
        <v>16</v>
      </c>
      <c r="CA47" s="541">
        <f>'GASTOS EJER. 2'!BN45</f>
        <v>0</v>
      </c>
      <c r="CB47" s="541">
        <f>'GASTOS EJER. 2'!CM45</f>
        <v>0</v>
      </c>
      <c r="CC47" s="591">
        <f>'GASTOS EJER. 2'!CP45</f>
        <v>0</v>
      </c>
      <c r="CD47" s="531">
        <f t="shared" si="251"/>
        <v>0</v>
      </c>
      <c r="CF47" s="532">
        <f>'GASTOS EJER. 2'!AW45+'GASTOS EJER. 2'!BM45-'GASTOS EJER. 2'!CM45-'GASTOS EJER. 2'!CP45</f>
        <v>0</v>
      </c>
      <c r="CG47" s="533" t="str">
        <f>IF('GASTOS EJER. 2'!CT45="","",'GASTOS EJER. 2'!CT45)</f>
        <v/>
      </c>
      <c r="CH47" s="530">
        <f>'GASTOS EJER. 2'!CP45</f>
        <v>0</v>
      </c>
      <c r="CI47" s="534" t="str">
        <f>IF('GASTOS EJER. 2'!CW45="","",'GASTOS EJER. 2'!CW45)</f>
        <v/>
      </c>
      <c r="CJ47" s="535">
        <f>IF(AND(CG47&gt;=EXPEDIENTE!$I$25,CG47&lt;=EXPEDIENTE!$I$29),CF47,0)</f>
        <v>0</v>
      </c>
      <c r="CK47" s="487">
        <f>IF(AND(CI47&gt;=EXPEDIENTE!$I$25,CI47&lt;=EXPEDIENTE!$I$29),CH47,0)</f>
        <v>0</v>
      </c>
      <c r="CL47" s="531">
        <f t="shared" si="252"/>
        <v>0</v>
      </c>
      <c r="CM47" s="536" t="str">
        <f>IF('GASTOS EJER. 2'!AQ45="","",'GASTOS EJER. 2'!AQ45)</f>
        <v/>
      </c>
      <c r="CN47" s="537" t="str">
        <f>IF('GASTOS EJER. 2'!AT45="","",'GASTOS EJER. 2'!AT45)</f>
        <v/>
      </c>
      <c r="CO47" s="595">
        <f t="shared" si="253"/>
        <v>0</v>
      </c>
      <c r="CP47" s="538">
        <f t="shared" si="254"/>
        <v>0</v>
      </c>
      <c r="CQ47" s="20">
        <f t="shared" si="222"/>
        <v>0</v>
      </c>
      <c r="CR47" s="605">
        <f t="shared" si="255"/>
        <v>0</v>
      </c>
      <c r="CS47" s="608">
        <f t="shared" si="256"/>
        <v>0</v>
      </c>
      <c r="CU47" s="620">
        <v>8</v>
      </c>
      <c r="CV47" s="598" t="e">
        <f t="shared" si="223"/>
        <v>#VALUE!</v>
      </c>
      <c r="CW47" s="621">
        <f t="shared" si="257"/>
        <v>0</v>
      </c>
      <c r="CX47" s="649">
        <f t="shared" si="258"/>
        <v>0</v>
      </c>
      <c r="CY47" s="649">
        <f t="shared" si="259"/>
        <v>0</v>
      </c>
      <c r="CZ47" s="649">
        <f t="shared" si="260"/>
        <v>0</v>
      </c>
      <c r="DA47" s="649">
        <f t="shared" si="261"/>
        <v>0</v>
      </c>
      <c r="DB47" s="649">
        <f t="shared" si="262"/>
        <v>0</v>
      </c>
      <c r="DC47" s="649">
        <f t="shared" si="263"/>
        <v>0</v>
      </c>
      <c r="DD47" s="650">
        <f t="shared" si="264"/>
        <v>0</v>
      </c>
      <c r="DE47" s="645">
        <f t="shared" si="224"/>
        <v>0</v>
      </c>
      <c r="DG47" s="621">
        <f t="shared" si="225"/>
        <v>0</v>
      </c>
      <c r="DH47" s="649">
        <f t="shared" si="226"/>
        <v>0</v>
      </c>
      <c r="DI47" s="649">
        <f t="shared" si="227"/>
        <v>0</v>
      </c>
      <c r="DJ47" s="649">
        <f t="shared" si="228"/>
        <v>0</v>
      </c>
      <c r="DK47" s="649">
        <f t="shared" si="265"/>
        <v>0</v>
      </c>
      <c r="DL47" s="649">
        <f t="shared" si="229"/>
        <v>0</v>
      </c>
      <c r="DM47" s="649">
        <f t="shared" si="230"/>
        <v>0</v>
      </c>
      <c r="DN47" s="650">
        <f t="shared" si="231"/>
        <v>0</v>
      </c>
      <c r="DO47" s="645">
        <f t="shared" si="232"/>
        <v>0</v>
      </c>
      <c r="DQ47" s="655">
        <f t="shared" si="266"/>
        <v>0</v>
      </c>
      <c r="DS47" s="470"/>
      <c r="EC47" s="14">
        <v>28</v>
      </c>
      <c r="ED47" s="482">
        <f t="shared" si="102"/>
        <v>46478</v>
      </c>
      <c r="EE47" s="482">
        <f t="shared" si="103"/>
        <v>46507</v>
      </c>
      <c r="EF47" s="14" t="str">
        <f>IF(AND(EE47&gt;=EXPEDIENTE!$F$25,ED47&lt;=EXPEDIENTE!$F$29),"SI","NO")</f>
        <v>SI</v>
      </c>
      <c r="EG47" s="11">
        <f t="shared" si="174"/>
        <v>0</v>
      </c>
      <c r="EH47" s="11">
        <f t="shared" si="175"/>
        <v>0</v>
      </c>
      <c r="EI47" s="11">
        <f t="shared" si="176"/>
        <v>0</v>
      </c>
      <c r="EJ47" s="11">
        <f t="shared" si="177"/>
        <v>0</v>
      </c>
      <c r="EK47" s="11">
        <f t="shared" si="178"/>
        <v>0</v>
      </c>
      <c r="EL47" s="11">
        <f t="shared" si="179"/>
        <v>0</v>
      </c>
      <c r="EM47" s="11">
        <f t="shared" si="180"/>
        <v>0</v>
      </c>
      <c r="EN47" s="11">
        <f t="shared" si="181"/>
        <v>0</v>
      </c>
      <c r="EO47" s="11">
        <f t="shared" si="182"/>
        <v>0</v>
      </c>
      <c r="EP47" s="11">
        <f t="shared" si="183"/>
        <v>0</v>
      </c>
      <c r="EQ47" s="11">
        <f t="shared" si="184"/>
        <v>0</v>
      </c>
      <c r="ER47" s="11">
        <f t="shared" si="185"/>
        <v>0</v>
      </c>
      <c r="ES47" s="11">
        <f t="shared" si="186"/>
        <v>0</v>
      </c>
      <c r="ET47" s="11">
        <f t="shared" si="187"/>
        <v>0</v>
      </c>
      <c r="EU47" s="11">
        <f t="shared" si="188"/>
        <v>0</v>
      </c>
      <c r="EV47" s="11">
        <f t="shared" si="189"/>
        <v>0</v>
      </c>
      <c r="EW47" s="11">
        <f t="shared" si="190"/>
        <v>0</v>
      </c>
      <c r="EX47" s="11">
        <f t="shared" si="191"/>
        <v>0</v>
      </c>
      <c r="EY47" s="11">
        <f t="shared" si="192"/>
        <v>0</v>
      </c>
      <c r="EZ47" s="11">
        <f t="shared" si="193"/>
        <v>0</v>
      </c>
      <c r="FA47" s="11">
        <f t="shared" si="194"/>
        <v>0</v>
      </c>
      <c r="FB47" s="11">
        <f t="shared" si="195"/>
        <v>0</v>
      </c>
      <c r="FC47" s="11">
        <f t="shared" si="196"/>
        <v>0</v>
      </c>
      <c r="FD47" s="11">
        <f t="shared" si="197"/>
        <v>0</v>
      </c>
      <c r="FE47" s="11">
        <f t="shared" si="198"/>
        <v>0</v>
      </c>
      <c r="FF47" s="11">
        <f t="shared" si="199"/>
        <v>0</v>
      </c>
      <c r="FG47" s="11">
        <f t="shared" si="200"/>
        <v>0</v>
      </c>
      <c r="FH47" s="11">
        <f t="shared" si="201"/>
        <v>0</v>
      </c>
      <c r="FI47" s="11">
        <f t="shared" si="202"/>
        <v>0</v>
      </c>
      <c r="FJ47" s="11">
        <f t="shared" si="203"/>
        <v>0</v>
      </c>
      <c r="FK47" s="11">
        <f t="shared" si="204"/>
        <v>0</v>
      </c>
      <c r="FL47" s="11">
        <f t="shared" si="205"/>
        <v>0</v>
      </c>
      <c r="FM47" s="11">
        <f t="shared" si="65"/>
        <v>0</v>
      </c>
      <c r="FO47" s="85">
        <v>9</v>
      </c>
      <c r="FP47" s="520">
        <f>DATE(YEAR(EXPEDIENTE!$F$25)+1,FO47,1)</f>
        <v>46266</v>
      </c>
      <c r="FQ47" s="520" t="str">
        <f>IF('GASTOS EJER. 2'!I60="","",'GASTOS EJER. 2'!I60)</f>
        <v/>
      </c>
      <c r="FR47" s="527">
        <f>'GASTOS EJER. 2'!X28</f>
        <v>0</v>
      </c>
      <c r="FS47" s="527">
        <f>'GASTOS EJER. 2'!H60</f>
        <v>0</v>
      </c>
      <c r="FT47" s="11">
        <f t="shared" si="233"/>
        <v>0</v>
      </c>
      <c r="FU47" s="527">
        <f t="shared" si="206"/>
        <v>0</v>
      </c>
      <c r="FW47" s="470"/>
      <c r="GG47" s="14">
        <v>28</v>
      </c>
      <c r="GH47" s="482">
        <f t="shared" si="104"/>
        <v>46478</v>
      </c>
      <c r="GI47" s="482">
        <f t="shared" si="105"/>
        <v>46507</v>
      </c>
      <c r="GJ47" s="14" t="str">
        <f>IF(AND(GI47&gt;=EXPEDIENTE!$F$25,GH47&lt;=EXPEDIENTE!$F$29),"SI","NO")</f>
        <v>SI</v>
      </c>
      <c r="GK47" s="11">
        <f t="shared" si="66"/>
        <v>0</v>
      </c>
      <c r="GL47" s="11">
        <f t="shared" si="67"/>
        <v>0</v>
      </c>
      <c r="GM47" s="11">
        <f t="shared" si="68"/>
        <v>0</v>
      </c>
      <c r="GN47" s="11">
        <f t="shared" si="69"/>
        <v>0</v>
      </c>
      <c r="GO47" s="11">
        <f t="shared" si="70"/>
        <v>0</v>
      </c>
      <c r="GP47" s="11">
        <f t="shared" si="71"/>
        <v>0</v>
      </c>
      <c r="GQ47" s="11">
        <f t="shared" si="72"/>
        <v>0</v>
      </c>
      <c r="GR47" s="11">
        <f t="shared" si="73"/>
        <v>0</v>
      </c>
      <c r="GS47" s="11">
        <f t="shared" si="74"/>
        <v>0</v>
      </c>
      <c r="GT47" s="11">
        <f t="shared" si="75"/>
        <v>0</v>
      </c>
      <c r="GU47" s="11">
        <f t="shared" si="76"/>
        <v>0</v>
      </c>
      <c r="GV47" s="11">
        <f t="shared" si="77"/>
        <v>0</v>
      </c>
      <c r="GW47" s="11">
        <f t="shared" si="78"/>
        <v>0</v>
      </c>
      <c r="GX47" s="11">
        <f t="shared" si="79"/>
        <v>0</v>
      </c>
      <c r="GY47" s="11">
        <f t="shared" si="80"/>
        <v>0</v>
      </c>
      <c r="GZ47" s="11">
        <f t="shared" si="81"/>
        <v>0</v>
      </c>
      <c r="HA47" s="11">
        <f t="shared" si="82"/>
        <v>0</v>
      </c>
      <c r="HB47" s="11">
        <f t="shared" si="83"/>
        <v>0</v>
      </c>
      <c r="HC47" s="11">
        <f t="shared" si="84"/>
        <v>0</v>
      </c>
      <c r="HD47" s="11">
        <f t="shared" si="85"/>
        <v>0</v>
      </c>
      <c r="HE47" s="11">
        <f t="shared" si="86"/>
        <v>0</v>
      </c>
      <c r="HF47" s="11">
        <f t="shared" si="87"/>
        <v>0</v>
      </c>
      <c r="HG47" s="11">
        <f t="shared" si="88"/>
        <v>0</v>
      </c>
      <c r="HH47" s="11">
        <f t="shared" si="89"/>
        <v>0</v>
      </c>
      <c r="HI47" s="11">
        <f t="shared" si="90"/>
        <v>0</v>
      </c>
      <c r="HJ47" s="11">
        <f t="shared" si="91"/>
        <v>0</v>
      </c>
      <c r="HK47" s="11">
        <f t="shared" si="92"/>
        <v>0</v>
      </c>
      <c r="HL47" s="11">
        <f t="shared" si="93"/>
        <v>0</v>
      </c>
      <c r="HM47" s="11">
        <f t="shared" si="94"/>
        <v>0</v>
      </c>
      <c r="HN47" s="11">
        <f t="shared" si="95"/>
        <v>0</v>
      </c>
      <c r="HO47" s="11">
        <f t="shared" si="96"/>
        <v>0</v>
      </c>
      <c r="HP47" s="11">
        <f t="shared" si="97"/>
        <v>0</v>
      </c>
      <c r="HQ47" s="11">
        <f t="shared" si="98"/>
        <v>0</v>
      </c>
      <c r="HT47" s="85">
        <v>9</v>
      </c>
      <c r="HU47" s="520">
        <f>DATE(YEAR(EXPEDIENTE!$F$25)+1,HT47,1)</f>
        <v>46266</v>
      </c>
      <c r="HV47" s="520" t="str">
        <f>IF('GASTOS EJER. 2'!BF60="","",'GASTOS EJER. 2'!BF60)</f>
        <v/>
      </c>
      <c r="HW47" s="527">
        <f>'GASTOS EJER. 2'!CM28</f>
        <v>0</v>
      </c>
      <c r="HX47" s="527">
        <f>'GASTOS EJER. 2'!BA60</f>
        <v>0</v>
      </c>
      <c r="HY47" s="11">
        <f t="shared" si="234"/>
        <v>0</v>
      </c>
      <c r="HZ47" s="527">
        <f t="shared" si="210"/>
        <v>0</v>
      </c>
      <c r="JF47" s="480">
        <v>43</v>
      </c>
      <c r="JG47" s="474">
        <f t="shared" si="101"/>
        <v>16</v>
      </c>
    </row>
    <row r="48" spans="3:267" x14ac:dyDescent="0.3">
      <c r="C48" s="8">
        <v>42</v>
      </c>
      <c r="D48" s="12"/>
      <c r="E48" s="17"/>
      <c r="F48" s="18"/>
      <c r="G48" s="19"/>
      <c r="H48" s="19"/>
      <c r="I48" s="19"/>
      <c r="J48" s="12"/>
      <c r="K48" s="14">
        <f t="shared" si="43"/>
        <v>76</v>
      </c>
      <c r="L48" s="14">
        <f t="shared" si="44"/>
        <v>76</v>
      </c>
      <c r="M48" s="14" t="str">
        <f t="shared" si="45"/>
        <v>X</v>
      </c>
      <c r="Y48" s="547">
        <f t="shared" si="46"/>
        <v>42</v>
      </c>
      <c r="Z48" s="478" t="str">
        <f>IF(Y48="","",IF(EDATE($Z$6,Y48)&gt;EXPEDIENTE!$F$27,"",EDATE($Z$6,Y48)))</f>
        <v/>
      </c>
      <c r="AA48" s="478" t="str">
        <f t="shared" si="170"/>
        <v/>
      </c>
      <c r="AB48" s="478" t="str">
        <f>IF(AA48="","",IF(YEAR(EXPEDIENTE!$F$25)=YEAR(AA48),AA48,""))</f>
        <v/>
      </c>
      <c r="AC48" s="478" t="str">
        <f>IF(AA48="","",IF(YEAR(EXPEDIENTE!$F$25)+1=YEAR(AA48),AA48,""))</f>
        <v/>
      </c>
      <c r="AD48" s="478" t="str">
        <f>IF(AA48="","",IF(YEAR(EXPEDIENTE!$F$25)+2=YEAR(AA48),AA48,""))</f>
        <v/>
      </c>
      <c r="AE48" s="478" t="str">
        <f>IF(AA48="","",IF(YEAR(EXPEDIENTE!$F$25)+3=YEAR(AA48),AA48,""))</f>
        <v/>
      </c>
      <c r="AG48" s="471"/>
      <c r="AH48" s="470"/>
      <c r="AI48" s="470"/>
      <c r="AJ48" s="470"/>
      <c r="AK48" s="470"/>
      <c r="AL48" s="470"/>
      <c r="AM48" s="470"/>
      <c r="AN48" s="470"/>
      <c r="AO48" s="470"/>
      <c r="AP48" s="470"/>
      <c r="AQ48" s="470"/>
      <c r="AR48" s="470"/>
      <c r="AS48" s="470"/>
      <c r="AT48" s="470"/>
      <c r="AU48" s="470"/>
      <c r="AV48" s="470"/>
      <c r="AW48" s="470"/>
      <c r="AX48" s="470"/>
      <c r="AY48" s="470"/>
      <c r="AZ48" s="470"/>
      <c r="BB48" s="596">
        <v>9</v>
      </c>
      <c r="BC48" s="598" t="e">
        <f t="shared" si="212"/>
        <v>#VALUE!</v>
      </c>
      <c r="BD48" s="621">
        <f t="shared" si="241"/>
        <v>0</v>
      </c>
      <c r="BE48" s="649">
        <f t="shared" si="242"/>
        <v>0</v>
      </c>
      <c r="BF48" s="649">
        <f t="shared" si="243"/>
        <v>0</v>
      </c>
      <c r="BG48" s="649">
        <f t="shared" si="244"/>
        <v>0</v>
      </c>
      <c r="BH48" s="649">
        <f t="shared" si="245"/>
        <v>0</v>
      </c>
      <c r="BI48" s="649">
        <f t="shared" si="246"/>
        <v>0</v>
      </c>
      <c r="BJ48" s="649">
        <f t="shared" si="247"/>
        <v>0</v>
      </c>
      <c r="BK48" s="650">
        <f t="shared" si="248"/>
        <v>0</v>
      </c>
      <c r="BL48" s="645">
        <f t="shared" si="213"/>
        <v>0</v>
      </c>
      <c r="BN48" s="601">
        <f t="shared" si="214"/>
        <v>0</v>
      </c>
      <c r="BO48" s="643">
        <f t="shared" si="215"/>
        <v>0</v>
      </c>
      <c r="BP48" s="643">
        <f t="shared" si="216"/>
        <v>0</v>
      </c>
      <c r="BQ48" s="643">
        <f t="shared" si="217"/>
        <v>0</v>
      </c>
      <c r="BR48" s="643">
        <f t="shared" si="218"/>
        <v>0</v>
      </c>
      <c r="BS48" s="643">
        <f t="shared" si="219"/>
        <v>0</v>
      </c>
      <c r="BT48" s="643">
        <f t="shared" si="220"/>
        <v>0</v>
      </c>
      <c r="BU48" s="644">
        <f t="shared" si="221"/>
        <v>0</v>
      </c>
      <c r="BV48" s="645">
        <f t="shared" si="249"/>
        <v>0</v>
      </c>
      <c r="BX48" s="645">
        <f t="shared" si="250"/>
        <v>0</v>
      </c>
      <c r="BZ48" s="471"/>
      <c r="CA48" s="470"/>
      <c r="CB48" s="470"/>
      <c r="CC48" s="470"/>
      <c r="CD48" s="470"/>
      <c r="CE48" s="470"/>
      <c r="CF48" s="470"/>
      <c r="CG48" s="470"/>
      <c r="CH48" s="470"/>
      <c r="CI48" s="470"/>
      <c r="CJ48" s="470"/>
      <c r="CK48" s="470"/>
      <c r="CL48" s="470"/>
      <c r="CM48" s="470"/>
      <c r="CN48" s="470"/>
      <c r="CO48" s="470"/>
      <c r="CP48" s="470"/>
      <c r="CQ48" s="470"/>
      <c r="CR48" s="470"/>
      <c r="CS48" s="470"/>
      <c r="CU48" s="620">
        <v>9</v>
      </c>
      <c r="CV48" s="598" t="e">
        <f t="shared" si="223"/>
        <v>#VALUE!</v>
      </c>
      <c r="CW48" s="621">
        <f t="shared" si="257"/>
        <v>0</v>
      </c>
      <c r="CX48" s="649">
        <f t="shared" si="258"/>
        <v>0</v>
      </c>
      <c r="CY48" s="649">
        <f t="shared" si="259"/>
        <v>0</v>
      </c>
      <c r="CZ48" s="649">
        <f t="shared" si="260"/>
        <v>0</v>
      </c>
      <c r="DA48" s="649">
        <f t="shared" si="261"/>
        <v>0</v>
      </c>
      <c r="DB48" s="649">
        <f t="shared" si="262"/>
        <v>0</v>
      </c>
      <c r="DC48" s="649">
        <f t="shared" si="263"/>
        <v>0</v>
      </c>
      <c r="DD48" s="650">
        <f t="shared" si="264"/>
        <v>0</v>
      </c>
      <c r="DE48" s="645">
        <f t="shared" si="224"/>
        <v>0</v>
      </c>
      <c r="DG48" s="621">
        <f t="shared" si="225"/>
        <v>0</v>
      </c>
      <c r="DH48" s="649">
        <f t="shared" si="226"/>
        <v>0</v>
      </c>
      <c r="DI48" s="649">
        <f t="shared" si="227"/>
        <v>0</v>
      </c>
      <c r="DJ48" s="649">
        <f t="shared" si="228"/>
        <v>0</v>
      </c>
      <c r="DK48" s="649">
        <f t="shared" si="265"/>
        <v>0</v>
      </c>
      <c r="DL48" s="649">
        <f t="shared" si="229"/>
        <v>0</v>
      </c>
      <c r="DM48" s="649">
        <f t="shared" si="230"/>
        <v>0</v>
      </c>
      <c r="DN48" s="650">
        <f t="shared" si="231"/>
        <v>0</v>
      </c>
      <c r="DO48" s="645">
        <f t="shared" si="232"/>
        <v>0</v>
      </c>
      <c r="DQ48" s="655">
        <f t="shared" si="266"/>
        <v>0</v>
      </c>
      <c r="DS48" s="470"/>
      <c r="EC48" s="14">
        <v>29</v>
      </c>
      <c r="ED48" s="482">
        <f t="shared" si="102"/>
        <v>46508</v>
      </c>
      <c r="EE48" s="482">
        <f t="shared" si="103"/>
        <v>46538</v>
      </c>
      <c r="EF48" s="14" t="str">
        <f>IF(AND(EE48&gt;=EXPEDIENTE!$F$25,ED48&lt;=EXPEDIENTE!$F$29),"SI","NO")</f>
        <v>SI</v>
      </c>
      <c r="EG48" s="11">
        <f t="shared" si="174"/>
        <v>0</v>
      </c>
      <c r="EH48" s="11">
        <f t="shared" si="175"/>
        <v>0</v>
      </c>
      <c r="EI48" s="11">
        <f t="shared" si="176"/>
        <v>0</v>
      </c>
      <c r="EJ48" s="11">
        <f t="shared" si="177"/>
        <v>0</v>
      </c>
      <c r="EK48" s="11">
        <f t="shared" si="178"/>
        <v>0</v>
      </c>
      <c r="EL48" s="11">
        <f t="shared" si="179"/>
        <v>0</v>
      </c>
      <c r="EM48" s="11">
        <f t="shared" si="180"/>
        <v>0</v>
      </c>
      <c r="EN48" s="11">
        <f t="shared" si="181"/>
        <v>0</v>
      </c>
      <c r="EO48" s="11">
        <f t="shared" si="182"/>
        <v>0</v>
      </c>
      <c r="EP48" s="11">
        <f t="shared" si="183"/>
        <v>0</v>
      </c>
      <c r="EQ48" s="11">
        <f t="shared" si="184"/>
        <v>0</v>
      </c>
      <c r="ER48" s="11">
        <f t="shared" si="185"/>
        <v>0</v>
      </c>
      <c r="ES48" s="11">
        <f t="shared" si="186"/>
        <v>0</v>
      </c>
      <c r="ET48" s="11">
        <f t="shared" si="187"/>
        <v>0</v>
      </c>
      <c r="EU48" s="11">
        <f t="shared" si="188"/>
        <v>0</v>
      </c>
      <c r="EV48" s="11">
        <f t="shared" si="189"/>
        <v>0</v>
      </c>
      <c r="EW48" s="11">
        <f t="shared" si="190"/>
        <v>0</v>
      </c>
      <c r="EX48" s="11">
        <f t="shared" si="191"/>
        <v>0</v>
      </c>
      <c r="EY48" s="11">
        <f t="shared" si="192"/>
        <v>0</v>
      </c>
      <c r="EZ48" s="11">
        <f t="shared" si="193"/>
        <v>0</v>
      </c>
      <c r="FA48" s="11">
        <f t="shared" si="194"/>
        <v>0</v>
      </c>
      <c r="FB48" s="11">
        <f t="shared" si="195"/>
        <v>0</v>
      </c>
      <c r="FC48" s="11">
        <f t="shared" si="196"/>
        <v>0</v>
      </c>
      <c r="FD48" s="11">
        <f t="shared" si="197"/>
        <v>0</v>
      </c>
      <c r="FE48" s="11">
        <f t="shared" si="198"/>
        <v>0</v>
      </c>
      <c r="FF48" s="11">
        <f t="shared" si="199"/>
        <v>0</v>
      </c>
      <c r="FG48" s="11">
        <f t="shared" si="200"/>
        <v>0</v>
      </c>
      <c r="FH48" s="11">
        <f t="shared" si="201"/>
        <v>0</v>
      </c>
      <c r="FI48" s="11">
        <f t="shared" si="202"/>
        <v>0</v>
      </c>
      <c r="FJ48" s="11">
        <f t="shared" si="203"/>
        <v>0</v>
      </c>
      <c r="FK48" s="11">
        <f t="shared" si="204"/>
        <v>0</v>
      </c>
      <c r="FL48" s="11">
        <f t="shared" si="205"/>
        <v>0</v>
      </c>
      <c r="FM48" s="11">
        <f t="shared" si="65"/>
        <v>0</v>
      </c>
      <c r="FO48" s="85">
        <v>10</v>
      </c>
      <c r="FP48" s="520">
        <f>DATE(YEAR(EXPEDIENTE!$F$25)+1,FO48,1)</f>
        <v>46296</v>
      </c>
      <c r="FQ48" s="520" t="str">
        <f>IF('GASTOS EJER. 2'!I61="","",'GASTOS EJER. 2'!I61)</f>
        <v/>
      </c>
      <c r="FR48" s="527">
        <f>'GASTOS EJER. 2'!X29</f>
        <v>0</v>
      </c>
      <c r="FS48" s="527">
        <f>'GASTOS EJER. 2'!H61</f>
        <v>0</v>
      </c>
      <c r="FT48" s="11">
        <f t="shared" si="233"/>
        <v>0</v>
      </c>
      <c r="FU48" s="527">
        <f t="shared" si="206"/>
        <v>0</v>
      </c>
      <c r="FW48" s="470"/>
      <c r="GG48" s="14">
        <v>29</v>
      </c>
      <c r="GH48" s="482">
        <f t="shared" si="104"/>
        <v>46508</v>
      </c>
      <c r="GI48" s="482">
        <f t="shared" si="105"/>
        <v>46538</v>
      </c>
      <c r="GJ48" s="14" t="str">
        <f>IF(AND(GI48&gt;=EXPEDIENTE!$F$25,GH48&lt;=EXPEDIENTE!$F$29),"SI","NO")</f>
        <v>SI</v>
      </c>
      <c r="GK48" s="11">
        <f t="shared" si="66"/>
        <v>0</v>
      </c>
      <c r="GL48" s="11">
        <f t="shared" si="67"/>
        <v>0</v>
      </c>
      <c r="GM48" s="11">
        <f t="shared" si="68"/>
        <v>0</v>
      </c>
      <c r="GN48" s="11">
        <f t="shared" si="69"/>
        <v>0</v>
      </c>
      <c r="GO48" s="11">
        <f t="shared" si="70"/>
        <v>0</v>
      </c>
      <c r="GP48" s="11">
        <f t="shared" si="71"/>
        <v>0</v>
      </c>
      <c r="GQ48" s="11">
        <f t="shared" si="72"/>
        <v>0</v>
      </c>
      <c r="GR48" s="11">
        <f t="shared" si="73"/>
        <v>0</v>
      </c>
      <c r="GS48" s="11">
        <f t="shared" si="74"/>
        <v>0</v>
      </c>
      <c r="GT48" s="11">
        <f t="shared" si="75"/>
        <v>0</v>
      </c>
      <c r="GU48" s="11">
        <f t="shared" si="76"/>
        <v>0</v>
      </c>
      <c r="GV48" s="11">
        <f t="shared" si="77"/>
        <v>0</v>
      </c>
      <c r="GW48" s="11">
        <f t="shared" si="78"/>
        <v>0</v>
      </c>
      <c r="GX48" s="11">
        <f t="shared" si="79"/>
        <v>0</v>
      </c>
      <c r="GY48" s="11">
        <f t="shared" si="80"/>
        <v>0</v>
      </c>
      <c r="GZ48" s="11">
        <f t="shared" si="81"/>
        <v>0</v>
      </c>
      <c r="HA48" s="11">
        <f t="shared" si="82"/>
        <v>0</v>
      </c>
      <c r="HB48" s="11">
        <f t="shared" si="83"/>
        <v>0</v>
      </c>
      <c r="HC48" s="11">
        <f t="shared" si="84"/>
        <v>0</v>
      </c>
      <c r="HD48" s="11">
        <f t="shared" si="85"/>
        <v>0</v>
      </c>
      <c r="HE48" s="11">
        <f t="shared" si="86"/>
        <v>0</v>
      </c>
      <c r="HF48" s="11">
        <f t="shared" si="87"/>
        <v>0</v>
      </c>
      <c r="HG48" s="11">
        <f t="shared" si="88"/>
        <v>0</v>
      </c>
      <c r="HH48" s="11">
        <f t="shared" si="89"/>
        <v>0</v>
      </c>
      <c r="HI48" s="11">
        <f t="shared" si="90"/>
        <v>0</v>
      </c>
      <c r="HJ48" s="11">
        <f t="shared" si="91"/>
        <v>0</v>
      </c>
      <c r="HK48" s="11">
        <f t="shared" si="92"/>
        <v>0</v>
      </c>
      <c r="HL48" s="11">
        <f t="shared" si="93"/>
        <v>0</v>
      </c>
      <c r="HM48" s="11">
        <f t="shared" si="94"/>
        <v>0</v>
      </c>
      <c r="HN48" s="11">
        <f t="shared" si="95"/>
        <v>0</v>
      </c>
      <c r="HO48" s="11">
        <f t="shared" si="96"/>
        <v>0</v>
      </c>
      <c r="HP48" s="11">
        <f t="shared" si="97"/>
        <v>0</v>
      </c>
      <c r="HQ48" s="11">
        <f t="shared" si="98"/>
        <v>0</v>
      </c>
      <c r="HT48" s="85">
        <v>10</v>
      </c>
      <c r="HU48" s="520">
        <f>DATE(YEAR(EXPEDIENTE!$F$25)+1,HT48,1)</f>
        <v>46296</v>
      </c>
      <c r="HV48" s="520" t="str">
        <f>IF('GASTOS EJER. 2'!BF61="","",'GASTOS EJER. 2'!BF61)</f>
        <v/>
      </c>
      <c r="HW48" s="527">
        <f>'GASTOS EJER. 2'!CM29</f>
        <v>0</v>
      </c>
      <c r="HX48" s="527">
        <f>'GASTOS EJER. 2'!BA61</f>
        <v>0</v>
      </c>
      <c r="HY48" s="11">
        <f t="shared" si="234"/>
        <v>0</v>
      </c>
      <c r="HZ48" s="527">
        <f t="shared" si="210"/>
        <v>0</v>
      </c>
      <c r="JF48" s="480">
        <v>44</v>
      </c>
      <c r="JG48" s="474">
        <f t="shared" si="101"/>
        <v>16</v>
      </c>
    </row>
    <row r="49" spans="3:267" x14ac:dyDescent="0.3">
      <c r="C49" s="8">
        <v>43</v>
      </c>
      <c r="D49" s="12"/>
      <c r="E49" s="17"/>
      <c r="F49" s="18"/>
      <c r="G49" s="19"/>
      <c r="H49" s="19"/>
      <c r="I49" s="19"/>
      <c r="J49" s="12"/>
      <c r="K49" s="14">
        <f t="shared" si="43"/>
        <v>76</v>
      </c>
      <c r="L49" s="14">
        <f t="shared" si="44"/>
        <v>76</v>
      </c>
      <c r="M49" s="14" t="str">
        <f t="shared" si="45"/>
        <v>X</v>
      </c>
      <c r="Y49" s="547">
        <f t="shared" si="46"/>
        <v>43</v>
      </c>
      <c r="Z49" s="478" t="str">
        <f>IF(Y49="","",IF(EDATE($Z$6,Y49)&gt;EXPEDIENTE!$F$27,"",EDATE($Z$6,Y49)))</f>
        <v/>
      </c>
      <c r="AA49" s="478" t="str">
        <f t="shared" si="170"/>
        <v/>
      </c>
      <c r="AB49" s="478" t="str">
        <f>IF(AA49="","",IF(YEAR(EXPEDIENTE!$F$25)=YEAR(AA49),AA49,""))</f>
        <v/>
      </c>
      <c r="AC49" s="478" t="str">
        <f>IF(AA49="","",IF(YEAR(EXPEDIENTE!$F$25)+1=YEAR(AA49),AA49,""))</f>
        <v/>
      </c>
      <c r="AD49" s="478" t="str">
        <f>IF(AA49="","",IF(YEAR(EXPEDIENTE!$F$25)+2=YEAR(AA49),AA49,""))</f>
        <v/>
      </c>
      <c r="AE49" s="478" t="str">
        <f>IF(AA49="","",IF(YEAR(EXPEDIENTE!$F$25)+3=YEAR(AA49),AA49,""))</f>
        <v/>
      </c>
      <c r="AG49" s="471"/>
      <c r="AH49" s="470"/>
      <c r="AI49" s="470"/>
      <c r="AJ49" s="470"/>
      <c r="AK49" s="470"/>
      <c r="AL49" s="470"/>
      <c r="AM49" s="470"/>
      <c r="AN49" s="470"/>
      <c r="AO49" s="470"/>
      <c r="AP49" s="470"/>
      <c r="AQ49" s="470"/>
      <c r="AR49" s="470"/>
      <c r="AS49" s="470"/>
      <c r="AT49" s="470"/>
      <c r="AU49" s="470"/>
      <c r="AV49" s="470"/>
      <c r="AW49" s="470"/>
      <c r="AX49" s="470"/>
      <c r="AY49" s="470"/>
      <c r="AZ49" s="470"/>
      <c r="BB49" s="596">
        <v>10</v>
      </c>
      <c r="BC49" s="598" t="e">
        <f t="shared" si="212"/>
        <v>#VALUE!</v>
      </c>
      <c r="BD49" s="621">
        <f t="shared" si="241"/>
        <v>0</v>
      </c>
      <c r="BE49" s="649">
        <f t="shared" si="242"/>
        <v>0</v>
      </c>
      <c r="BF49" s="649">
        <f t="shared" si="243"/>
        <v>0</v>
      </c>
      <c r="BG49" s="649">
        <f t="shared" si="244"/>
        <v>0</v>
      </c>
      <c r="BH49" s="649">
        <f t="shared" si="245"/>
        <v>0</v>
      </c>
      <c r="BI49" s="649">
        <f t="shared" si="246"/>
        <v>0</v>
      </c>
      <c r="BJ49" s="649">
        <f t="shared" si="247"/>
        <v>0</v>
      </c>
      <c r="BK49" s="650">
        <f t="shared" si="248"/>
        <v>0</v>
      </c>
      <c r="BL49" s="645">
        <f t="shared" si="213"/>
        <v>0</v>
      </c>
      <c r="BN49" s="601">
        <f t="shared" si="214"/>
        <v>0</v>
      </c>
      <c r="BO49" s="643">
        <f t="shared" si="215"/>
        <v>0</v>
      </c>
      <c r="BP49" s="643">
        <f t="shared" si="216"/>
        <v>0</v>
      </c>
      <c r="BQ49" s="643">
        <f t="shared" si="217"/>
        <v>0</v>
      </c>
      <c r="BR49" s="643">
        <f t="shared" si="218"/>
        <v>0</v>
      </c>
      <c r="BS49" s="643">
        <f t="shared" si="219"/>
        <v>0</v>
      </c>
      <c r="BT49" s="643">
        <f t="shared" si="220"/>
        <v>0</v>
      </c>
      <c r="BU49" s="644">
        <f t="shared" si="221"/>
        <v>0</v>
      </c>
      <c r="BV49" s="645">
        <f t="shared" si="249"/>
        <v>0</v>
      </c>
      <c r="BX49" s="645">
        <f t="shared" si="250"/>
        <v>0</v>
      </c>
      <c r="BZ49" s="471"/>
      <c r="CA49" s="470"/>
      <c r="CB49" s="470"/>
      <c r="CC49" s="470"/>
      <c r="CD49" s="470"/>
      <c r="CE49" s="470"/>
      <c r="CF49" s="470"/>
      <c r="CG49" s="470"/>
      <c r="CH49" s="470"/>
      <c r="CI49" s="470"/>
      <c r="CJ49" s="470"/>
      <c r="CK49" s="470"/>
      <c r="CL49" s="470"/>
      <c r="CM49" s="470"/>
      <c r="CN49" s="470"/>
      <c r="CO49" s="470"/>
      <c r="CP49" s="470"/>
      <c r="CQ49" s="470"/>
      <c r="CR49" s="470"/>
      <c r="CS49" s="470"/>
      <c r="CU49" s="620">
        <v>10</v>
      </c>
      <c r="CV49" s="598" t="e">
        <f t="shared" si="223"/>
        <v>#VALUE!</v>
      </c>
      <c r="CW49" s="621">
        <f t="shared" si="257"/>
        <v>0</v>
      </c>
      <c r="CX49" s="649">
        <f t="shared" si="258"/>
        <v>0</v>
      </c>
      <c r="CY49" s="649">
        <f t="shared" si="259"/>
        <v>0</v>
      </c>
      <c r="CZ49" s="649">
        <f t="shared" si="260"/>
        <v>0</v>
      </c>
      <c r="DA49" s="649">
        <f t="shared" si="261"/>
        <v>0</v>
      </c>
      <c r="DB49" s="649">
        <f t="shared" si="262"/>
        <v>0</v>
      </c>
      <c r="DC49" s="649">
        <f t="shared" si="263"/>
        <v>0</v>
      </c>
      <c r="DD49" s="650">
        <f t="shared" si="264"/>
        <v>0</v>
      </c>
      <c r="DE49" s="645">
        <f t="shared" si="224"/>
        <v>0</v>
      </c>
      <c r="DG49" s="621">
        <f t="shared" si="225"/>
        <v>0</v>
      </c>
      <c r="DH49" s="649">
        <f t="shared" si="226"/>
        <v>0</v>
      </c>
      <c r="DI49" s="649">
        <f t="shared" si="227"/>
        <v>0</v>
      </c>
      <c r="DJ49" s="649">
        <f t="shared" si="228"/>
        <v>0</v>
      </c>
      <c r="DK49" s="649">
        <f t="shared" si="265"/>
        <v>0</v>
      </c>
      <c r="DL49" s="649">
        <f t="shared" si="229"/>
        <v>0</v>
      </c>
      <c r="DM49" s="649">
        <f t="shared" si="230"/>
        <v>0</v>
      </c>
      <c r="DN49" s="650">
        <f t="shared" si="231"/>
        <v>0</v>
      </c>
      <c r="DO49" s="645">
        <f>SUM(DG49:DN49)</f>
        <v>0</v>
      </c>
      <c r="DQ49" s="655">
        <f t="shared" si="266"/>
        <v>0</v>
      </c>
      <c r="DS49" s="470"/>
      <c r="EC49" s="14">
        <v>30</v>
      </c>
      <c r="ED49" s="482">
        <f t="shared" si="102"/>
        <v>46539</v>
      </c>
      <c r="EE49" s="482">
        <f t="shared" si="103"/>
        <v>46568</v>
      </c>
      <c r="EF49" s="14" t="str">
        <f>IF(AND(EE49&gt;=EXPEDIENTE!$F$25,ED49&lt;=EXPEDIENTE!$F$29),"SI","NO")</f>
        <v>SI</v>
      </c>
      <c r="EG49" s="11">
        <f t="shared" si="174"/>
        <v>0</v>
      </c>
      <c r="EH49" s="11">
        <f t="shared" si="175"/>
        <v>0</v>
      </c>
      <c r="EI49" s="11">
        <f t="shared" si="176"/>
        <v>0</v>
      </c>
      <c r="EJ49" s="11">
        <f t="shared" si="177"/>
        <v>0</v>
      </c>
      <c r="EK49" s="11">
        <f t="shared" si="178"/>
        <v>0</v>
      </c>
      <c r="EL49" s="11">
        <f t="shared" si="179"/>
        <v>0</v>
      </c>
      <c r="EM49" s="11">
        <f t="shared" si="180"/>
        <v>0</v>
      </c>
      <c r="EN49" s="11">
        <f t="shared" si="181"/>
        <v>0</v>
      </c>
      <c r="EO49" s="11">
        <f t="shared" si="182"/>
        <v>0</v>
      </c>
      <c r="EP49" s="11">
        <f t="shared" si="183"/>
        <v>0</v>
      </c>
      <c r="EQ49" s="11">
        <f t="shared" si="184"/>
        <v>0</v>
      </c>
      <c r="ER49" s="11">
        <f t="shared" si="185"/>
        <v>0</v>
      </c>
      <c r="ES49" s="11">
        <f t="shared" si="186"/>
        <v>0</v>
      </c>
      <c r="ET49" s="11">
        <f t="shared" si="187"/>
        <v>0</v>
      </c>
      <c r="EU49" s="11">
        <f t="shared" si="188"/>
        <v>0</v>
      </c>
      <c r="EV49" s="11">
        <f t="shared" si="189"/>
        <v>0</v>
      </c>
      <c r="EW49" s="11">
        <f t="shared" si="190"/>
        <v>0</v>
      </c>
      <c r="EX49" s="11">
        <f t="shared" si="191"/>
        <v>0</v>
      </c>
      <c r="EY49" s="11">
        <f t="shared" si="192"/>
        <v>0</v>
      </c>
      <c r="EZ49" s="11">
        <f t="shared" si="193"/>
        <v>0</v>
      </c>
      <c r="FA49" s="11">
        <f t="shared" si="194"/>
        <v>0</v>
      </c>
      <c r="FB49" s="11">
        <f t="shared" si="195"/>
        <v>0</v>
      </c>
      <c r="FC49" s="11">
        <f t="shared" si="196"/>
        <v>0</v>
      </c>
      <c r="FD49" s="11">
        <f t="shared" si="197"/>
        <v>0</v>
      </c>
      <c r="FE49" s="11">
        <f t="shared" si="198"/>
        <v>0</v>
      </c>
      <c r="FF49" s="11">
        <f t="shared" si="199"/>
        <v>0</v>
      </c>
      <c r="FG49" s="11">
        <f t="shared" si="200"/>
        <v>0</v>
      </c>
      <c r="FH49" s="11">
        <f t="shared" si="201"/>
        <v>0</v>
      </c>
      <c r="FI49" s="11">
        <f t="shared" si="202"/>
        <v>0</v>
      </c>
      <c r="FJ49" s="11">
        <f t="shared" si="203"/>
        <v>0</v>
      </c>
      <c r="FK49" s="11">
        <f t="shared" si="204"/>
        <v>0</v>
      </c>
      <c r="FL49" s="11">
        <f t="shared" si="205"/>
        <v>0</v>
      </c>
      <c r="FM49" s="11">
        <f t="shared" si="65"/>
        <v>0</v>
      </c>
      <c r="FO49" s="85">
        <v>11</v>
      </c>
      <c r="FP49" s="520">
        <f>DATE(YEAR(EXPEDIENTE!$F$25)+1,FO49,1)</f>
        <v>46327</v>
      </c>
      <c r="FQ49" s="520" t="str">
        <f>IF('GASTOS EJER. 2'!I62="","",'GASTOS EJER. 2'!I62)</f>
        <v/>
      </c>
      <c r="FR49" s="527">
        <f>'GASTOS EJER. 2'!X30</f>
        <v>0</v>
      </c>
      <c r="FS49" s="527">
        <f>'GASTOS EJER. 2'!H62</f>
        <v>0</v>
      </c>
      <c r="FT49" s="11">
        <f t="shared" si="233"/>
        <v>0</v>
      </c>
      <c r="FU49" s="527">
        <f t="shared" si="206"/>
        <v>0</v>
      </c>
      <c r="FW49" s="470"/>
      <c r="GG49" s="14">
        <v>30</v>
      </c>
      <c r="GH49" s="482">
        <f t="shared" si="104"/>
        <v>46539</v>
      </c>
      <c r="GI49" s="482">
        <f t="shared" si="105"/>
        <v>46568</v>
      </c>
      <c r="GJ49" s="14" t="str">
        <f>IF(AND(GI49&gt;=EXPEDIENTE!$F$25,GH49&lt;=EXPEDIENTE!$F$29),"SI","NO")</f>
        <v>SI</v>
      </c>
      <c r="GK49" s="11">
        <f t="shared" si="66"/>
        <v>0</v>
      </c>
      <c r="GL49" s="11">
        <f t="shared" si="67"/>
        <v>0</v>
      </c>
      <c r="GM49" s="11">
        <f t="shared" si="68"/>
        <v>0</v>
      </c>
      <c r="GN49" s="11">
        <f t="shared" si="69"/>
        <v>0</v>
      </c>
      <c r="GO49" s="11">
        <f t="shared" si="70"/>
        <v>0</v>
      </c>
      <c r="GP49" s="11">
        <f t="shared" si="71"/>
        <v>0</v>
      </c>
      <c r="GQ49" s="11">
        <f t="shared" si="72"/>
        <v>0</v>
      </c>
      <c r="GR49" s="11">
        <f t="shared" si="73"/>
        <v>0</v>
      </c>
      <c r="GS49" s="11">
        <f t="shared" si="74"/>
        <v>0</v>
      </c>
      <c r="GT49" s="11">
        <f t="shared" si="75"/>
        <v>0</v>
      </c>
      <c r="GU49" s="11">
        <f t="shared" si="76"/>
        <v>0</v>
      </c>
      <c r="GV49" s="11">
        <f t="shared" si="77"/>
        <v>0</v>
      </c>
      <c r="GW49" s="11">
        <f t="shared" si="78"/>
        <v>0</v>
      </c>
      <c r="GX49" s="11">
        <f t="shared" si="79"/>
        <v>0</v>
      </c>
      <c r="GY49" s="11">
        <f t="shared" si="80"/>
        <v>0</v>
      </c>
      <c r="GZ49" s="11">
        <f t="shared" si="81"/>
        <v>0</v>
      </c>
      <c r="HA49" s="11">
        <f t="shared" si="82"/>
        <v>0</v>
      </c>
      <c r="HB49" s="11">
        <f t="shared" si="83"/>
        <v>0</v>
      </c>
      <c r="HC49" s="11">
        <f t="shared" si="84"/>
        <v>0</v>
      </c>
      <c r="HD49" s="11">
        <f t="shared" si="85"/>
        <v>0</v>
      </c>
      <c r="HE49" s="11">
        <f t="shared" si="86"/>
        <v>0</v>
      </c>
      <c r="HF49" s="11">
        <f t="shared" si="87"/>
        <v>0</v>
      </c>
      <c r="HG49" s="11">
        <f t="shared" si="88"/>
        <v>0</v>
      </c>
      <c r="HH49" s="11">
        <f t="shared" si="89"/>
        <v>0</v>
      </c>
      <c r="HI49" s="11">
        <f t="shared" si="90"/>
        <v>0</v>
      </c>
      <c r="HJ49" s="11">
        <f t="shared" si="91"/>
        <v>0</v>
      </c>
      <c r="HK49" s="11">
        <f t="shared" si="92"/>
        <v>0</v>
      </c>
      <c r="HL49" s="11">
        <f t="shared" si="93"/>
        <v>0</v>
      </c>
      <c r="HM49" s="11">
        <f t="shared" si="94"/>
        <v>0</v>
      </c>
      <c r="HN49" s="11">
        <f t="shared" si="95"/>
        <v>0</v>
      </c>
      <c r="HO49" s="11">
        <f t="shared" si="96"/>
        <v>0</v>
      </c>
      <c r="HP49" s="11">
        <f t="shared" si="97"/>
        <v>0</v>
      </c>
      <c r="HQ49" s="11">
        <f t="shared" si="98"/>
        <v>0</v>
      </c>
      <c r="HT49" s="85">
        <v>11</v>
      </c>
      <c r="HU49" s="520">
        <f>DATE(YEAR(EXPEDIENTE!$F$25)+1,HT49,1)</f>
        <v>46327</v>
      </c>
      <c r="HV49" s="520" t="str">
        <f>IF('GASTOS EJER. 2'!BF62="","",'GASTOS EJER. 2'!BF62)</f>
        <v/>
      </c>
      <c r="HW49" s="527">
        <f>'GASTOS EJER. 2'!CM30</f>
        <v>0</v>
      </c>
      <c r="HX49" s="527">
        <f>'GASTOS EJER. 2'!BA62</f>
        <v>0</v>
      </c>
      <c r="HY49" s="11">
        <f t="shared" si="234"/>
        <v>0</v>
      </c>
      <c r="HZ49" s="527">
        <f t="shared" si="210"/>
        <v>0</v>
      </c>
      <c r="JF49" s="485">
        <v>45</v>
      </c>
      <c r="JG49" s="474">
        <f t="shared" si="101"/>
        <v>16</v>
      </c>
    </row>
    <row r="50" spans="3:267" ht="15.75" thickBot="1" x14ac:dyDescent="0.35">
      <c r="C50" s="8">
        <v>44</v>
      </c>
      <c r="D50" s="12"/>
      <c r="E50" s="17"/>
      <c r="F50" s="18"/>
      <c r="G50" s="19"/>
      <c r="H50" s="19"/>
      <c r="I50" s="19"/>
      <c r="J50" s="12"/>
      <c r="K50" s="14">
        <f t="shared" si="43"/>
        <v>76</v>
      </c>
      <c r="L50" s="14">
        <f t="shared" si="44"/>
        <v>76</v>
      </c>
      <c r="M50" s="14" t="str">
        <f t="shared" si="45"/>
        <v>X</v>
      </c>
      <c r="Y50" s="547">
        <f t="shared" si="46"/>
        <v>44</v>
      </c>
      <c r="Z50" s="478" t="str">
        <f>IF(Y50="","",IF(EDATE($Z$6,Y50)&gt;EXPEDIENTE!$F$27,"",EDATE($Z$6,Y50)))</f>
        <v/>
      </c>
      <c r="AA50" s="478" t="str">
        <f t="shared" si="170"/>
        <v/>
      </c>
      <c r="AB50" s="478" t="str">
        <f>IF(AA50="","",IF(YEAR(EXPEDIENTE!$F$25)=YEAR(AA50),AA50,""))</f>
        <v/>
      </c>
      <c r="AC50" s="478" t="str">
        <f>IF(AA50="","",IF(YEAR(EXPEDIENTE!$F$25)+1=YEAR(AA50),AA50,""))</f>
        <v/>
      </c>
      <c r="AD50" s="478" t="str">
        <f>IF(AA50="","",IF(YEAR(EXPEDIENTE!$F$25)+2=YEAR(AA50),AA50,""))</f>
        <v/>
      </c>
      <c r="AE50" s="478" t="str">
        <f>IF(AA50="","",IF(YEAR(EXPEDIENTE!$F$25)+3=YEAR(AA50),AA50,""))</f>
        <v/>
      </c>
      <c r="AG50" s="471"/>
      <c r="AH50" s="470"/>
      <c r="AI50" s="470"/>
      <c r="AJ50" s="470"/>
      <c r="AK50" s="470"/>
      <c r="AL50" s="470"/>
      <c r="AM50" s="470"/>
      <c r="AN50" s="470"/>
      <c r="AO50" s="470"/>
      <c r="AP50" s="470"/>
      <c r="AQ50" s="470"/>
      <c r="AR50" s="470"/>
      <c r="AS50" s="470"/>
      <c r="AT50" s="470"/>
      <c r="AU50" s="470"/>
      <c r="AV50" s="470"/>
      <c r="AW50" s="470"/>
      <c r="AX50" s="470"/>
      <c r="AY50" s="470"/>
      <c r="AZ50" s="470"/>
      <c r="BB50" s="596">
        <v>11</v>
      </c>
      <c r="BC50" s="598" t="e">
        <f t="shared" si="212"/>
        <v>#VALUE!</v>
      </c>
      <c r="BD50" s="621">
        <f t="shared" si="241"/>
        <v>0</v>
      </c>
      <c r="BE50" s="649">
        <f t="shared" si="242"/>
        <v>0</v>
      </c>
      <c r="BF50" s="649">
        <f t="shared" si="243"/>
        <v>0</v>
      </c>
      <c r="BG50" s="649">
        <f t="shared" si="244"/>
        <v>0</v>
      </c>
      <c r="BH50" s="649">
        <f t="shared" si="245"/>
        <v>0</v>
      </c>
      <c r="BI50" s="649">
        <f t="shared" si="246"/>
        <v>0</v>
      </c>
      <c r="BJ50" s="649">
        <f t="shared" si="247"/>
        <v>0</v>
      </c>
      <c r="BK50" s="650">
        <f t="shared" si="248"/>
        <v>0</v>
      </c>
      <c r="BL50" s="645">
        <f t="shared" si="213"/>
        <v>0</v>
      </c>
      <c r="BN50" s="601">
        <f t="shared" si="214"/>
        <v>0</v>
      </c>
      <c r="BO50" s="643">
        <f t="shared" si="215"/>
        <v>0</v>
      </c>
      <c r="BP50" s="643">
        <f t="shared" si="216"/>
        <v>0</v>
      </c>
      <c r="BQ50" s="643">
        <f t="shared" si="217"/>
        <v>0</v>
      </c>
      <c r="BR50" s="643">
        <f t="shared" si="218"/>
        <v>0</v>
      </c>
      <c r="BS50" s="643">
        <f t="shared" si="219"/>
        <v>0</v>
      </c>
      <c r="BT50" s="643">
        <f t="shared" si="220"/>
        <v>0</v>
      </c>
      <c r="BU50" s="644">
        <f t="shared" si="221"/>
        <v>0</v>
      </c>
      <c r="BV50" s="645">
        <f t="shared" si="249"/>
        <v>0</v>
      </c>
      <c r="BX50" s="645">
        <f t="shared" si="250"/>
        <v>0</v>
      </c>
      <c r="BZ50" s="471"/>
      <c r="CA50" s="470"/>
      <c r="CB50" s="470"/>
      <c r="CC50" s="470"/>
      <c r="CD50" s="470"/>
      <c r="CE50" s="470"/>
      <c r="CF50" s="470"/>
      <c r="CG50" s="470"/>
      <c r="CH50" s="470"/>
      <c r="CI50" s="470"/>
      <c r="CJ50" s="470"/>
      <c r="CK50" s="470"/>
      <c r="CL50" s="470"/>
      <c r="CM50" s="470"/>
      <c r="CN50" s="470"/>
      <c r="CO50" s="470"/>
      <c r="CP50" s="470"/>
      <c r="CQ50" s="470"/>
      <c r="CR50" s="470"/>
      <c r="CS50" s="470"/>
      <c r="CU50" s="620">
        <v>11</v>
      </c>
      <c r="CV50" s="598" t="e">
        <f t="shared" si="223"/>
        <v>#VALUE!</v>
      </c>
      <c r="CW50" s="621">
        <f t="shared" si="257"/>
        <v>0</v>
      </c>
      <c r="CX50" s="649">
        <f t="shared" si="258"/>
        <v>0</v>
      </c>
      <c r="CY50" s="649">
        <f t="shared" si="259"/>
        <v>0</v>
      </c>
      <c r="CZ50" s="649">
        <f t="shared" si="260"/>
        <v>0</v>
      </c>
      <c r="DA50" s="649">
        <f t="shared" si="261"/>
        <v>0</v>
      </c>
      <c r="DB50" s="649">
        <f t="shared" si="262"/>
        <v>0</v>
      </c>
      <c r="DC50" s="649">
        <f t="shared" si="263"/>
        <v>0</v>
      </c>
      <c r="DD50" s="650">
        <f t="shared" si="264"/>
        <v>0</v>
      </c>
      <c r="DE50" s="645">
        <f t="shared" si="224"/>
        <v>0</v>
      </c>
      <c r="DG50" s="621">
        <f t="shared" si="225"/>
        <v>0</v>
      </c>
      <c r="DH50" s="649">
        <f t="shared" si="226"/>
        <v>0</v>
      </c>
      <c r="DI50" s="649">
        <f t="shared" si="227"/>
        <v>0</v>
      </c>
      <c r="DJ50" s="649">
        <f t="shared" si="228"/>
        <v>0</v>
      </c>
      <c r="DK50" s="649">
        <f t="shared" si="265"/>
        <v>0</v>
      </c>
      <c r="DL50" s="649">
        <f t="shared" si="229"/>
        <v>0</v>
      </c>
      <c r="DM50" s="649">
        <f t="shared" si="230"/>
        <v>0</v>
      </c>
      <c r="DN50" s="650">
        <f t="shared" si="231"/>
        <v>0</v>
      </c>
      <c r="DO50" s="645">
        <f t="shared" ref="DO50:DO51" si="267">SUM(DG50:DN50)</f>
        <v>0</v>
      </c>
      <c r="DQ50" s="655">
        <f t="shared" si="266"/>
        <v>0</v>
      </c>
      <c r="DS50" s="470"/>
      <c r="EC50" s="14">
        <v>31</v>
      </c>
      <c r="ED50" s="482">
        <f t="shared" si="102"/>
        <v>46569</v>
      </c>
      <c r="EE50" s="482">
        <f t="shared" si="103"/>
        <v>46599</v>
      </c>
      <c r="EF50" s="14" t="str">
        <f>IF(AND(EE50&gt;=EXPEDIENTE!$F$25,ED50&lt;=EXPEDIENTE!$F$29),"SI","NO")</f>
        <v>SI</v>
      </c>
      <c r="EG50" s="11">
        <f t="shared" si="174"/>
        <v>0</v>
      </c>
      <c r="EH50" s="11">
        <f t="shared" si="175"/>
        <v>0</v>
      </c>
      <c r="EI50" s="11">
        <f t="shared" si="176"/>
        <v>0</v>
      </c>
      <c r="EJ50" s="11">
        <f t="shared" si="177"/>
        <v>0</v>
      </c>
      <c r="EK50" s="11">
        <f t="shared" si="178"/>
        <v>0</v>
      </c>
      <c r="EL50" s="11">
        <f t="shared" si="179"/>
        <v>0</v>
      </c>
      <c r="EM50" s="11">
        <f t="shared" si="180"/>
        <v>0</v>
      </c>
      <c r="EN50" s="11">
        <f t="shared" si="181"/>
        <v>0</v>
      </c>
      <c r="EO50" s="11">
        <f t="shared" si="182"/>
        <v>0</v>
      </c>
      <c r="EP50" s="11">
        <f t="shared" si="183"/>
        <v>0</v>
      </c>
      <c r="EQ50" s="11">
        <f t="shared" si="184"/>
        <v>0</v>
      </c>
      <c r="ER50" s="11">
        <f t="shared" si="185"/>
        <v>0</v>
      </c>
      <c r="ES50" s="11">
        <f t="shared" si="186"/>
        <v>0</v>
      </c>
      <c r="ET50" s="11">
        <f t="shared" si="187"/>
        <v>0</v>
      </c>
      <c r="EU50" s="11">
        <f t="shared" si="188"/>
        <v>0</v>
      </c>
      <c r="EV50" s="11">
        <f t="shared" si="189"/>
        <v>0</v>
      </c>
      <c r="EW50" s="11">
        <f t="shared" si="190"/>
        <v>0</v>
      </c>
      <c r="EX50" s="11">
        <f t="shared" si="191"/>
        <v>0</v>
      </c>
      <c r="EY50" s="11">
        <f t="shared" si="192"/>
        <v>0</v>
      </c>
      <c r="EZ50" s="11">
        <f t="shared" si="193"/>
        <v>0</v>
      </c>
      <c r="FA50" s="11">
        <f t="shared" si="194"/>
        <v>0</v>
      </c>
      <c r="FB50" s="11">
        <f t="shared" si="195"/>
        <v>0</v>
      </c>
      <c r="FC50" s="11">
        <f t="shared" si="196"/>
        <v>0</v>
      </c>
      <c r="FD50" s="11">
        <f t="shared" si="197"/>
        <v>0</v>
      </c>
      <c r="FE50" s="11">
        <f t="shared" si="198"/>
        <v>0</v>
      </c>
      <c r="FF50" s="11">
        <f t="shared" si="199"/>
        <v>0</v>
      </c>
      <c r="FG50" s="11">
        <f t="shared" si="200"/>
        <v>0</v>
      </c>
      <c r="FH50" s="11">
        <f t="shared" si="201"/>
        <v>0</v>
      </c>
      <c r="FI50" s="11">
        <f t="shared" si="202"/>
        <v>0</v>
      </c>
      <c r="FJ50" s="11">
        <f t="shared" si="203"/>
        <v>0</v>
      </c>
      <c r="FK50" s="11">
        <f t="shared" si="204"/>
        <v>0</v>
      </c>
      <c r="FL50" s="11">
        <f t="shared" si="205"/>
        <v>0</v>
      </c>
      <c r="FM50" s="11">
        <f t="shared" si="65"/>
        <v>0</v>
      </c>
      <c r="FO50" s="85">
        <v>12</v>
      </c>
      <c r="FP50" s="520">
        <f>DATE(YEAR(EXPEDIENTE!$F$25)+1,FO50,1)</f>
        <v>46357</v>
      </c>
      <c r="FQ50" s="520" t="str">
        <f>IF('GASTOS EJER. 2'!I63="","",'GASTOS EJER. 2'!I63)</f>
        <v/>
      </c>
      <c r="FR50" s="527">
        <f>'GASTOS EJER. 2'!X31</f>
        <v>0</v>
      </c>
      <c r="FS50" s="527">
        <f>'GASTOS EJER. 2'!H63</f>
        <v>0</v>
      </c>
      <c r="FT50" s="11">
        <f t="shared" si="233"/>
        <v>0</v>
      </c>
      <c r="FU50" s="527">
        <f t="shared" si="206"/>
        <v>0</v>
      </c>
      <c r="FW50" s="470"/>
      <c r="GG50" s="14">
        <v>31</v>
      </c>
      <c r="GH50" s="482">
        <f t="shared" si="104"/>
        <v>46569</v>
      </c>
      <c r="GI50" s="482">
        <f t="shared" si="105"/>
        <v>46599</v>
      </c>
      <c r="GJ50" s="14" t="str">
        <f>IF(AND(GI50&gt;=EXPEDIENTE!$F$25,GH50&lt;=EXPEDIENTE!$F$29),"SI","NO")</f>
        <v>SI</v>
      </c>
      <c r="GK50" s="11">
        <f t="shared" si="66"/>
        <v>0</v>
      </c>
      <c r="GL50" s="11">
        <f t="shared" si="67"/>
        <v>0</v>
      </c>
      <c r="GM50" s="11">
        <f t="shared" si="68"/>
        <v>0</v>
      </c>
      <c r="GN50" s="11">
        <f t="shared" si="69"/>
        <v>0</v>
      </c>
      <c r="GO50" s="11">
        <f t="shared" si="70"/>
        <v>0</v>
      </c>
      <c r="GP50" s="11">
        <f t="shared" si="71"/>
        <v>0</v>
      </c>
      <c r="GQ50" s="11">
        <f t="shared" si="72"/>
        <v>0</v>
      </c>
      <c r="GR50" s="11">
        <f t="shared" si="73"/>
        <v>0</v>
      </c>
      <c r="GS50" s="11">
        <f t="shared" si="74"/>
        <v>0</v>
      </c>
      <c r="GT50" s="11">
        <f t="shared" si="75"/>
        <v>0</v>
      </c>
      <c r="GU50" s="11">
        <f t="shared" si="76"/>
        <v>0</v>
      </c>
      <c r="GV50" s="11">
        <f t="shared" si="77"/>
        <v>0</v>
      </c>
      <c r="GW50" s="11">
        <f t="shared" si="78"/>
        <v>0</v>
      </c>
      <c r="GX50" s="11">
        <f t="shared" si="79"/>
        <v>0</v>
      </c>
      <c r="GY50" s="11">
        <f t="shared" si="80"/>
        <v>0</v>
      </c>
      <c r="GZ50" s="11">
        <f t="shared" si="81"/>
        <v>0</v>
      </c>
      <c r="HA50" s="11">
        <f t="shared" si="82"/>
        <v>0</v>
      </c>
      <c r="HB50" s="11">
        <f t="shared" si="83"/>
        <v>0</v>
      </c>
      <c r="HC50" s="11">
        <f t="shared" si="84"/>
        <v>0</v>
      </c>
      <c r="HD50" s="11">
        <f t="shared" si="85"/>
        <v>0</v>
      </c>
      <c r="HE50" s="11">
        <f t="shared" si="86"/>
        <v>0</v>
      </c>
      <c r="HF50" s="11">
        <f t="shared" si="87"/>
        <v>0</v>
      </c>
      <c r="HG50" s="11">
        <f t="shared" si="88"/>
        <v>0</v>
      </c>
      <c r="HH50" s="11">
        <f t="shared" si="89"/>
        <v>0</v>
      </c>
      <c r="HI50" s="11">
        <f t="shared" si="90"/>
        <v>0</v>
      </c>
      <c r="HJ50" s="11">
        <f t="shared" si="91"/>
        <v>0</v>
      </c>
      <c r="HK50" s="11">
        <f t="shared" si="92"/>
        <v>0</v>
      </c>
      <c r="HL50" s="11">
        <f t="shared" si="93"/>
        <v>0</v>
      </c>
      <c r="HM50" s="11">
        <f t="shared" si="94"/>
        <v>0</v>
      </c>
      <c r="HN50" s="11">
        <f t="shared" si="95"/>
        <v>0</v>
      </c>
      <c r="HO50" s="11">
        <f t="shared" si="96"/>
        <v>0</v>
      </c>
      <c r="HP50" s="11">
        <f t="shared" si="97"/>
        <v>0</v>
      </c>
      <c r="HQ50" s="11">
        <f t="shared" si="98"/>
        <v>0</v>
      </c>
      <c r="HT50" s="85">
        <v>12</v>
      </c>
      <c r="HU50" s="520">
        <f>DATE(YEAR(EXPEDIENTE!$F$25)+1,HT50,1)</f>
        <v>46357</v>
      </c>
      <c r="HV50" s="520" t="str">
        <f>IF('GASTOS EJER. 2'!BF63="","",'GASTOS EJER. 2'!BF63)</f>
        <v/>
      </c>
      <c r="HW50" s="527">
        <f>'GASTOS EJER. 2'!CM31</f>
        <v>0</v>
      </c>
      <c r="HX50" s="527">
        <f>'GASTOS EJER. 2'!BA63</f>
        <v>0</v>
      </c>
      <c r="HY50" s="11">
        <f t="shared" si="234"/>
        <v>0</v>
      </c>
      <c r="HZ50" s="527">
        <f t="shared" si="210"/>
        <v>0</v>
      </c>
      <c r="JF50" s="477">
        <v>46</v>
      </c>
      <c r="JG50" s="474">
        <f t="shared" si="101"/>
        <v>18</v>
      </c>
    </row>
    <row r="51" spans="3:267" ht="15.75" customHeight="1" thickBot="1" x14ac:dyDescent="0.35">
      <c r="C51" s="8">
        <v>45</v>
      </c>
      <c r="D51" s="12"/>
      <c r="E51" s="17"/>
      <c r="F51" s="18"/>
      <c r="G51" s="19"/>
      <c r="H51" s="19"/>
      <c r="I51" s="19"/>
      <c r="J51" s="12"/>
      <c r="K51" s="14">
        <f t="shared" si="43"/>
        <v>76</v>
      </c>
      <c r="L51" s="14">
        <f t="shared" si="44"/>
        <v>76</v>
      </c>
      <c r="M51" s="14" t="str">
        <f t="shared" si="45"/>
        <v>X</v>
      </c>
      <c r="Y51" s="547">
        <f t="shared" si="46"/>
        <v>45</v>
      </c>
      <c r="Z51" s="478" t="str">
        <f>IF(Y51="","",IF(EDATE($Z$6,Y51)&gt;EXPEDIENTE!$F$27,"",EDATE($Z$6,Y51)))</f>
        <v/>
      </c>
      <c r="AA51" s="478" t="str">
        <f t="shared" si="170"/>
        <v/>
      </c>
      <c r="AB51" s="478" t="str">
        <f>IF(AA51="","",IF(YEAR(EXPEDIENTE!$F$25)=YEAR(AA51),AA51,""))</f>
        <v/>
      </c>
      <c r="AC51" s="478" t="str">
        <f>IF(AA51="","",IF(YEAR(EXPEDIENTE!$F$25)+1=YEAR(AA51),AA51,""))</f>
        <v/>
      </c>
      <c r="AD51" s="478" t="str">
        <f>IF(AA51="","",IF(YEAR(EXPEDIENTE!$F$25)+2=YEAR(AA51),AA51,""))</f>
        <v/>
      </c>
      <c r="AE51" s="478" t="str">
        <f>IF(AA51="","",IF(YEAR(EXPEDIENTE!$F$25)+3=YEAR(AA51),AA51,""))</f>
        <v/>
      </c>
      <c r="AG51" s="471"/>
      <c r="AH51" s="470"/>
      <c r="AI51" s="470"/>
      <c r="AJ51" s="470"/>
      <c r="AK51" s="470"/>
      <c r="AL51" s="470"/>
      <c r="AM51" s="470"/>
      <c r="AN51" s="470"/>
      <c r="AO51" s="470"/>
      <c r="AP51" s="470"/>
      <c r="AQ51" s="470"/>
      <c r="AR51" s="470"/>
      <c r="AS51" s="470"/>
      <c r="AT51" s="470"/>
      <c r="AU51" s="470"/>
      <c r="AV51" s="470"/>
      <c r="AW51" s="470"/>
      <c r="AX51" s="470"/>
      <c r="AY51" s="470"/>
      <c r="AZ51" s="470"/>
      <c r="BB51" s="596">
        <v>12</v>
      </c>
      <c r="BC51" s="599" t="e">
        <f t="shared" si="212"/>
        <v>#VALUE!</v>
      </c>
      <c r="BD51" s="622">
        <f t="shared" si="241"/>
        <v>0</v>
      </c>
      <c r="BE51" s="651">
        <f t="shared" si="242"/>
        <v>0</v>
      </c>
      <c r="BF51" s="651">
        <f t="shared" si="243"/>
        <v>0</v>
      </c>
      <c r="BG51" s="651">
        <f t="shared" si="244"/>
        <v>0</v>
      </c>
      <c r="BH51" s="651">
        <f t="shared" si="245"/>
        <v>0</v>
      </c>
      <c r="BI51" s="651">
        <f t="shared" si="246"/>
        <v>0</v>
      </c>
      <c r="BJ51" s="651">
        <f t="shared" si="247"/>
        <v>0</v>
      </c>
      <c r="BK51" s="652">
        <f t="shared" si="248"/>
        <v>0</v>
      </c>
      <c r="BL51" s="648">
        <f t="shared" si="213"/>
        <v>0</v>
      </c>
      <c r="BN51" s="602">
        <f t="shared" si="214"/>
        <v>0</v>
      </c>
      <c r="BO51" s="646">
        <f t="shared" si="215"/>
        <v>0</v>
      </c>
      <c r="BP51" s="646">
        <f t="shared" si="216"/>
        <v>0</v>
      </c>
      <c r="BQ51" s="646">
        <f t="shared" si="217"/>
        <v>0</v>
      </c>
      <c r="BR51" s="646">
        <f t="shared" si="218"/>
        <v>0</v>
      </c>
      <c r="BS51" s="646">
        <f t="shared" si="219"/>
        <v>0</v>
      </c>
      <c r="BT51" s="646">
        <f t="shared" si="220"/>
        <v>0</v>
      </c>
      <c r="BU51" s="647">
        <f t="shared" si="221"/>
        <v>0</v>
      </c>
      <c r="BV51" s="648">
        <f t="shared" si="249"/>
        <v>0</v>
      </c>
      <c r="BX51" s="648">
        <f t="shared" si="250"/>
        <v>0</v>
      </c>
      <c r="BZ51" s="471"/>
      <c r="CA51" s="470"/>
      <c r="CB51" s="470"/>
      <c r="CC51" s="470"/>
      <c r="CD51" s="470"/>
      <c r="CE51" s="470"/>
      <c r="CF51" s="470"/>
      <c r="CG51" s="470"/>
      <c r="CH51" s="470"/>
      <c r="CI51" s="470"/>
      <c r="CJ51" s="470"/>
      <c r="CK51" s="470"/>
      <c r="CL51" s="470"/>
      <c r="CM51" s="470"/>
      <c r="CN51" s="470"/>
      <c r="CO51" s="470"/>
      <c r="CP51" s="470"/>
      <c r="CQ51" s="470"/>
      <c r="CR51" s="470"/>
      <c r="CS51" s="470"/>
      <c r="CU51" s="620">
        <v>12</v>
      </c>
      <c r="CV51" s="599" t="e">
        <f t="shared" si="223"/>
        <v>#VALUE!</v>
      </c>
      <c r="CW51" s="622">
        <f t="shared" si="257"/>
        <v>0</v>
      </c>
      <c r="CX51" s="651">
        <f t="shared" si="258"/>
        <v>0</v>
      </c>
      <c r="CY51" s="651">
        <f t="shared" si="259"/>
        <v>0</v>
      </c>
      <c r="CZ51" s="651">
        <f t="shared" si="260"/>
        <v>0</v>
      </c>
      <c r="DA51" s="651">
        <f t="shared" si="261"/>
        <v>0</v>
      </c>
      <c r="DB51" s="651">
        <f t="shared" si="262"/>
        <v>0</v>
      </c>
      <c r="DC51" s="651">
        <f t="shared" si="263"/>
        <v>0</v>
      </c>
      <c r="DD51" s="652">
        <f t="shared" si="264"/>
        <v>0</v>
      </c>
      <c r="DE51" s="648">
        <f t="shared" si="224"/>
        <v>0</v>
      </c>
      <c r="DG51" s="622">
        <f t="shared" si="225"/>
        <v>0</v>
      </c>
      <c r="DH51" s="651">
        <f t="shared" si="226"/>
        <v>0</v>
      </c>
      <c r="DI51" s="651">
        <f t="shared" si="227"/>
        <v>0</v>
      </c>
      <c r="DJ51" s="651">
        <f t="shared" si="228"/>
        <v>0</v>
      </c>
      <c r="DK51" s="651">
        <f t="shared" si="265"/>
        <v>0</v>
      </c>
      <c r="DL51" s="651">
        <f t="shared" si="229"/>
        <v>0</v>
      </c>
      <c r="DM51" s="651">
        <f t="shared" si="230"/>
        <v>0</v>
      </c>
      <c r="DN51" s="652">
        <f t="shared" si="231"/>
        <v>0</v>
      </c>
      <c r="DO51" s="648">
        <f t="shared" si="267"/>
        <v>0</v>
      </c>
      <c r="DQ51" s="486">
        <f t="shared" si="266"/>
        <v>0</v>
      </c>
      <c r="DS51" s="470"/>
      <c r="DT51" s="542" t="e">
        <f>AG52</f>
        <v>#VALUE!</v>
      </c>
      <c r="DU51" s="6"/>
      <c r="DV51" s="6"/>
      <c r="DW51" s="6"/>
      <c r="EC51" s="14">
        <v>32</v>
      </c>
      <c r="ED51" s="482">
        <f t="shared" si="102"/>
        <v>46600</v>
      </c>
      <c r="EE51" s="482">
        <f t="shared" si="103"/>
        <v>46630</v>
      </c>
      <c r="EF51" s="14" t="str">
        <f>IF(AND(EE51&gt;=EXPEDIENTE!$F$25,ED51&lt;=EXPEDIENTE!$F$29),"SI","NO")</f>
        <v>SI</v>
      </c>
      <c r="EG51" s="11">
        <f t="shared" si="174"/>
        <v>0</v>
      </c>
      <c r="EH51" s="11">
        <f t="shared" si="175"/>
        <v>0</v>
      </c>
      <c r="EI51" s="11">
        <f t="shared" si="176"/>
        <v>0</v>
      </c>
      <c r="EJ51" s="11">
        <f t="shared" si="177"/>
        <v>0</v>
      </c>
      <c r="EK51" s="11">
        <f t="shared" si="178"/>
        <v>0</v>
      </c>
      <c r="EL51" s="11">
        <f t="shared" si="179"/>
        <v>0</v>
      </c>
      <c r="EM51" s="11">
        <f t="shared" si="180"/>
        <v>0</v>
      </c>
      <c r="EN51" s="11">
        <f t="shared" si="181"/>
        <v>0</v>
      </c>
      <c r="EO51" s="11">
        <f t="shared" si="182"/>
        <v>0</v>
      </c>
      <c r="EP51" s="11">
        <f t="shared" si="183"/>
        <v>0</v>
      </c>
      <c r="EQ51" s="11">
        <f t="shared" si="184"/>
        <v>0</v>
      </c>
      <c r="ER51" s="11">
        <f t="shared" si="185"/>
        <v>0</v>
      </c>
      <c r="ES51" s="11">
        <f t="shared" si="186"/>
        <v>0</v>
      </c>
      <c r="ET51" s="11">
        <f t="shared" si="187"/>
        <v>0</v>
      </c>
      <c r="EU51" s="11">
        <f t="shared" si="188"/>
        <v>0</v>
      </c>
      <c r="EV51" s="11">
        <f t="shared" si="189"/>
        <v>0</v>
      </c>
      <c r="EW51" s="11">
        <f t="shared" si="190"/>
        <v>0</v>
      </c>
      <c r="EX51" s="11">
        <f t="shared" si="191"/>
        <v>0</v>
      </c>
      <c r="EY51" s="11">
        <f t="shared" si="192"/>
        <v>0</v>
      </c>
      <c r="EZ51" s="11">
        <f t="shared" si="193"/>
        <v>0</v>
      </c>
      <c r="FA51" s="11">
        <f t="shared" si="194"/>
        <v>0</v>
      </c>
      <c r="FB51" s="11">
        <f t="shared" si="195"/>
        <v>0</v>
      </c>
      <c r="FC51" s="11">
        <f t="shared" si="196"/>
        <v>0</v>
      </c>
      <c r="FD51" s="11">
        <f t="shared" si="197"/>
        <v>0</v>
      </c>
      <c r="FE51" s="11">
        <f t="shared" si="198"/>
        <v>0</v>
      </c>
      <c r="FF51" s="11">
        <f t="shared" si="199"/>
        <v>0</v>
      </c>
      <c r="FG51" s="11">
        <f t="shared" si="200"/>
        <v>0</v>
      </c>
      <c r="FH51" s="11">
        <f t="shared" si="201"/>
        <v>0</v>
      </c>
      <c r="FI51" s="11">
        <f t="shared" si="202"/>
        <v>0</v>
      </c>
      <c r="FJ51" s="11">
        <f t="shared" si="203"/>
        <v>0</v>
      </c>
      <c r="FK51" s="11">
        <f t="shared" si="204"/>
        <v>0</v>
      </c>
      <c r="FL51" s="11">
        <f t="shared" si="205"/>
        <v>0</v>
      </c>
      <c r="FM51" s="11">
        <f t="shared" si="65"/>
        <v>0</v>
      </c>
      <c r="FO51" s="81"/>
      <c r="FP51" s="543"/>
      <c r="FQ51" s="543"/>
      <c r="FR51" s="544"/>
      <c r="FS51" s="544"/>
      <c r="FU51" s="544"/>
      <c r="FW51" s="470"/>
      <c r="FX51" s="491" t="e">
        <f>BZ52</f>
        <v>#VALUE!</v>
      </c>
      <c r="FY51" s="6"/>
      <c r="FZ51" s="6"/>
      <c r="GA51" s="6"/>
      <c r="GG51" s="14">
        <v>32</v>
      </c>
      <c r="GH51" s="482">
        <f t="shared" si="104"/>
        <v>46600</v>
      </c>
      <c r="GI51" s="482">
        <f t="shared" si="105"/>
        <v>46630</v>
      </c>
      <c r="GJ51" s="14" t="str">
        <f>IF(AND(GI51&gt;=EXPEDIENTE!$F$25,GH51&lt;=EXPEDIENTE!$F$29),"SI","NO")</f>
        <v>SI</v>
      </c>
      <c r="GK51" s="11">
        <f t="shared" si="66"/>
        <v>0</v>
      </c>
      <c r="GL51" s="11">
        <f t="shared" si="67"/>
        <v>0</v>
      </c>
      <c r="GM51" s="11">
        <f t="shared" si="68"/>
        <v>0</v>
      </c>
      <c r="GN51" s="11">
        <f t="shared" si="69"/>
        <v>0</v>
      </c>
      <c r="GO51" s="11">
        <f t="shared" si="70"/>
        <v>0</v>
      </c>
      <c r="GP51" s="11">
        <f t="shared" si="71"/>
        <v>0</v>
      </c>
      <c r="GQ51" s="11">
        <f t="shared" si="72"/>
        <v>0</v>
      </c>
      <c r="GR51" s="11">
        <f t="shared" si="73"/>
        <v>0</v>
      </c>
      <c r="GS51" s="11">
        <f t="shared" si="74"/>
        <v>0</v>
      </c>
      <c r="GT51" s="11">
        <f t="shared" si="75"/>
        <v>0</v>
      </c>
      <c r="GU51" s="11">
        <f t="shared" si="76"/>
        <v>0</v>
      </c>
      <c r="GV51" s="11">
        <f t="shared" si="77"/>
        <v>0</v>
      </c>
      <c r="GW51" s="11">
        <f t="shared" si="78"/>
        <v>0</v>
      </c>
      <c r="GX51" s="11">
        <f t="shared" si="79"/>
        <v>0</v>
      </c>
      <c r="GY51" s="11">
        <f t="shared" si="80"/>
        <v>0</v>
      </c>
      <c r="GZ51" s="11">
        <f t="shared" si="81"/>
        <v>0</v>
      </c>
      <c r="HA51" s="11">
        <f t="shared" si="82"/>
        <v>0</v>
      </c>
      <c r="HB51" s="11">
        <f t="shared" si="83"/>
        <v>0</v>
      </c>
      <c r="HC51" s="11">
        <f t="shared" si="84"/>
        <v>0</v>
      </c>
      <c r="HD51" s="11">
        <f t="shared" si="85"/>
        <v>0</v>
      </c>
      <c r="HE51" s="11">
        <f t="shared" si="86"/>
        <v>0</v>
      </c>
      <c r="HF51" s="11">
        <f t="shared" si="87"/>
        <v>0</v>
      </c>
      <c r="HG51" s="11">
        <f t="shared" si="88"/>
        <v>0</v>
      </c>
      <c r="HH51" s="11">
        <f t="shared" si="89"/>
        <v>0</v>
      </c>
      <c r="HI51" s="11">
        <f t="shared" si="90"/>
        <v>0</v>
      </c>
      <c r="HJ51" s="11">
        <f t="shared" si="91"/>
        <v>0</v>
      </c>
      <c r="HK51" s="11">
        <f t="shared" si="92"/>
        <v>0</v>
      </c>
      <c r="HL51" s="11">
        <f t="shared" si="93"/>
        <v>0</v>
      </c>
      <c r="HM51" s="11">
        <f t="shared" si="94"/>
        <v>0</v>
      </c>
      <c r="HN51" s="11">
        <f t="shared" si="95"/>
        <v>0</v>
      </c>
      <c r="HO51" s="11">
        <f t="shared" si="96"/>
        <v>0</v>
      </c>
      <c r="HP51" s="11">
        <f t="shared" si="97"/>
        <v>0</v>
      </c>
      <c r="HQ51" s="11">
        <f t="shared" si="98"/>
        <v>0</v>
      </c>
      <c r="HT51" s="81"/>
      <c r="HU51" s="543"/>
      <c r="HV51" s="543"/>
      <c r="HW51" s="544"/>
      <c r="HX51" s="544"/>
      <c r="HZ51" s="544"/>
      <c r="JF51" s="480">
        <v>47</v>
      </c>
      <c r="JG51" s="474">
        <f t="shared" si="101"/>
        <v>18</v>
      </c>
    </row>
    <row r="52" spans="3:267" ht="15.75" customHeight="1" thickBot="1" x14ac:dyDescent="0.35">
      <c r="C52" s="8">
        <v>46</v>
      </c>
      <c r="D52" s="12"/>
      <c r="E52" s="17"/>
      <c r="F52" s="18"/>
      <c r="G52" s="19"/>
      <c r="H52" s="19"/>
      <c r="I52" s="19"/>
      <c r="J52" s="12"/>
      <c r="K52" s="14">
        <f t="shared" si="43"/>
        <v>76</v>
      </c>
      <c r="L52" s="14">
        <f t="shared" si="44"/>
        <v>76</v>
      </c>
      <c r="M52" s="14" t="str">
        <f t="shared" si="45"/>
        <v>X</v>
      </c>
      <c r="Y52" s="547">
        <f t="shared" si="46"/>
        <v>46</v>
      </c>
      <c r="Z52" s="478" t="str">
        <f>IF(Y52="","",IF(EDATE($Z$6,Y52)&gt;EXPEDIENTE!$F$27,"",EDATE($Z$6,Y52)))</f>
        <v/>
      </c>
      <c r="AA52" s="478" t="str">
        <f t="shared" si="170"/>
        <v/>
      </c>
      <c r="AB52" s="478" t="str">
        <f>IF(AA52="","",IF(YEAR(EXPEDIENTE!$F$25)=YEAR(AA52),AA52,""))</f>
        <v/>
      </c>
      <c r="AC52" s="478" t="str">
        <f>IF(AA52="","",IF(YEAR(EXPEDIENTE!$F$25)+1=YEAR(AA52),AA52,""))</f>
        <v/>
      </c>
      <c r="AD52" s="478" t="str">
        <f>IF(AA52="","",IF(YEAR(EXPEDIENTE!$F$25)+2=YEAR(AA52),AA52,""))</f>
        <v/>
      </c>
      <c r="AE52" s="478" t="str">
        <f>IF(AA52="","",IF(YEAR(EXPEDIENTE!$F$25)+3=YEAR(AA52),AA52,""))</f>
        <v/>
      </c>
      <c r="AG52" s="1114" t="e">
        <f>IF(YEAR(EXPEDIENTE!$F$29)&gt;=$AG$20+2,$AG$20+2,"")</f>
        <v>#VALUE!</v>
      </c>
      <c r="AH52" s="1202" t="s">
        <v>432</v>
      </c>
      <c r="AI52" s="1205" t="s">
        <v>433</v>
      </c>
      <c r="AJ52" s="1205" t="s">
        <v>198</v>
      </c>
      <c r="AK52" s="1208" t="s">
        <v>434</v>
      </c>
      <c r="AM52" s="1184" t="s">
        <v>435</v>
      </c>
      <c r="AN52" s="1187" t="s">
        <v>200</v>
      </c>
      <c r="AO52" s="1190" t="s">
        <v>206</v>
      </c>
      <c r="AP52" s="1196" t="s">
        <v>436</v>
      </c>
      <c r="AQ52" s="1193" t="s">
        <v>437</v>
      </c>
      <c r="AR52" s="1194"/>
      <c r="AS52" s="1195"/>
      <c r="AT52" s="1056" t="s">
        <v>438</v>
      </c>
      <c r="AU52" s="1057"/>
      <c r="AV52" s="1192"/>
      <c r="AW52" s="1058"/>
      <c r="AX52" s="1129" t="s">
        <v>439</v>
      </c>
      <c r="AY52" s="1141" t="s">
        <v>440</v>
      </c>
      <c r="AZ52" s="1141" t="s">
        <v>441</v>
      </c>
      <c r="BC52" s="489"/>
      <c r="BZ52" s="1213" t="e">
        <f>IF(YEAR(EXPEDIENTE!$I$29)&gt;=$BZ$20+2,$BZ$20+2,"")</f>
        <v>#VALUE!</v>
      </c>
      <c r="CA52" s="1222" t="s">
        <v>432</v>
      </c>
      <c r="CB52" s="1225" t="s">
        <v>433</v>
      </c>
      <c r="CC52" s="1225" t="s">
        <v>198</v>
      </c>
      <c r="CD52" s="1228" t="s">
        <v>434</v>
      </c>
      <c r="CF52" s="1161" t="s">
        <v>435</v>
      </c>
      <c r="CG52" s="1164" t="s">
        <v>200</v>
      </c>
      <c r="CH52" s="1167" t="s">
        <v>206</v>
      </c>
      <c r="CI52" s="1170" t="s">
        <v>436</v>
      </c>
      <c r="CJ52" s="1062" t="s">
        <v>460</v>
      </c>
      <c r="CK52" s="1063"/>
      <c r="CL52" s="1064"/>
      <c r="CM52" s="1062" t="s">
        <v>438</v>
      </c>
      <c r="CN52" s="1063"/>
      <c r="CO52" s="1178"/>
      <c r="CP52" s="1064"/>
      <c r="CQ52" s="1211" t="s">
        <v>439</v>
      </c>
      <c r="CR52" s="1090" t="s">
        <v>440</v>
      </c>
      <c r="CS52" s="1090" t="s">
        <v>441</v>
      </c>
      <c r="CV52" s="489"/>
      <c r="DS52" s="470"/>
      <c r="DT52" s="1097" t="s">
        <v>283</v>
      </c>
      <c r="DU52" s="1083" t="s">
        <v>438</v>
      </c>
      <c r="DV52" s="1083"/>
      <c r="DW52" s="1083"/>
      <c r="DX52" s="1100" t="s">
        <v>333</v>
      </c>
      <c r="DY52" s="1100" t="s">
        <v>442</v>
      </c>
      <c r="DZ52" s="1084" t="s">
        <v>443</v>
      </c>
      <c r="EA52" s="1087" t="s">
        <v>441</v>
      </c>
      <c r="EC52" s="14">
        <v>33</v>
      </c>
      <c r="ED52" s="482">
        <f t="shared" si="102"/>
        <v>46631</v>
      </c>
      <c r="EE52" s="482">
        <f t="shared" si="103"/>
        <v>46660</v>
      </c>
      <c r="EF52" s="14" t="str">
        <f>IF(AND(EE52&gt;=EXPEDIENTE!$F$25,ED52&lt;=EXPEDIENTE!$F$29),"SI","NO")</f>
        <v>SI</v>
      </c>
      <c r="EG52" s="11">
        <f t="shared" si="174"/>
        <v>0</v>
      </c>
      <c r="EH52" s="11">
        <f t="shared" si="175"/>
        <v>0</v>
      </c>
      <c r="EI52" s="11">
        <f t="shared" si="176"/>
        <v>0</v>
      </c>
      <c r="EJ52" s="11">
        <f t="shared" si="177"/>
        <v>0</v>
      </c>
      <c r="EK52" s="11">
        <f t="shared" si="178"/>
        <v>0</v>
      </c>
      <c r="EL52" s="11">
        <f t="shared" si="179"/>
        <v>0</v>
      </c>
      <c r="EM52" s="11">
        <f t="shared" si="180"/>
        <v>0</v>
      </c>
      <c r="EN52" s="11">
        <f t="shared" si="181"/>
        <v>0</v>
      </c>
      <c r="EO52" s="11">
        <f t="shared" si="182"/>
        <v>0</v>
      </c>
      <c r="EP52" s="11">
        <f t="shared" si="183"/>
        <v>0</v>
      </c>
      <c r="EQ52" s="11">
        <f t="shared" si="184"/>
        <v>0</v>
      </c>
      <c r="ER52" s="11">
        <f t="shared" si="185"/>
        <v>0</v>
      </c>
      <c r="ES52" s="11">
        <f t="shared" si="186"/>
        <v>0</v>
      </c>
      <c r="ET52" s="11">
        <f t="shared" si="187"/>
        <v>0</v>
      </c>
      <c r="EU52" s="11">
        <f t="shared" si="188"/>
        <v>0</v>
      </c>
      <c r="EV52" s="11">
        <f t="shared" si="189"/>
        <v>0</v>
      </c>
      <c r="EW52" s="11">
        <f t="shared" si="190"/>
        <v>0</v>
      </c>
      <c r="EX52" s="11">
        <f t="shared" si="191"/>
        <v>0</v>
      </c>
      <c r="EY52" s="11">
        <f t="shared" si="192"/>
        <v>0</v>
      </c>
      <c r="EZ52" s="11">
        <f t="shared" si="193"/>
        <v>0</v>
      </c>
      <c r="FA52" s="11">
        <f t="shared" si="194"/>
        <v>0</v>
      </c>
      <c r="FB52" s="11">
        <f t="shared" si="195"/>
        <v>0</v>
      </c>
      <c r="FC52" s="11">
        <f t="shared" si="196"/>
        <v>0</v>
      </c>
      <c r="FD52" s="11">
        <f t="shared" si="197"/>
        <v>0</v>
      </c>
      <c r="FE52" s="11">
        <f t="shared" si="198"/>
        <v>0</v>
      </c>
      <c r="FF52" s="11">
        <f t="shared" si="199"/>
        <v>0</v>
      </c>
      <c r="FG52" s="11">
        <f t="shared" si="200"/>
        <v>0</v>
      </c>
      <c r="FH52" s="11">
        <f t="shared" si="201"/>
        <v>0</v>
      </c>
      <c r="FI52" s="11">
        <f t="shared" si="202"/>
        <v>0</v>
      </c>
      <c r="FJ52" s="11">
        <f t="shared" si="203"/>
        <v>0</v>
      </c>
      <c r="FK52" s="11">
        <f t="shared" si="204"/>
        <v>0</v>
      </c>
      <c r="FL52" s="11">
        <f t="shared" si="205"/>
        <v>0</v>
      </c>
      <c r="FM52" s="11">
        <f t="shared" si="65"/>
        <v>0</v>
      </c>
      <c r="FO52" s="81"/>
      <c r="FP52" s="543"/>
      <c r="FQ52" s="543"/>
      <c r="FR52" s="544"/>
      <c r="FS52" s="544"/>
      <c r="FU52" s="544"/>
      <c r="FW52" s="470"/>
      <c r="FX52" s="1097" t="s">
        <v>283</v>
      </c>
      <c r="FY52" s="1083" t="s">
        <v>438</v>
      </c>
      <c r="FZ52" s="1083"/>
      <c r="GA52" s="1083"/>
      <c r="GB52" s="1100" t="s">
        <v>333</v>
      </c>
      <c r="GC52" s="1100" t="s">
        <v>442</v>
      </c>
      <c r="GD52" s="1084" t="s">
        <v>443</v>
      </c>
      <c r="GE52" s="1087" t="s">
        <v>441</v>
      </c>
      <c r="GG52" s="14">
        <v>33</v>
      </c>
      <c r="GH52" s="482">
        <f t="shared" si="104"/>
        <v>46631</v>
      </c>
      <c r="GI52" s="482">
        <f t="shared" si="105"/>
        <v>46660</v>
      </c>
      <c r="GJ52" s="14" t="str">
        <f>IF(AND(GI52&gt;=EXPEDIENTE!$F$25,GH52&lt;=EXPEDIENTE!$F$29),"SI","NO")</f>
        <v>SI</v>
      </c>
      <c r="GK52" s="11">
        <f t="shared" si="66"/>
        <v>0</v>
      </c>
      <c r="GL52" s="11">
        <f t="shared" si="67"/>
        <v>0</v>
      </c>
      <c r="GM52" s="11">
        <f t="shared" si="68"/>
        <v>0</v>
      </c>
      <c r="GN52" s="11">
        <f t="shared" si="69"/>
        <v>0</v>
      </c>
      <c r="GO52" s="11">
        <f t="shared" si="70"/>
        <v>0</v>
      </c>
      <c r="GP52" s="11">
        <f t="shared" si="71"/>
        <v>0</v>
      </c>
      <c r="GQ52" s="11">
        <f t="shared" si="72"/>
        <v>0</v>
      </c>
      <c r="GR52" s="11">
        <f t="shared" si="73"/>
        <v>0</v>
      </c>
      <c r="GS52" s="11">
        <f t="shared" si="74"/>
        <v>0</v>
      </c>
      <c r="GT52" s="11">
        <f t="shared" si="75"/>
        <v>0</v>
      </c>
      <c r="GU52" s="11">
        <f t="shared" si="76"/>
        <v>0</v>
      </c>
      <c r="GV52" s="11">
        <f t="shared" si="77"/>
        <v>0</v>
      </c>
      <c r="GW52" s="11">
        <f t="shared" si="78"/>
        <v>0</v>
      </c>
      <c r="GX52" s="11">
        <f t="shared" si="79"/>
        <v>0</v>
      </c>
      <c r="GY52" s="11">
        <f t="shared" si="80"/>
        <v>0</v>
      </c>
      <c r="GZ52" s="11">
        <f t="shared" si="81"/>
        <v>0</v>
      </c>
      <c r="HA52" s="11">
        <f t="shared" si="82"/>
        <v>0</v>
      </c>
      <c r="HB52" s="11">
        <f t="shared" si="83"/>
        <v>0</v>
      </c>
      <c r="HC52" s="11">
        <f t="shared" si="84"/>
        <v>0</v>
      </c>
      <c r="HD52" s="11">
        <f t="shared" si="85"/>
        <v>0</v>
      </c>
      <c r="HE52" s="11">
        <f t="shared" si="86"/>
        <v>0</v>
      </c>
      <c r="HF52" s="11">
        <f t="shared" si="87"/>
        <v>0</v>
      </c>
      <c r="HG52" s="11">
        <f t="shared" si="88"/>
        <v>0</v>
      </c>
      <c r="HH52" s="11">
        <f t="shared" si="89"/>
        <v>0</v>
      </c>
      <c r="HI52" s="11">
        <f t="shared" si="90"/>
        <v>0</v>
      </c>
      <c r="HJ52" s="11">
        <f t="shared" si="91"/>
        <v>0</v>
      </c>
      <c r="HK52" s="11">
        <f t="shared" si="92"/>
        <v>0</v>
      </c>
      <c r="HL52" s="11">
        <f t="shared" si="93"/>
        <v>0</v>
      </c>
      <c r="HM52" s="11">
        <f t="shared" si="94"/>
        <v>0</v>
      </c>
      <c r="HN52" s="11">
        <f t="shared" si="95"/>
        <v>0</v>
      </c>
      <c r="HO52" s="11">
        <f t="shared" si="96"/>
        <v>0</v>
      </c>
      <c r="HP52" s="11">
        <f t="shared" si="97"/>
        <v>0</v>
      </c>
      <c r="HQ52" s="11">
        <f t="shared" si="98"/>
        <v>0</v>
      </c>
      <c r="HT52" s="81"/>
      <c r="HU52" s="543"/>
      <c r="HV52" s="543"/>
      <c r="HW52" s="544"/>
      <c r="HX52" s="544"/>
      <c r="HZ52" s="544"/>
      <c r="JF52" s="480">
        <v>48</v>
      </c>
      <c r="JG52" s="474">
        <f t="shared" si="101"/>
        <v>18</v>
      </c>
    </row>
    <row r="53" spans="3:267" ht="15" customHeight="1" thickBot="1" x14ac:dyDescent="0.35">
      <c r="C53" s="8">
        <v>47</v>
      </c>
      <c r="D53" s="12"/>
      <c r="E53" s="17"/>
      <c r="F53" s="18"/>
      <c r="G53" s="19"/>
      <c r="H53" s="19"/>
      <c r="I53" s="19"/>
      <c r="J53" s="12"/>
      <c r="K53" s="14">
        <f t="shared" si="43"/>
        <v>76</v>
      </c>
      <c r="L53" s="14">
        <f t="shared" si="44"/>
        <v>76</v>
      </c>
      <c r="M53" s="14" t="str">
        <f t="shared" si="45"/>
        <v>X</v>
      </c>
      <c r="Y53" s="547">
        <f t="shared" si="46"/>
        <v>47</v>
      </c>
      <c r="Z53" s="478" t="str">
        <f>IF(Y53="","",IF(EDATE($Z$6,Y53)&gt;EXPEDIENTE!$F$27,"",EDATE($Z$6,Y53)))</f>
        <v/>
      </c>
      <c r="AA53" s="478" t="str">
        <f t="shared" si="170"/>
        <v/>
      </c>
      <c r="AB53" s="478" t="str">
        <f>IF(AA53="","",IF(YEAR(EXPEDIENTE!$F$25)=YEAR(AA53),AA53,""))</f>
        <v/>
      </c>
      <c r="AC53" s="478" t="str">
        <f>IF(AA53="","",IF(YEAR(EXPEDIENTE!$F$25)+1=YEAR(AA53),AA53,""))</f>
        <v/>
      </c>
      <c r="AD53" s="478" t="str">
        <f>IF(AA53="","",IF(YEAR(EXPEDIENTE!$F$25)+2=YEAR(AA53),AA53,""))</f>
        <v/>
      </c>
      <c r="AE53" s="478" t="str">
        <f>IF(AA53="","",IF(YEAR(EXPEDIENTE!$F$25)+3=YEAR(AA53),AA53,""))</f>
        <v/>
      </c>
      <c r="AG53" s="1115"/>
      <c r="AH53" s="1203"/>
      <c r="AI53" s="1206"/>
      <c r="AJ53" s="1206"/>
      <c r="AK53" s="1209"/>
      <c r="AM53" s="1185"/>
      <c r="AN53" s="1188"/>
      <c r="AO53" s="1125"/>
      <c r="AP53" s="1197"/>
      <c r="AQ53" s="1185" t="s">
        <v>444</v>
      </c>
      <c r="AR53" s="1188" t="s">
        <v>445</v>
      </c>
      <c r="AS53" s="1127" t="s">
        <v>446</v>
      </c>
      <c r="AT53" s="1123" t="s">
        <v>285</v>
      </c>
      <c r="AU53" s="1125" t="s">
        <v>286</v>
      </c>
      <c r="AV53" s="1126" t="s">
        <v>447</v>
      </c>
      <c r="AW53" s="1127" t="s">
        <v>448</v>
      </c>
      <c r="AX53" s="1130"/>
      <c r="AY53" s="1142"/>
      <c r="AZ53" s="1142"/>
      <c r="BC53" s="1114" t="e">
        <f>AG52</f>
        <v>#VALUE!</v>
      </c>
      <c r="BD53" s="1103" t="e">
        <f>CONCATENATE("P.P. OTRAS NÓMINAS ABONADAS EN ",BC53)</f>
        <v>#VALUE!</v>
      </c>
      <c r="BE53" s="1104"/>
      <c r="BF53" s="1104"/>
      <c r="BG53" s="1104"/>
      <c r="BH53" s="1104"/>
      <c r="BI53" s="1104"/>
      <c r="BJ53" s="1104"/>
      <c r="BK53" s="1104"/>
      <c r="BL53" s="1105"/>
      <c r="BN53" s="1103" t="e">
        <f>CONCATENATE("P.P. OTRAS NÓMINAS ABONADAS EN ",BC69)</f>
        <v>#VALUE!</v>
      </c>
      <c r="BO53" s="1104"/>
      <c r="BP53" s="1104"/>
      <c r="BQ53" s="1104"/>
      <c r="BR53" s="1104"/>
      <c r="BS53" s="1104"/>
      <c r="BT53" s="1104"/>
      <c r="BU53" s="1104"/>
      <c r="BV53" s="1105"/>
      <c r="BX53" s="1114" t="s">
        <v>382</v>
      </c>
      <c r="BZ53" s="1214"/>
      <c r="CA53" s="1223"/>
      <c r="CB53" s="1226"/>
      <c r="CC53" s="1226"/>
      <c r="CD53" s="1229"/>
      <c r="CF53" s="1162"/>
      <c r="CG53" s="1165"/>
      <c r="CH53" s="1168"/>
      <c r="CI53" s="1171"/>
      <c r="CJ53" s="1162" t="s">
        <v>444</v>
      </c>
      <c r="CK53" s="1165" t="s">
        <v>445</v>
      </c>
      <c r="CL53" s="1181" t="s">
        <v>446</v>
      </c>
      <c r="CM53" s="1179" t="s">
        <v>285</v>
      </c>
      <c r="CN53" s="1168" t="s">
        <v>286</v>
      </c>
      <c r="CO53" s="1093" t="s">
        <v>447</v>
      </c>
      <c r="CP53" s="1181" t="s">
        <v>448</v>
      </c>
      <c r="CQ53" s="1212"/>
      <c r="CR53" s="1091"/>
      <c r="CS53" s="1091"/>
      <c r="CV53" s="1213" t="e">
        <f>BZ52</f>
        <v>#VALUE!</v>
      </c>
      <c r="CW53" s="1147" t="e">
        <f>CONCATENATE("P.P. OTRAS NÓMINAS ABONADAS EN ",CV53)</f>
        <v>#VALUE!</v>
      </c>
      <c r="CX53" s="1148"/>
      <c r="CY53" s="1148"/>
      <c r="CZ53" s="1148"/>
      <c r="DA53" s="1148"/>
      <c r="DB53" s="1148"/>
      <c r="DC53" s="1148"/>
      <c r="DD53" s="1148"/>
      <c r="DE53" s="1149"/>
      <c r="DG53" s="1147" t="e">
        <f>CONCATENATE("P.P. OTRAS NÓMINAS ABONADAS EN ",CV69)</f>
        <v>#VALUE!</v>
      </c>
      <c r="DH53" s="1148"/>
      <c r="DI53" s="1148"/>
      <c r="DJ53" s="1148"/>
      <c r="DK53" s="1148"/>
      <c r="DL53" s="1148"/>
      <c r="DM53" s="1148"/>
      <c r="DN53" s="1148"/>
      <c r="DO53" s="1149"/>
      <c r="DQ53" s="1213" t="s">
        <v>382</v>
      </c>
      <c r="DS53" s="470"/>
      <c r="DT53" s="1098"/>
      <c r="DU53" s="1081" t="s">
        <v>285</v>
      </c>
      <c r="DV53" s="1081" t="s">
        <v>286</v>
      </c>
      <c r="DW53" s="1081" t="s">
        <v>448</v>
      </c>
      <c r="DX53" s="1101"/>
      <c r="DY53" s="1101"/>
      <c r="DZ53" s="1085"/>
      <c r="EA53" s="1088"/>
      <c r="EC53" s="14">
        <v>34</v>
      </c>
      <c r="ED53" s="482">
        <f t="shared" si="102"/>
        <v>46661</v>
      </c>
      <c r="EE53" s="482">
        <f t="shared" si="103"/>
        <v>46691</v>
      </c>
      <c r="EF53" s="14" t="str">
        <f>IF(AND(EE53&gt;=EXPEDIENTE!$F$25,ED53&lt;=EXPEDIENTE!$F$29),"SI","NO")</f>
        <v>SI</v>
      </c>
      <c r="EG53" s="11">
        <f t="shared" si="174"/>
        <v>0</v>
      </c>
      <c r="EH53" s="11">
        <f t="shared" si="175"/>
        <v>0</v>
      </c>
      <c r="EI53" s="11">
        <f t="shared" si="176"/>
        <v>0</v>
      </c>
      <c r="EJ53" s="11">
        <f t="shared" si="177"/>
        <v>0</v>
      </c>
      <c r="EK53" s="11">
        <f t="shared" si="178"/>
        <v>0</v>
      </c>
      <c r="EL53" s="11">
        <f t="shared" si="179"/>
        <v>0</v>
      </c>
      <c r="EM53" s="11">
        <f t="shared" si="180"/>
        <v>0</v>
      </c>
      <c r="EN53" s="11">
        <f t="shared" si="181"/>
        <v>0</v>
      </c>
      <c r="EO53" s="11">
        <f t="shared" si="182"/>
        <v>0</v>
      </c>
      <c r="EP53" s="11">
        <f t="shared" si="183"/>
        <v>0</v>
      </c>
      <c r="EQ53" s="11">
        <f t="shared" si="184"/>
        <v>0</v>
      </c>
      <c r="ER53" s="11">
        <f t="shared" si="185"/>
        <v>0</v>
      </c>
      <c r="ES53" s="11">
        <f t="shared" si="186"/>
        <v>0</v>
      </c>
      <c r="ET53" s="11">
        <f t="shared" si="187"/>
        <v>0</v>
      </c>
      <c r="EU53" s="11">
        <f t="shared" si="188"/>
        <v>0</v>
      </c>
      <c r="EV53" s="11">
        <f t="shared" si="189"/>
        <v>0</v>
      </c>
      <c r="EW53" s="11">
        <f t="shared" si="190"/>
        <v>0</v>
      </c>
      <c r="EX53" s="11">
        <f t="shared" si="191"/>
        <v>0</v>
      </c>
      <c r="EY53" s="11">
        <f t="shared" si="192"/>
        <v>0</v>
      </c>
      <c r="EZ53" s="11">
        <f t="shared" si="193"/>
        <v>0</v>
      </c>
      <c r="FA53" s="11">
        <f t="shared" si="194"/>
        <v>0</v>
      </c>
      <c r="FB53" s="11">
        <f t="shared" si="195"/>
        <v>0</v>
      </c>
      <c r="FC53" s="11">
        <f t="shared" si="196"/>
        <v>0</v>
      </c>
      <c r="FD53" s="11">
        <f t="shared" si="197"/>
        <v>0</v>
      </c>
      <c r="FE53" s="11">
        <f t="shared" si="198"/>
        <v>0</v>
      </c>
      <c r="FF53" s="11">
        <f t="shared" si="199"/>
        <v>0</v>
      </c>
      <c r="FG53" s="11">
        <f t="shared" si="200"/>
        <v>0</v>
      </c>
      <c r="FH53" s="11">
        <f t="shared" si="201"/>
        <v>0</v>
      </c>
      <c r="FI53" s="11">
        <f t="shared" si="202"/>
        <v>0</v>
      </c>
      <c r="FJ53" s="11">
        <f t="shared" si="203"/>
        <v>0</v>
      </c>
      <c r="FK53" s="11">
        <f t="shared" si="204"/>
        <v>0</v>
      </c>
      <c r="FL53" s="11">
        <f t="shared" si="205"/>
        <v>0</v>
      </c>
      <c r="FM53" s="11">
        <f t="shared" si="65"/>
        <v>0</v>
      </c>
      <c r="FW53" s="470"/>
      <c r="FX53" s="1098"/>
      <c r="FY53" s="1081" t="s">
        <v>285</v>
      </c>
      <c r="FZ53" s="1081" t="s">
        <v>286</v>
      </c>
      <c r="GA53" s="1081" t="s">
        <v>448</v>
      </c>
      <c r="GB53" s="1101"/>
      <c r="GC53" s="1101"/>
      <c r="GD53" s="1085"/>
      <c r="GE53" s="1088"/>
      <c r="GG53" s="14">
        <v>34</v>
      </c>
      <c r="GH53" s="482">
        <f t="shared" si="104"/>
        <v>46661</v>
      </c>
      <c r="GI53" s="482">
        <f t="shared" si="105"/>
        <v>46691</v>
      </c>
      <c r="GJ53" s="14" t="str">
        <f>IF(AND(GI53&gt;=EXPEDIENTE!$F$25,GH53&lt;=EXPEDIENTE!$F$29),"SI","NO")</f>
        <v>SI</v>
      </c>
      <c r="GK53" s="11">
        <f t="shared" si="66"/>
        <v>0</v>
      </c>
      <c r="GL53" s="11">
        <f t="shared" si="67"/>
        <v>0</v>
      </c>
      <c r="GM53" s="11">
        <f t="shared" si="68"/>
        <v>0</v>
      </c>
      <c r="GN53" s="11">
        <f t="shared" si="69"/>
        <v>0</v>
      </c>
      <c r="GO53" s="11">
        <f t="shared" si="70"/>
        <v>0</v>
      </c>
      <c r="GP53" s="11">
        <f t="shared" si="71"/>
        <v>0</v>
      </c>
      <c r="GQ53" s="11">
        <f t="shared" si="72"/>
        <v>0</v>
      </c>
      <c r="GR53" s="11">
        <f t="shared" si="73"/>
        <v>0</v>
      </c>
      <c r="GS53" s="11">
        <f t="shared" si="74"/>
        <v>0</v>
      </c>
      <c r="GT53" s="11">
        <f t="shared" si="75"/>
        <v>0</v>
      </c>
      <c r="GU53" s="11">
        <f t="shared" si="76"/>
        <v>0</v>
      </c>
      <c r="GV53" s="11">
        <f t="shared" si="77"/>
        <v>0</v>
      </c>
      <c r="GW53" s="11">
        <f t="shared" si="78"/>
        <v>0</v>
      </c>
      <c r="GX53" s="11">
        <f t="shared" si="79"/>
        <v>0</v>
      </c>
      <c r="GY53" s="11">
        <f t="shared" si="80"/>
        <v>0</v>
      </c>
      <c r="GZ53" s="11">
        <f t="shared" si="81"/>
        <v>0</v>
      </c>
      <c r="HA53" s="11">
        <f t="shared" si="82"/>
        <v>0</v>
      </c>
      <c r="HB53" s="11">
        <f t="shared" si="83"/>
        <v>0</v>
      </c>
      <c r="HC53" s="11">
        <f t="shared" si="84"/>
        <v>0</v>
      </c>
      <c r="HD53" s="11">
        <f t="shared" si="85"/>
        <v>0</v>
      </c>
      <c r="HE53" s="11">
        <f t="shared" si="86"/>
        <v>0</v>
      </c>
      <c r="HF53" s="11">
        <f t="shared" si="87"/>
        <v>0</v>
      </c>
      <c r="HG53" s="11">
        <f t="shared" si="88"/>
        <v>0</v>
      </c>
      <c r="HH53" s="11">
        <f t="shared" si="89"/>
        <v>0</v>
      </c>
      <c r="HI53" s="11">
        <f t="shared" si="90"/>
        <v>0</v>
      </c>
      <c r="HJ53" s="11">
        <f t="shared" si="91"/>
        <v>0</v>
      </c>
      <c r="HK53" s="11">
        <f t="shared" si="92"/>
        <v>0</v>
      </c>
      <c r="HL53" s="11">
        <f t="shared" si="93"/>
        <v>0</v>
      </c>
      <c r="HM53" s="11">
        <f t="shared" si="94"/>
        <v>0</v>
      </c>
      <c r="HN53" s="11">
        <f t="shared" si="95"/>
        <v>0</v>
      </c>
      <c r="HO53" s="11">
        <f t="shared" si="96"/>
        <v>0</v>
      </c>
      <c r="HP53" s="11">
        <f t="shared" si="97"/>
        <v>0</v>
      </c>
      <c r="HQ53" s="11">
        <f t="shared" si="98"/>
        <v>0</v>
      </c>
      <c r="JF53" s="480">
        <v>49</v>
      </c>
      <c r="JG53" s="474">
        <f t="shared" si="101"/>
        <v>18</v>
      </c>
    </row>
    <row r="54" spans="3:267" ht="15.75" thickBot="1" x14ac:dyDescent="0.35">
      <c r="C54" s="8">
        <v>48</v>
      </c>
      <c r="D54" s="12"/>
      <c r="E54" s="17"/>
      <c r="F54" s="18"/>
      <c r="G54" s="19"/>
      <c r="H54" s="19"/>
      <c r="I54" s="19"/>
      <c r="J54" s="12"/>
      <c r="K54" s="14">
        <f t="shared" si="43"/>
        <v>76</v>
      </c>
      <c r="L54" s="14">
        <f t="shared" si="44"/>
        <v>76</v>
      </c>
      <c r="M54" s="14" t="str">
        <f t="shared" si="45"/>
        <v>X</v>
      </c>
      <c r="Y54" s="547">
        <f t="shared" si="46"/>
        <v>48</v>
      </c>
      <c r="Z54" s="485"/>
      <c r="AA54" s="545" t="str">
        <f t="shared" si="170"/>
        <v/>
      </c>
      <c r="AB54" s="545" t="str">
        <f>IF(AA54="","",IF(YEAR(EXPEDIENTE!$F$25)=YEAR(AA54),AA54,""))</f>
        <v/>
      </c>
      <c r="AC54" s="545" t="str">
        <f>IF(AA54="","",IF(YEAR(EXPEDIENTE!$F$25)+1=YEAR(AA54),AA54,""))</f>
        <v/>
      </c>
      <c r="AD54" s="545" t="str">
        <f>IF(AA54="","",IF(YEAR(EXPEDIENTE!$F$25)+2=YEAR(AA54),AA54,""))</f>
        <v/>
      </c>
      <c r="AE54" s="545" t="str">
        <f>IF(AA54="","",IF(YEAR(EXPEDIENTE!$F$25)+3=YEAR(AA54),AA54,""))</f>
        <v/>
      </c>
      <c r="AG54" s="1115"/>
      <c r="AH54" s="1203"/>
      <c r="AI54" s="1206"/>
      <c r="AJ54" s="1206"/>
      <c r="AK54" s="1209"/>
      <c r="AM54" s="1185"/>
      <c r="AN54" s="1188"/>
      <c r="AO54" s="1125"/>
      <c r="AP54" s="1197"/>
      <c r="AQ54" s="1185"/>
      <c r="AR54" s="1188"/>
      <c r="AS54" s="1127"/>
      <c r="AT54" s="1123"/>
      <c r="AU54" s="1125"/>
      <c r="AV54" s="1200"/>
      <c r="AW54" s="1127"/>
      <c r="AX54" s="1130"/>
      <c r="AY54" s="1142"/>
      <c r="AZ54" s="1142"/>
      <c r="BC54" s="1115"/>
      <c r="BD54" s="1106">
        <f>'GASTOS EJER. 3'!$C$38</f>
        <v>0</v>
      </c>
      <c r="BE54" s="1108">
        <f>'GASTOS EJER. 3'!$C$39</f>
        <v>0</v>
      </c>
      <c r="BF54" s="1108">
        <f>'GASTOS EJER. 3'!$C$40</f>
        <v>0</v>
      </c>
      <c r="BG54" s="1108">
        <f>'GASTOS EJER. 3'!$C$41</f>
        <v>0</v>
      </c>
      <c r="BH54" s="1108">
        <f>'GASTOS EJER. 3'!$C$42</f>
        <v>0</v>
      </c>
      <c r="BI54" s="1108">
        <f>'GASTOS EJER. 3'!$C$43</f>
        <v>0</v>
      </c>
      <c r="BJ54" s="1108">
        <f>'GASTOS EJER. 3'!$C$44</f>
        <v>0</v>
      </c>
      <c r="BK54" s="1136">
        <f>'GASTOS EJER. 3'!$C$45</f>
        <v>0</v>
      </c>
      <c r="BL54" s="1131" t="s">
        <v>382</v>
      </c>
      <c r="BN54" s="1106">
        <f>'GASTOS EJER. 4'!$C$38</f>
        <v>0</v>
      </c>
      <c r="BO54" s="1108">
        <f>'GASTOS EJER. 4'!$C$39</f>
        <v>0</v>
      </c>
      <c r="BP54" s="1108">
        <f>'GASTOS EJER. 4'!$C$40</f>
        <v>0</v>
      </c>
      <c r="BQ54" s="1108">
        <f>'GASTOS EJER. 4'!$C$41</f>
        <v>0</v>
      </c>
      <c r="BR54" s="1108">
        <f>'GASTOS EJER. 4'!$C$42</f>
        <v>0</v>
      </c>
      <c r="BS54" s="1108">
        <f>'GASTOS EJER. 4'!$C$43</f>
        <v>0</v>
      </c>
      <c r="BT54" s="1108">
        <f>'GASTOS EJER. 4'!$C$44</f>
        <v>0</v>
      </c>
      <c r="BU54" s="1136">
        <f>'GASTOS EJER. 4'!$C$45</f>
        <v>0</v>
      </c>
      <c r="BV54" s="1131" t="s">
        <v>382</v>
      </c>
      <c r="BX54" s="1115"/>
      <c r="BZ54" s="1214"/>
      <c r="CA54" s="1223"/>
      <c r="CB54" s="1226"/>
      <c r="CC54" s="1226"/>
      <c r="CD54" s="1229"/>
      <c r="CF54" s="1162"/>
      <c r="CG54" s="1165"/>
      <c r="CH54" s="1168"/>
      <c r="CI54" s="1171"/>
      <c r="CJ54" s="1162"/>
      <c r="CK54" s="1165"/>
      <c r="CL54" s="1181"/>
      <c r="CM54" s="1179"/>
      <c r="CN54" s="1168"/>
      <c r="CO54" s="1094"/>
      <c r="CP54" s="1181"/>
      <c r="CQ54" s="1212"/>
      <c r="CR54" s="1091"/>
      <c r="CS54" s="1091"/>
      <c r="CV54" s="1214"/>
      <c r="CW54" s="1155">
        <f>'GASTOS EJER. 3'!$C$38</f>
        <v>0</v>
      </c>
      <c r="CX54" s="1157">
        <f>'GASTOS EJER. 3'!$C$39</f>
        <v>0</v>
      </c>
      <c r="CY54" s="1157">
        <f>'GASTOS EJER. 3'!$C$40</f>
        <v>0</v>
      </c>
      <c r="CZ54" s="1157">
        <f>'GASTOS EJER. 3'!$C$41</f>
        <v>0</v>
      </c>
      <c r="DA54" s="1157">
        <f>'GASTOS EJER. 3'!$C$42</f>
        <v>0</v>
      </c>
      <c r="DB54" s="1157">
        <f>'GASTOS EJER. 3'!$C$43</f>
        <v>0</v>
      </c>
      <c r="DC54" s="1157">
        <f>'GASTOS EJER. 3'!$C$44</f>
        <v>0</v>
      </c>
      <c r="DD54" s="1173">
        <f>'GASTOS EJER. 3'!$C$45</f>
        <v>0</v>
      </c>
      <c r="DE54" s="1159" t="s">
        <v>382</v>
      </c>
      <c r="DG54" s="1155">
        <f>'GASTOS EJER. 4'!$C$38</f>
        <v>0</v>
      </c>
      <c r="DH54" s="1157">
        <f>'GASTOS EJER. 4'!$C$39</f>
        <v>0</v>
      </c>
      <c r="DI54" s="1157">
        <f>'GASTOS EJER. 4'!$C$40</f>
        <v>0</v>
      </c>
      <c r="DJ54" s="1157">
        <f>'GASTOS EJER. 4'!$C$41</f>
        <v>0</v>
      </c>
      <c r="DK54" s="1157">
        <f>'GASTOS EJER. 4'!$C$42</f>
        <v>0</v>
      </c>
      <c r="DL54" s="1157">
        <f>'GASTOS EJER. 4'!$C$43</f>
        <v>0</v>
      </c>
      <c r="DM54" s="1157">
        <f>'GASTOS EJER. 4'!$C$44</f>
        <v>0</v>
      </c>
      <c r="DN54" s="1173">
        <f>'GASTOS EJER. 4'!$C$45</f>
        <v>0</v>
      </c>
      <c r="DO54" s="1159" t="s">
        <v>382</v>
      </c>
      <c r="DQ54" s="1214"/>
      <c r="DS54" s="470"/>
      <c r="DT54" s="1099"/>
      <c r="DU54" s="1082"/>
      <c r="DV54" s="1082"/>
      <c r="DW54" s="1082"/>
      <c r="DX54" s="1102"/>
      <c r="DY54" s="1102"/>
      <c r="DZ54" s="1086"/>
      <c r="EA54" s="1089"/>
      <c r="EC54" s="14">
        <v>35</v>
      </c>
      <c r="ED54" s="482">
        <f t="shared" si="102"/>
        <v>46692</v>
      </c>
      <c r="EE54" s="482">
        <f t="shared" si="103"/>
        <v>46721</v>
      </c>
      <c r="EF54" s="14" t="str">
        <f>IF(AND(EE54&gt;=EXPEDIENTE!$F$25,ED54&lt;=EXPEDIENTE!$F$29),"SI","NO")</f>
        <v>SI</v>
      </c>
      <c r="EG54" s="11">
        <f t="shared" si="174"/>
        <v>0</v>
      </c>
      <c r="EH54" s="11">
        <f t="shared" si="175"/>
        <v>0</v>
      </c>
      <c r="EI54" s="11">
        <f t="shared" si="176"/>
        <v>0</v>
      </c>
      <c r="EJ54" s="11">
        <f t="shared" si="177"/>
        <v>0</v>
      </c>
      <c r="EK54" s="11">
        <f t="shared" si="178"/>
        <v>0</v>
      </c>
      <c r="EL54" s="11">
        <f t="shared" si="179"/>
        <v>0</v>
      </c>
      <c r="EM54" s="11">
        <f t="shared" si="180"/>
        <v>0</v>
      </c>
      <c r="EN54" s="11">
        <f t="shared" si="181"/>
        <v>0</v>
      </c>
      <c r="EO54" s="11">
        <f t="shared" si="182"/>
        <v>0</v>
      </c>
      <c r="EP54" s="11">
        <f t="shared" si="183"/>
        <v>0</v>
      </c>
      <c r="EQ54" s="11">
        <f t="shared" si="184"/>
        <v>0</v>
      </c>
      <c r="ER54" s="11">
        <f t="shared" si="185"/>
        <v>0</v>
      </c>
      <c r="ES54" s="11">
        <f t="shared" si="186"/>
        <v>0</v>
      </c>
      <c r="ET54" s="11">
        <f t="shared" si="187"/>
        <v>0</v>
      </c>
      <c r="EU54" s="11">
        <f t="shared" si="188"/>
        <v>0</v>
      </c>
      <c r="EV54" s="11">
        <f t="shared" si="189"/>
        <v>0</v>
      </c>
      <c r="EW54" s="11">
        <f t="shared" si="190"/>
        <v>0</v>
      </c>
      <c r="EX54" s="11">
        <f t="shared" si="191"/>
        <v>0</v>
      </c>
      <c r="EY54" s="11">
        <f t="shared" si="192"/>
        <v>0</v>
      </c>
      <c r="EZ54" s="11">
        <f t="shared" si="193"/>
        <v>0</v>
      </c>
      <c r="FA54" s="11">
        <f t="shared" si="194"/>
        <v>0</v>
      </c>
      <c r="FB54" s="11">
        <f t="shared" si="195"/>
        <v>0</v>
      </c>
      <c r="FC54" s="11">
        <f t="shared" si="196"/>
        <v>0</v>
      </c>
      <c r="FD54" s="11">
        <f t="shared" si="197"/>
        <v>0</v>
      </c>
      <c r="FE54" s="11">
        <f t="shared" si="198"/>
        <v>0</v>
      </c>
      <c r="FF54" s="11">
        <f t="shared" si="199"/>
        <v>0</v>
      </c>
      <c r="FG54" s="11">
        <f t="shared" si="200"/>
        <v>0</v>
      </c>
      <c r="FH54" s="11">
        <f t="shared" si="201"/>
        <v>0</v>
      </c>
      <c r="FI54" s="11">
        <f t="shared" si="202"/>
        <v>0</v>
      </c>
      <c r="FJ54" s="11">
        <f t="shared" si="203"/>
        <v>0</v>
      </c>
      <c r="FK54" s="11">
        <f t="shared" si="204"/>
        <v>0</v>
      </c>
      <c r="FL54" s="11">
        <f t="shared" si="205"/>
        <v>0</v>
      </c>
      <c r="FM54" s="11">
        <f t="shared" si="65"/>
        <v>0</v>
      </c>
      <c r="FO54" s="493" t="e">
        <f>BC53</f>
        <v>#VALUE!</v>
      </c>
      <c r="FP54" s="494" t="s">
        <v>91</v>
      </c>
      <c r="FQ54" s="495" t="s">
        <v>450</v>
      </c>
      <c r="FR54" s="495" t="s">
        <v>332</v>
      </c>
      <c r="FS54" s="495" t="s">
        <v>451</v>
      </c>
      <c r="FT54" s="495" t="s">
        <v>452</v>
      </c>
      <c r="FU54" s="496" t="s">
        <v>382</v>
      </c>
      <c r="FW54" s="470"/>
      <c r="FX54" s="1099"/>
      <c r="FY54" s="1082"/>
      <c r="FZ54" s="1082"/>
      <c r="GA54" s="1082"/>
      <c r="GB54" s="1102"/>
      <c r="GC54" s="1102"/>
      <c r="GD54" s="1086"/>
      <c r="GE54" s="1089"/>
      <c r="GG54" s="14">
        <v>35</v>
      </c>
      <c r="GH54" s="482">
        <f t="shared" si="104"/>
        <v>46692</v>
      </c>
      <c r="GI54" s="482">
        <f t="shared" si="105"/>
        <v>46721</v>
      </c>
      <c r="GJ54" s="14" t="str">
        <f>IF(AND(GI54&gt;=EXPEDIENTE!$F$25,GH54&lt;=EXPEDIENTE!$F$29),"SI","NO")</f>
        <v>SI</v>
      </c>
      <c r="GK54" s="11">
        <f t="shared" si="66"/>
        <v>0</v>
      </c>
      <c r="GL54" s="11">
        <f t="shared" si="67"/>
        <v>0</v>
      </c>
      <c r="GM54" s="11">
        <f t="shared" si="68"/>
        <v>0</v>
      </c>
      <c r="GN54" s="11">
        <f t="shared" si="69"/>
        <v>0</v>
      </c>
      <c r="GO54" s="11">
        <f t="shared" si="70"/>
        <v>0</v>
      </c>
      <c r="GP54" s="11">
        <f t="shared" si="71"/>
        <v>0</v>
      </c>
      <c r="GQ54" s="11">
        <f t="shared" si="72"/>
        <v>0</v>
      </c>
      <c r="GR54" s="11">
        <f t="shared" si="73"/>
        <v>0</v>
      </c>
      <c r="GS54" s="11">
        <f t="shared" si="74"/>
        <v>0</v>
      </c>
      <c r="GT54" s="11">
        <f t="shared" si="75"/>
        <v>0</v>
      </c>
      <c r="GU54" s="11">
        <f t="shared" si="76"/>
        <v>0</v>
      </c>
      <c r="GV54" s="11">
        <f t="shared" si="77"/>
        <v>0</v>
      </c>
      <c r="GW54" s="11">
        <f t="shared" si="78"/>
        <v>0</v>
      </c>
      <c r="GX54" s="11">
        <f t="shared" si="79"/>
        <v>0</v>
      </c>
      <c r="GY54" s="11">
        <f t="shared" si="80"/>
        <v>0</v>
      </c>
      <c r="GZ54" s="11">
        <f t="shared" si="81"/>
        <v>0</v>
      </c>
      <c r="HA54" s="11">
        <f t="shared" si="82"/>
        <v>0</v>
      </c>
      <c r="HB54" s="11">
        <f t="shared" si="83"/>
        <v>0</v>
      </c>
      <c r="HC54" s="11">
        <f t="shared" si="84"/>
        <v>0</v>
      </c>
      <c r="HD54" s="11">
        <f t="shared" si="85"/>
        <v>0</v>
      </c>
      <c r="HE54" s="11">
        <f t="shared" si="86"/>
        <v>0</v>
      </c>
      <c r="HF54" s="11">
        <f t="shared" si="87"/>
        <v>0</v>
      </c>
      <c r="HG54" s="11">
        <f t="shared" si="88"/>
        <v>0</v>
      </c>
      <c r="HH54" s="11">
        <f t="shared" si="89"/>
        <v>0</v>
      </c>
      <c r="HI54" s="11">
        <f t="shared" si="90"/>
        <v>0</v>
      </c>
      <c r="HJ54" s="11">
        <f t="shared" si="91"/>
        <v>0</v>
      </c>
      <c r="HK54" s="11">
        <f t="shared" si="92"/>
        <v>0</v>
      </c>
      <c r="HL54" s="11">
        <f t="shared" si="93"/>
        <v>0</v>
      </c>
      <c r="HM54" s="11">
        <f t="shared" si="94"/>
        <v>0</v>
      </c>
      <c r="HN54" s="11">
        <f t="shared" si="95"/>
        <v>0</v>
      </c>
      <c r="HO54" s="11">
        <f t="shared" si="96"/>
        <v>0</v>
      </c>
      <c r="HP54" s="11">
        <f t="shared" si="97"/>
        <v>0</v>
      </c>
      <c r="HQ54" s="11">
        <f t="shared" si="98"/>
        <v>0</v>
      </c>
      <c r="HT54" s="497" t="e">
        <f>BZ52</f>
        <v>#VALUE!</v>
      </c>
      <c r="HU54" s="494" t="s">
        <v>91</v>
      </c>
      <c r="HV54" s="495" t="s">
        <v>450</v>
      </c>
      <c r="HW54" s="495" t="s">
        <v>332</v>
      </c>
      <c r="HX54" s="495" t="s">
        <v>451</v>
      </c>
      <c r="HY54" s="495" t="s">
        <v>452</v>
      </c>
      <c r="HZ54" s="496" t="s">
        <v>382</v>
      </c>
      <c r="JF54" s="485">
        <v>50</v>
      </c>
      <c r="JG54" s="474">
        <f t="shared" si="101"/>
        <v>18</v>
      </c>
    </row>
    <row r="55" spans="3:267" ht="15.75" thickBot="1" x14ac:dyDescent="0.35">
      <c r="C55" s="8">
        <v>49</v>
      </c>
      <c r="D55" s="12"/>
      <c r="E55" s="17"/>
      <c r="F55" s="18"/>
      <c r="G55" s="19"/>
      <c r="H55" s="19"/>
      <c r="I55" s="19"/>
      <c r="J55" s="12"/>
      <c r="K55" s="14">
        <f t="shared" si="43"/>
        <v>76</v>
      </c>
      <c r="L55" s="14">
        <f t="shared" si="44"/>
        <v>76</v>
      </c>
      <c r="M55" s="14" t="str">
        <f t="shared" si="45"/>
        <v>X</v>
      </c>
      <c r="AG55" s="1116"/>
      <c r="AH55" s="1204"/>
      <c r="AI55" s="1207"/>
      <c r="AJ55" s="1207"/>
      <c r="AK55" s="1210"/>
      <c r="AM55" s="1186"/>
      <c r="AN55" s="1189"/>
      <c r="AO55" s="1191"/>
      <c r="AP55" s="1198"/>
      <c r="AQ55" s="1186"/>
      <c r="AR55" s="1189"/>
      <c r="AS55" s="1199"/>
      <c r="AT55" s="1124"/>
      <c r="AU55" s="1126"/>
      <c r="AV55" s="1201"/>
      <c r="AW55" s="1128"/>
      <c r="AX55" s="467" t="e">
        <f>AG52</f>
        <v>#VALUE!</v>
      </c>
      <c r="AY55" s="1143"/>
      <c r="AZ55" s="1143"/>
      <c r="BC55" s="1116"/>
      <c r="BD55" s="1107"/>
      <c r="BE55" s="1109"/>
      <c r="BF55" s="1109"/>
      <c r="BG55" s="1109"/>
      <c r="BH55" s="1109"/>
      <c r="BI55" s="1109"/>
      <c r="BJ55" s="1109"/>
      <c r="BK55" s="1137"/>
      <c r="BL55" s="1132"/>
      <c r="BN55" s="1107"/>
      <c r="BO55" s="1109"/>
      <c r="BP55" s="1109"/>
      <c r="BQ55" s="1109"/>
      <c r="BR55" s="1109"/>
      <c r="BS55" s="1109"/>
      <c r="BT55" s="1109"/>
      <c r="BU55" s="1137"/>
      <c r="BV55" s="1132"/>
      <c r="BX55" s="592" t="e">
        <f>AG52</f>
        <v>#VALUE!</v>
      </c>
      <c r="BZ55" s="1218"/>
      <c r="CA55" s="1224"/>
      <c r="CB55" s="1227"/>
      <c r="CC55" s="1227"/>
      <c r="CD55" s="1230"/>
      <c r="CF55" s="1163"/>
      <c r="CG55" s="1166"/>
      <c r="CH55" s="1169"/>
      <c r="CI55" s="1172"/>
      <c r="CJ55" s="1163"/>
      <c r="CK55" s="1166"/>
      <c r="CL55" s="1183"/>
      <c r="CM55" s="1180"/>
      <c r="CN55" s="1093"/>
      <c r="CO55" s="1095"/>
      <c r="CP55" s="1182"/>
      <c r="CQ55" s="575" t="e">
        <f>BZ52</f>
        <v>#VALUE!</v>
      </c>
      <c r="CR55" s="1092"/>
      <c r="CS55" s="1092"/>
      <c r="CV55" s="1218"/>
      <c r="CW55" s="1156"/>
      <c r="CX55" s="1158"/>
      <c r="CY55" s="1158"/>
      <c r="CZ55" s="1158"/>
      <c r="DA55" s="1158"/>
      <c r="DB55" s="1158"/>
      <c r="DC55" s="1158"/>
      <c r="DD55" s="1174"/>
      <c r="DE55" s="1160"/>
      <c r="DG55" s="1156"/>
      <c r="DH55" s="1158"/>
      <c r="DI55" s="1158"/>
      <c r="DJ55" s="1158"/>
      <c r="DK55" s="1158"/>
      <c r="DL55" s="1158"/>
      <c r="DM55" s="1158"/>
      <c r="DN55" s="1174"/>
      <c r="DO55" s="1160"/>
      <c r="DQ55" s="614" t="e">
        <f>BZ52</f>
        <v>#VALUE!</v>
      </c>
      <c r="DS55" s="498">
        <v>17</v>
      </c>
      <c r="DT55" s="510">
        <f>'GASTOS EJER. 3'!$C38</f>
        <v>0</v>
      </c>
      <c r="DU55" s="507" t="str">
        <f t="shared" ref="DU55:DV62" si="268">AT56</f>
        <v/>
      </c>
      <c r="DV55" s="507" t="str">
        <f t="shared" si="268"/>
        <v/>
      </c>
      <c r="DW55" s="511">
        <f t="shared" ref="DW55:DW62" si="269">AW56</f>
        <v>0</v>
      </c>
      <c r="DX55" s="512">
        <f>'GASTOS EJER. 3'!X38</f>
        <v>0</v>
      </c>
      <c r="DY55" s="503" t="str">
        <f>IF(DX39=0,"",'GASTOS EJER. 3'!AA38)</f>
        <v/>
      </c>
      <c r="DZ55" s="503" t="str">
        <f t="shared" ref="DZ55:DZ62" si="270">IF(DY55="","",EOMONTH(DATE(YEAR(DY55),MONTH(DY55)+1,1),0))</f>
        <v/>
      </c>
      <c r="EA55" s="501" t="e">
        <f>IF(AND(DZ55&gt;=EXPEDIENTE!$F$25,DZ55&lt;=EXPEDIENTE!$F$29),ROUNDDOWN(DX55/DW55,2),0)</f>
        <v>#DIV/0!</v>
      </c>
      <c r="EC55" s="14">
        <v>36</v>
      </c>
      <c r="ED55" s="482">
        <f t="shared" si="102"/>
        <v>46722</v>
      </c>
      <c r="EE55" s="482">
        <f t="shared" si="103"/>
        <v>46752</v>
      </c>
      <c r="EF55" s="14" t="str">
        <f>IF(AND(EE55&gt;=EXPEDIENTE!$F$25,ED55&lt;=EXPEDIENTE!$F$29),"SI","NO")</f>
        <v>SI</v>
      </c>
      <c r="EG55" s="11">
        <f t="shared" si="174"/>
        <v>0</v>
      </c>
      <c r="EH55" s="11">
        <f t="shared" si="175"/>
        <v>0</v>
      </c>
      <c r="EI55" s="11">
        <f t="shared" si="176"/>
        <v>0</v>
      </c>
      <c r="EJ55" s="11">
        <f t="shared" si="177"/>
        <v>0</v>
      </c>
      <c r="EK55" s="11">
        <f t="shared" si="178"/>
        <v>0</v>
      </c>
      <c r="EL55" s="11">
        <f t="shared" si="179"/>
        <v>0</v>
      </c>
      <c r="EM55" s="11">
        <f t="shared" si="180"/>
        <v>0</v>
      </c>
      <c r="EN55" s="11">
        <f t="shared" si="181"/>
        <v>0</v>
      </c>
      <c r="EO55" s="11">
        <f t="shared" si="182"/>
        <v>0</v>
      </c>
      <c r="EP55" s="11">
        <f t="shared" si="183"/>
        <v>0</v>
      </c>
      <c r="EQ55" s="11">
        <f t="shared" si="184"/>
        <v>0</v>
      </c>
      <c r="ER55" s="11">
        <f t="shared" si="185"/>
        <v>0</v>
      </c>
      <c r="ES55" s="11">
        <f t="shared" si="186"/>
        <v>0</v>
      </c>
      <c r="ET55" s="11">
        <f t="shared" si="187"/>
        <v>0</v>
      </c>
      <c r="EU55" s="11">
        <f t="shared" si="188"/>
        <v>0</v>
      </c>
      <c r="EV55" s="11">
        <f t="shared" si="189"/>
        <v>0</v>
      </c>
      <c r="EW55" s="11">
        <f t="shared" si="190"/>
        <v>0</v>
      </c>
      <c r="EX55" s="11">
        <f t="shared" si="191"/>
        <v>0</v>
      </c>
      <c r="EY55" s="11">
        <f t="shared" si="192"/>
        <v>0</v>
      </c>
      <c r="EZ55" s="11">
        <f t="shared" si="193"/>
        <v>0</v>
      </c>
      <c r="FA55" s="11">
        <f t="shared" si="194"/>
        <v>0</v>
      </c>
      <c r="FB55" s="11">
        <f t="shared" si="195"/>
        <v>0</v>
      </c>
      <c r="FC55" s="11">
        <f t="shared" si="196"/>
        <v>0</v>
      </c>
      <c r="FD55" s="11">
        <f t="shared" si="197"/>
        <v>0</v>
      </c>
      <c r="FE55" s="11">
        <f t="shared" si="198"/>
        <v>0</v>
      </c>
      <c r="FF55" s="11">
        <f t="shared" si="199"/>
        <v>0</v>
      </c>
      <c r="FG55" s="11">
        <f t="shared" si="200"/>
        <v>0</v>
      </c>
      <c r="FH55" s="11">
        <f t="shared" si="201"/>
        <v>0</v>
      </c>
      <c r="FI55" s="11">
        <f t="shared" si="202"/>
        <v>0</v>
      </c>
      <c r="FJ55" s="11">
        <f t="shared" si="203"/>
        <v>0</v>
      </c>
      <c r="FK55" s="11">
        <f t="shared" si="204"/>
        <v>0</v>
      </c>
      <c r="FL55" s="11">
        <f t="shared" si="205"/>
        <v>0</v>
      </c>
      <c r="FM55" s="11">
        <f t="shared" si="65"/>
        <v>0</v>
      </c>
      <c r="FO55" s="85">
        <v>1</v>
      </c>
      <c r="FP55" s="513">
        <f>DATE(YEAR(EXPEDIENTE!$F$25)+2,FO55,1)</f>
        <v>46388</v>
      </c>
      <c r="FQ55" s="513" t="str">
        <f>IF('GASTOS EJER. 3'!I52="","",'GASTOS EJER. 3'!I52)</f>
        <v/>
      </c>
      <c r="FR55" s="514">
        <f>'GASTOS EJER. 3'!X20</f>
        <v>0</v>
      </c>
      <c r="FS55" s="514">
        <f>'GASTOS EJER. 3'!H52</f>
        <v>0</v>
      </c>
      <c r="FT55" s="483">
        <f>VLOOKUP(FP55,$ED$7:$FM$69,36,FALSE)</f>
        <v>0</v>
      </c>
      <c r="FU55" s="514">
        <f t="shared" ref="FU55:FU66" si="271">SUM(FR55:FT55)</f>
        <v>0</v>
      </c>
      <c r="FW55" s="498">
        <v>17</v>
      </c>
      <c r="FX55" s="510">
        <f>'GASTOS EJER. 3'!$C38</f>
        <v>0</v>
      </c>
      <c r="FY55" s="507" t="str">
        <f t="shared" ref="FY55:FZ62" si="272">CM56</f>
        <v/>
      </c>
      <c r="FZ55" s="507" t="str">
        <f t="shared" si="272"/>
        <v/>
      </c>
      <c r="GA55" s="511">
        <f t="shared" ref="GA55:GA62" si="273">CP56</f>
        <v>0</v>
      </c>
      <c r="GB55" s="512">
        <f>'GASTOS EJER. 3'!CM38</f>
        <v>0</v>
      </c>
      <c r="GC55" s="503" t="str">
        <f>IF(GB39=0,"",'GASTOS EJER. 3'!CT38)</f>
        <v/>
      </c>
      <c r="GD55" s="503" t="str">
        <f t="shared" ref="GD55:GD62" si="274">IF(GC55="","",EOMONTH(DATE(YEAR(GC55),MONTH(GC55)+1,1),0))</f>
        <v/>
      </c>
      <c r="GE55" s="501" t="e">
        <f>IF(AND(GD55&gt;=EXPEDIENTE!$F$25,GD55&lt;=EXPEDIENTE!$F$29),ROUNDDOWN(GB55/GA55,2),0)</f>
        <v>#DIV/0!</v>
      </c>
      <c r="GG55" s="14">
        <v>36</v>
      </c>
      <c r="GH55" s="482">
        <f t="shared" si="104"/>
        <v>46722</v>
      </c>
      <c r="GI55" s="482">
        <f t="shared" si="105"/>
        <v>46752</v>
      </c>
      <c r="GJ55" s="14" t="str">
        <f>IF(AND(GI55&gt;=EXPEDIENTE!$F$25,GH55&lt;=EXPEDIENTE!$F$29),"SI","NO")</f>
        <v>SI</v>
      </c>
      <c r="GK55" s="11">
        <f t="shared" si="66"/>
        <v>0</v>
      </c>
      <c r="GL55" s="11">
        <f t="shared" si="67"/>
        <v>0</v>
      </c>
      <c r="GM55" s="11">
        <f t="shared" si="68"/>
        <v>0</v>
      </c>
      <c r="GN55" s="11">
        <f t="shared" si="69"/>
        <v>0</v>
      </c>
      <c r="GO55" s="11">
        <f t="shared" si="70"/>
        <v>0</v>
      </c>
      <c r="GP55" s="11">
        <f t="shared" si="71"/>
        <v>0</v>
      </c>
      <c r="GQ55" s="11">
        <f t="shared" si="72"/>
        <v>0</v>
      </c>
      <c r="GR55" s="11">
        <f t="shared" si="73"/>
        <v>0</v>
      </c>
      <c r="GS55" s="11">
        <f t="shared" si="74"/>
        <v>0</v>
      </c>
      <c r="GT55" s="11">
        <f t="shared" si="75"/>
        <v>0</v>
      </c>
      <c r="GU55" s="11">
        <f t="shared" si="76"/>
        <v>0</v>
      </c>
      <c r="GV55" s="11">
        <f t="shared" si="77"/>
        <v>0</v>
      </c>
      <c r="GW55" s="11">
        <f t="shared" si="78"/>
        <v>0</v>
      </c>
      <c r="GX55" s="11">
        <f t="shared" si="79"/>
        <v>0</v>
      </c>
      <c r="GY55" s="11">
        <f t="shared" si="80"/>
        <v>0</v>
      </c>
      <c r="GZ55" s="11">
        <f t="shared" si="81"/>
        <v>0</v>
      </c>
      <c r="HA55" s="11">
        <f t="shared" si="82"/>
        <v>0</v>
      </c>
      <c r="HB55" s="11">
        <f t="shared" si="83"/>
        <v>0</v>
      </c>
      <c r="HC55" s="11">
        <f t="shared" si="84"/>
        <v>0</v>
      </c>
      <c r="HD55" s="11">
        <f t="shared" si="85"/>
        <v>0</v>
      </c>
      <c r="HE55" s="11">
        <f t="shared" si="86"/>
        <v>0</v>
      </c>
      <c r="HF55" s="11">
        <f t="shared" si="87"/>
        <v>0</v>
      </c>
      <c r="HG55" s="11">
        <f t="shared" si="88"/>
        <v>0</v>
      </c>
      <c r="HH55" s="11">
        <f t="shared" si="89"/>
        <v>0</v>
      </c>
      <c r="HI55" s="11">
        <f t="shared" si="90"/>
        <v>0</v>
      </c>
      <c r="HJ55" s="11">
        <f t="shared" si="91"/>
        <v>0</v>
      </c>
      <c r="HK55" s="11">
        <f t="shared" si="92"/>
        <v>0</v>
      </c>
      <c r="HL55" s="11">
        <f t="shared" si="93"/>
        <v>0</v>
      </c>
      <c r="HM55" s="11">
        <f t="shared" si="94"/>
        <v>0</v>
      </c>
      <c r="HN55" s="11">
        <f t="shared" si="95"/>
        <v>0</v>
      </c>
      <c r="HO55" s="11">
        <f t="shared" si="96"/>
        <v>0</v>
      </c>
      <c r="HP55" s="11">
        <f t="shared" si="97"/>
        <v>0</v>
      </c>
      <c r="HQ55" s="11">
        <f t="shared" si="98"/>
        <v>0</v>
      </c>
      <c r="HT55" s="85">
        <v>1</v>
      </c>
      <c r="HU55" s="513">
        <f>DATE(YEAR(EXPEDIENTE!$F$25)+2,HT55,1)</f>
        <v>46388</v>
      </c>
      <c r="HV55" s="513" t="str">
        <f>IF('GASTOS EJER. 3'!BF52="","",'GASTOS EJER. 3'!BF52)</f>
        <v/>
      </c>
      <c r="HW55" s="514">
        <f>'GASTOS EJER. 3'!CM20</f>
        <v>0</v>
      </c>
      <c r="HX55" s="514">
        <f>'GASTOS EJER. 3'!BA52</f>
        <v>0</v>
      </c>
      <c r="HY55" s="483">
        <f>VLOOKUP(HU55,$GH$7:$HQ$69,36,FALSE)</f>
        <v>0</v>
      </c>
      <c r="HZ55" s="514">
        <f t="shared" ref="HZ55:HZ66" si="275">SUM(HW55:HY55)</f>
        <v>0</v>
      </c>
      <c r="JF55" s="477">
        <v>51</v>
      </c>
      <c r="JG55" s="474">
        <f t="shared" si="101"/>
        <v>20</v>
      </c>
    </row>
    <row r="56" spans="3:267" x14ac:dyDescent="0.3">
      <c r="C56" s="8">
        <v>50</v>
      </c>
      <c r="D56" s="12"/>
      <c r="E56" s="17"/>
      <c r="F56" s="18"/>
      <c r="G56" s="19"/>
      <c r="H56" s="19"/>
      <c r="I56" s="19"/>
      <c r="J56" s="12"/>
      <c r="K56" s="14">
        <f t="shared" si="43"/>
        <v>76</v>
      </c>
      <c r="L56" s="14">
        <f t="shared" si="44"/>
        <v>76</v>
      </c>
      <c r="M56" s="14" t="str">
        <f t="shared" si="45"/>
        <v>X</v>
      </c>
      <c r="AG56" s="583">
        <v>17</v>
      </c>
      <c r="AH56" s="500">
        <f>'GASTOS EJER. 3'!M38</f>
        <v>0</v>
      </c>
      <c r="AI56" s="512">
        <f>'GASTOS EJER. 3'!X38</f>
        <v>0</v>
      </c>
      <c r="AJ56" s="589">
        <f>'GASTOS EJER. 3'!Y38</f>
        <v>0</v>
      </c>
      <c r="AK56" s="501">
        <f>AH56-AI56</f>
        <v>0</v>
      </c>
      <c r="AM56" s="502">
        <f>'GASTOS EJER. 3'!F38+'GASTOS EJER. 3'!L38-'GASTOS EJER. 3'!X38-'GASTOS EJER. 3'!Y38</f>
        <v>0</v>
      </c>
      <c r="AN56" s="503" t="str">
        <f>IF('GASTOS EJER. 3'!AA38="","",'GASTOS EJER. 3'!AA38)</f>
        <v/>
      </c>
      <c r="AO56" s="500">
        <f>'GASTOS EJER. 3'!Y38</f>
        <v>0</v>
      </c>
      <c r="AP56" s="504" t="str">
        <f>IF('GASTOS EJER. 3'!AB38="","",'GASTOS EJER. 3'!AB38)</f>
        <v/>
      </c>
      <c r="AQ56" s="505">
        <f>IF(AND(AN56&gt;=EXPEDIENTE!$I$25,AN56&lt;=EXPEDIENTE!$I$29),AM56,0)</f>
        <v>0</v>
      </c>
      <c r="AR56" s="481">
        <f>IF(AND(AP56&gt;=EXPEDIENTE!$I$25,AP56&lt;=EXPEDIENTE!$I$29),AO56,0)</f>
        <v>0</v>
      </c>
      <c r="AS56" s="501">
        <f>AQ56+AR56</f>
        <v>0</v>
      </c>
      <c r="AT56" s="506" t="str">
        <f>IF('GASTOS EJER. 3'!D38="","",'GASTOS EJER. 3'!D38)</f>
        <v/>
      </c>
      <c r="AU56" s="507" t="str">
        <f>IF('GASTOS EJER. 3'!E38="","",'GASTOS EJER. 3'!E38)</f>
        <v/>
      </c>
      <c r="AV56" s="593">
        <f>IF(OR(AT56="",AU56=""),0,DAYS360(AT56,AU56,TRUE)+1)</f>
        <v>0</v>
      </c>
      <c r="AW56" s="508">
        <f>IF(OR(AT56="",AU56=""),0,DATEDIF(AT56,AU56,"M")+1)</f>
        <v>0</v>
      </c>
      <c r="AX56" s="16">
        <f t="shared" ref="AX56:AX63" si="276">IF(OR(AT56="",AU56=""),0,IF(YEAR(AT56)&lt;$AX$23,DATEDIF(DATE($AX$23,1,1),AU56,"M")+1,AW56))</f>
        <v>0</v>
      </c>
      <c r="AY56" s="603">
        <f>IF(OR(AT56="",AU56=""),0,ROUNDDOWN(AS56/AV56,2))</f>
        <v>0</v>
      </c>
      <c r="AZ56" s="606">
        <f>IF(OR(AT56="",AU56=""),0,ROUND(AS56/AW56,2))</f>
        <v>0</v>
      </c>
      <c r="BB56" s="596">
        <v>1</v>
      </c>
      <c r="BC56" s="597" t="e">
        <f t="shared" ref="BC56:BC67" si="277">IF($BC$53="","",DATE($BC$53,BB56,1))</f>
        <v>#VALUE!</v>
      </c>
      <c r="BD56" s="600">
        <f>IF($AH$56="",0,IF($BD$54=0,0,IF(EOMONTH($BC56,0)&lt;$AT$56,0,IF($AU$56&lt;$BC56,0,IF(AND($AT$56&lt;=$BC56,$AU$56&gt;= EOMONTH($BC56,0)),ROUND(30*$AY$56,2),IF(AND($BC56&lt;=$AT$56, EOMONTH($BC56,0)&gt;$AT$56, EOMONTH($BC56,0)&lt;=$AU$56),ROUND($AY$56*DAYS360($AT$56, EOMONTH($BC56,0),TRUE),2),IF(AND($BC56&gt;=$AT$56,$BC56&lt;=$AU$56, EOMONTH($BC56,0)&gt;$AU$56),ROUND($AY$56*(DAYS360($BC56,$AU$56,TRUE)+1),2))))))))</f>
        <v>0</v>
      </c>
      <c r="BE56" s="640">
        <f>IF($AH$57="",0,IF($BE$54=0,0,IF(EOMONTH($BC56,0)&lt;$AT$57,0,IF($AU$57&lt;$BC56,0,IF(AND($AT$57&lt;=$BC56,$AU$57&gt;= EOMONTH($BC56,0)),ROUND(30*$AY$57,2),IF(AND($BC56&lt;=$AT$57, EOMONTH($BC56,0)&gt;$AT$57, EOMONTH($BC56,0)&lt;=$AU$57),ROUND($AY$57*DAYS360($AT$57, EOMONTH($BC56,0),TRUE),2),IF(AND($BC56&gt;=$AT$57,$BC56&lt;=$AU$57, EOMONTH($BC56,0)&gt;$AU$57),ROUND($AY$57*(DAYS360($BC56,$AU$57,TRUE)+1),2))))))))</f>
        <v>0</v>
      </c>
      <c r="BF56" s="640">
        <f>IF($AH$58="",0,IF($BF$54=0,0,IF(EOMONTH($BC56,0)&lt;$AT$58,0,IF($AU$58&lt;$BC56,0,IF(AND($AT$58&lt;=$BC56,$AU$58&gt;= EOMONTH($BC56,0)),ROUND(30*$AY$58,2),IF(AND($BC56&lt;=$AT$58, EOMONTH($BC56,0)&gt;$AT$58, EOMONTH($BC56,0)&lt;=$AU$58),ROUND($AY$58*DAYS360($AT$58, EOMONTH($BC56,0),TRUE),2),IF(AND($BC56&gt;=$AT$58,$BC56&lt;=$AU$58, EOMONTH($BC56,0)&gt;$AU$58),ROUND($AY$58*(DAYS360($BC56,$AU$58,TRUE)+1),2))))))))</f>
        <v>0</v>
      </c>
      <c r="BG56" s="640">
        <f>IF($AH$59="",0,IF($BG$54=0,0,IF(EOMONTH($BC56,0)&lt;$AT$59,0,IF($AU$59&lt;$BC56,0,IF(AND($AT$59&lt;=$BC56,$AU$59&gt;= EOMONTH($BC56,0)),ROUND(30*$AY$59,2),IF(AND($BC56&lt;=$AT$59, EOMONTH($BC56,0)&gt;$AT$59, EOMONTH($BC56,0)&lt;=$AU$59),ROUND($AY$59*DAYS360($AT$59, EOMONTH($BC56,0),TRUE),2),IF(AND($BC56&gt;=$AT$59,$BC56&lt;=$AU$59, EOMONTH($BC56,0)&gt;$AU$59),ROUND($AY$59*(DAYS360($BC56,$AU$59,TRUE)+1),2))))))))</f>
        <v>0</v>
      </c>
      <c r="BH56" s="640">
        <f>IF($AH$60="",0,IF($BH$54=0,0,IF(EOMONTH($BC56,0)&lt;$AT$60,0,IF($AU$60&lt;$BC56,0,IF(AND($AT$60&lt;=$BC56,$AU$60&gt;= EOMONTH($BC56,0)),ROUND(30*$AY$60,2),IF(AND($BC56&lt;=$AT$60, EOMONTH($BC56,0)&gt;$AT$60, EOMONTH($BC56,0)&lt;=$AU$60),ROUND($AY$60*DAYS360($AT$60, EOMONTH($BC56,0),TRUE),2),IF(AND($BC56&gt;=$AT$60,$BC56&lt;=$AU$60, EOMONTH($BC56,0)&gt;$AU$60),ROUND($AY$60*(DAYS360($BC56,$AU$60,TRUE)+1),2))))))))</f>
        <v>0</v>
      </c>
      <c r="BI56" s="640">
        <f>IF($AH$61="",0,IF($BI$54=0,0,IF(EOMONTH($BC56,0)&lt;$AT$61,0,IF($AU$61&lt;$BC56,0,IF(AND($AT$61&lt;=$BC56,$AU$61&gt;= EOMONTH($BC56,0)),ROUND(30*$AY$61,2),IF(AND($BC56&lt;=$AT$61, EOMONTH($BC56,0)&gt;$AT$61, EOMONTH($BC56,0)&lt;=$AU$61),ROUND($AY$61*DAYS360($AT$61, EOMONTH($BC56,0),TRUE),2),IF(AND($BC56&gt;=$AT$61,$BC56&lt;=$AU$61, EOMONTH($BC56,0)&gt;$AU$61),ROUND($AY$61*(DAYS360($BC56,$AU$61,TRUE)+1),2))))))))</f>
        <v>0</v>
      </c>
      <c r="BJ56" s="640">
        <f>IF($AH$62="",0,IF($BJ$54=0,0,IF(EOMONTH($BC56,0)&lt;$AT$62,0,IF($AU$62&lt;$BC56,0,IF(AND($AT$62&lt;=$BC56,$AU$62&gt;= EOMONTH($BC56,0)),ROUND(30*$AY$62,2),IF(AND($BC56&lt;=$AT$62, EOMONTH($BC56,0)&gt;$AT$62, EOMONTH($BC56,0)&lt;=$AU$62),ROUND($AY$62*DAYS360($AT$62, EOMONTH($BC56,0),TRUE),2),IF(AND($BC56&gt;=$AT$62,$BC56&lt;=$AU$62, EOMONTH($BC56,0)&gt;$AU$62),ROUND($AY$62*(DAYS360($BC56,$AU$62,TRUE)+1),2))))))))</f>
        <v>0</v>
      </c>
      <c r="BK56" s="641">
        <f>IF($AH$63="",0,IF($BK$54=0,0,IF(EOMONTH($BC56,0)&lt;$AT$63,0,IF($AU$63&lt;$BC56,0,IF(AND($AT$63&lt;=$BC56,$AU$63&gt;= EOMONTH($BC56,0)),ROUND(30*$AY$63,2),IF(AND($BC56&lt;=$AT$63, EOMONTH($BC56,0)&gt;$AT$63, EOMONTH($BC56,0)&lt;=$AU$63),ROUND($AY$63*DAYS360($AT$63, EOMONTH($BC56,0),TRUE),2),IF(AND($BC56&gt;=$AT$63,$BC56&lt;=$AU$63, EOMONTH($BC56,0)&gt;$AU$63),ROUND($AY$63*(DAYS360($BC56,$AU$63,TRUE)+1),2))))))))</f>
        <v>0</v>
      </c>
      <c r="BL56" s="642">
        <f t="shared" ref="BL56:BL67" si="278">SUM(BD56:BK56)</f>
        <v>0</v>
      </c>
      <c r="BN56" s="600">
        <f t="shared" ref="BN56:BN67" si="279">IF($AH$72="",0,IF($BN$54=0,0,IF(EOMONTH($BC56,0)&lt;$AT$72,0,IF($AU$72&lt;$BC56,0,IF(AND($AT$72&lt;=$BC56,$AU$72&gt;= EOMONTH($BC56,0)),ROUND(30*$AY$72,2),IF(AND($BC56&lt;=$AT$72, EOMONTH($BC56,0)&gt;$AT$72, EOMONTH($BC56,0)&lt;=$AU$72),ROUND($AY$72*DAYS360($AT$72, EOMONTH($BC56,0),TRUE),2),IF(AND($BC56&gt;=$AT$72,$BC56&lt;=$AU$72, EOMONTH($BC56,0)&gt;$AU$72),ROUND($AY$72*(DAYS360($BC56,$AU$72,TRUE)+1),2))))))))</f>
        <v>0</v>
      </c>
      <c r="BO56" s="640">
        <f t="shared" ref="BO56:BO67" si="280">IF($AH$73="",0,IF($BO$54=0,0,IF(EOMONTH($BC56,0)&lt;$AT$73,0,IF($AU$73&lt;$BC56,0,IF(AND($AT$73&lt;=$BC56,$AU$73&gt;= EOMONTH($BC56,0)),ROUND(30*$AY$73,2),IF(AND($BC56&lt;=$AT$73, EOMONTH($BC56,0)&gt;$AT$73, EOMONTH($BC56,0)&lt;=$AU$73),ROUND($AY$73*DAYS360($AT$73, EOMONTH($BC56,0),TRUE),2),IF(AND($BC56&gt;=$AT$73,$BC56&lt;=$AU$73, EOMONTH($BC56,0)&gt;$AU$73),ROUND($AY$73*(DAYS360($BC56,$AU$73,TRUE)+1),2))))))))</f>
        <v>0</v>
      </c>
      <c r="BP56" s="640">
        <f t="shared" ref="BP56:BP67" si="281">IF($AH$74="",0,IF($BP$54=0,0,IF(EOMONTH($BC56,0)&lt;$AT$74,0,IF($AU$74&lt;$BC56,0,IF(AND($AT$74&lt;=$BC56,$AU$74&gt;= EOMONTH($BC56,0)),ROUND(30*$AY$74,2),IF(AND($BC56&lt;=$AT$74, EOMONTH($BC56,0)&gt;$AT$74, EOMONTH($BC56,0)&lt;=$AU$74),ROUND($AY$74*DAYS360($AT$74, EOMONTH($BC56,0),TRUE),2),IF(AND($BC56&gt;=$AT$74,$BC56&lt;=$AU$74, EOMONTH($BC56,0)&gt;$AU$74),ROUND($AY$74*(DAYS360($BC56,$AU$74,TRUE)+1),2))))))))</f>
        <v>0</v>
      </c>
      <c r="BQ56" s="640">
        <f t="shared" ref="BQ56:BQ67" si="282">IF($AH$75="",0,IF($BQ$54=0,0,IF(EOMONTH($BC56,0)&lt;$AT$75,0,IF($AU$75&lt;$BC56,0,IF(AND($AT$75&lt;=$BC56,$AU$75&gt;= EOMONTH($BC56,0)),ROUND(30*$AY$75,2),IF(AND($BC56&lt;=$AT$75, EOMONTH($BC56,0)&gt;$AT$75, EOMONTH($BC56,0)&lt;=$AU$75),ROUND($AY$75*DAYS360($AT$75, EOMONTH($BC56,0),TRUE),2),IF(AND($BC56&gt;=$AT$75,$BC56&lt;=$AU$75, EOMONTH($BC56,0)&gt;$AU$75),ROUND($AY$75*(DAYS360($BC56,$AU$75,TRUE)+1),2))))))))</f>
        <v>0</v>
      </c>
      <c r="BR56" s="640">
        <f t="shared" ref="BR56:BR67" si="283">IF($AH$76="",0,IF($BR$54=0,0,IF(EOMONTH($BC56,0)&lt;$AT$76,0,IF($AU$76&lt;$BC56,0,IF(AND($AT$76&lt;=$BC56,$AU$76&gt;= EOMONTH($BC56,0)),ROUND(30*$AY$76,2),IF(AND($BC56&lt;=$AT$76, EOMONTH($BC56,0)&gt;$AT$76, EOMONTH($BC56,0)&lt;=$AU$76),ROUND($AY$76*DAYS360($AT$76, EOMONTH($BC56,0),TRUE),2),IF(AND($BC56&gt;=$AT$76,$BC56&lt;=$AU$76, EOMONTH($BC56,0)&gt;$AU$76),ROUND($AY$76*(DAYS360($BC56,$AU$76,TRUE)+1),2))))))))</f>
        <v>0</v>
      </c>
      <c r="BS56" s="640">
        <f t="shared" ref="BS56:BS67" si="284">IF($AH$77="",0,IF($BS$54=0,0,IF(EOMONTH($BC56,0)&lt;$AT$77,0,IF($AU$77&lt;$BC56,0,IF(AND($AT$77&lt;=$BC56,$AU$77&gt;= EOMONTH($BC56,0)),ROUND(30*$AY$77,2),IF(AND($BC56&lt;=$AT$77, EOMONTH($BC56,0)&gt;$AT$77, EOMONTH($BC56,0)&lt;=$AU$77),ROUND($AY$77*DAYS360($AT$77, EOMONTH($BC56,0),TRUE),2),IF(AND($BC56&gt;=$AT$77,$BC56&lt;=$AU$77, EOMONTH($BC56,0)&gt;$AU$77),ROUND($AY$77*(DAYS360($BC56,$AU$77,TRUE)+1),2))))))))</f>
        <v>0</v>
      </c>
      <c r="BT56" s="640">
        <f t="shared" ref="BT56:BT67" si="285">IF($AH$78="",0,IF($BT$54=0,0,IF(EOMONTH($BC56,0)&lt;$AT$78,0,IF($AU$78&lt;$BC56,0,IF(AND($AT$78&lt;=$BC56,$AU$78&gt;= EOMONTH($BC56,0)),ROUND(30*$AY$78,2),IF(AND($BC56&lt;=$AT$78, EOMONTH($BC56,0)&gt;$AT$78, EOMONTH($BC56,0)&lt;=$AU$78),ROUND($AY$78*DAYS360($AT$78, EOMONTH($BC56,0),TRUE),2),IF(AND($BC56&gt;=$AT$78,$BC56&lt;=$AU$78, EOMONTH($BC56,0)&gt;$AU$78),ROUND($AY$78*(DAYS360($BC56,$AU$78,TRUE)+1),2))))))))</f>
        <v>0</v>
      </c>
      <c r="BU56" s="641">
        <f t="shared" ref="BU56:BU67" si="286">IF($AH$79="",0,IF($BU$54=0,0,IF(EOMONTH($BC56,0)&lt;$AT$79,0,IF($AU$79&lt;$BC56,0,IF(AND($AT$79&lt;=$BC56,$AU$79&gt;= EOMONTH($BC56,0)),ROUND(30*$AY$79,2),IF(AND($BC56&lt;=$AT$79, EOMONTH($BC56,0)&gt;$AT$79, EOMONTH($BC56,0)&lt;=$AU$79),ROUND($AY$79*DAYS360($AT$79, EOMONTH($BC56,0),TRUE),2),IF(AND($BC56&gt;=$AT$79,$BC56&lt;=$AU$79, EOMONTH($BC56,0)&gt;$AU$79),ROUND($AY$79*(DAYS360($BC56,$AU$79,TRUE)+1),2))))))))</f>
        <v>0</v>
      </c>
      <c r="BV56" s="642">
        <f>SUM(BN56:BU56)</f>
        <v>0</v>
      </c>
      <c r="BX56" s="653">
        <f>BL56+BV56</f>
        <v>0</v>
      </c>
      <c r="BZ56" s="615">
        <v>17</v>
      </c>
      <c r="CA56" s="500">
        <f>'GASTOS EJER. 3'!BN38</f>
        <v>0</v>
      </c>
      <c r="CB56" s="512">
        <f>'GASTOS EJER. 3'!CM38</f>
        <v>0</v>
      </c>
      <c r="CC56" s="589">
        <f>'GASTOS EJER. 3'!CP38</f>
        <v>0</v>
      </c>
      <c r="CD56" s="501">
        <f>CA56-CB56</f>
        <v>0</v>
      </c>
      <c r="CF56" s="502">
        <f>'GASTOS EJER. 3'!AW38+'GASTOS EJER. 3'!BM38-'GASTOS EJER. 3'!CM38-'GASTOS EJER. 3'!CP38</f>
        <v>0</v>
      </c>
      <c r="CG56" s="503" t="str">
        <f>IF('GASTOS EJER. 3'!CT38="","",'GASTOS EJER. 3'!CT38)</f>
        <v/>
      </c>
      <c r="CH56" s="500">
        <f>'GASTOS EJER. 3'!CP38</f>
        <v>0</v>
      </c>
      <c r="CI56" s="504" t="str">
        <f>IF('GASTOS EJER. 3'!CW38="","",'GASTOS EJER. 3'!CW38)</f>
        <v/>
      </c>
      <c r="CJ56" s="505">
        <f>IF(AND(CG56&gt;=EXPEDIENTE!$I$25,CG56&lt;=EXPEDIENTE!$I$29),CF56,0)</f>
        <v>0</v>
      </c>
      <c r="CK56" s="481">
        <f>IF(AND(CI56&gt;=EXPEDIENTE!$I$25,CI56&lt;=EXPEDIENTE!$I$29),CH56,0)</f>
        <v>0</v>
      </c>
      <c r="CL56" s="501">
        <f>CJ56+CK56</f>
        <v>0</v>
      </c>
      <c r="CM56" s="506" t="str">
        <f>IF('GASTOS EJER. 3'!AQ38="","",'GASTOS EJER. 3'!AQ38)</f>
        <v/>
      </c>
      <c r="CN56" s="507" t="str">
        <f>IF('GASTOS EJER. 3'!AT38="","",'GASTOS EJER. 3'!AT38)</f>
        <v/>
      </c>
      <c r="CO56" s="593">
        <f>IF(OR(CM56="",CN56=""),0,DAYS360(CM56,CN56,TRUE)+1)</f>
        <v>0</v>
      </c>
      <c r="CP56" s="508">
        <f>IF(OR(CM56="",CN56=""),0,DATEDIF(CM56,CN56,"M")+1)</f>
        <v>0</v>
      </c>
      <c r="CQ56" s="16">
        <f t="shared" ref="CQ56:CQ63" si="287">IF(OR(CM56="",CN56=""),0,IF(YEAR(CM56)&lt;$AX$23,DATEDIF(DATE($AX$23,1,1),CN56,"M")+1,CP56))</f>
        <v>0</v>
      </c>
      <c r="CR56" s="603">
        <f>IF(OR(CM56="",CN56=""),0,ROUNDDOWN(CL56/CO56,2))</f>
        <v>0</v>
      </c>
      <c r="CS56" s="606">
        <f>IF(OR(CM56="",CN56=""),0,ROUND(CL56/CP56,2))</f>
        <v>0</v>
      </c>
      <c r="CU56" s="620">
        <v>1</v>
      </c>
      <c r="CV56" s="597" t="e">
        <f t="shared" ref="CV56:CV67" si="288">IF($BC$53="","",DATE($BC$53,CU56,1))</f>
        <v>#VALUE!</v>
      </c>
      <c r="CW56" s="600">
        <f>IF($CA$56="",0,IF($CW$54=0,0,IF(EOMONTH($CV56,0)&lt;$CM$56,0,IF($CN$56&lt;$CV56,0,IF(AND($CM$56&lt;=$CV56,$CN$56&gt;= EOMONTH($CV56,0)),ROUND(30*$CR$56,2),IF(AND($CV56&lt;=$CM$56, EOMONTH($CV56,0)&gt;$CM$56, EOMONTH($CV56,0)&lt;=$CN$56),ROUND($CR$56*DAYS360($CM$56, EOMONTH($CV56,0),TRUE),2),IF(AND($CV56&gt;=$CM$56,$CV56&lt;=$CN$56, EOMONTH($CV56,0)&gt;$CN$56),ROUND($CR$56*(DAYS360($CV56,$CN$56,TRUE)+1),2))))))))</f>
        <v>0</v>
      </c>
      <c r="CX56" s="640">
        <f>IF($CA$57="",0,IF($CX$54=0,0,IF(EOMONTH($CV56,0)&lt;$CM$57,0,IF($CN$57&lt;$CV56,0,IF(AND($CM$57&lt;=$CV56,$CN$57&gt;= EOMONTH($CV56,0)),ROUND(30*$CR$57,2),IF(AND($CV56&lt;=$CM$57, EOMONTH($CV56,0)&gt;$CM$57, EOMONTH($CV56,0)&lt;=$CN$57),ROUND($CR$57*DAYS360($CM$57, EOMONTH($CV56,0),TRUE),2),IF(AND($CV56&gt;=$CM$57,$CV56&lt;=$CN$57, EOMONTH($CV56,0)&gt;$CN$57),ROUND($CR$57*(DAYS360($CV56,$CN$57,TRUE)+1),2))))))))</f>
        <v>0</v>
      </c>
      <c r="CY56" s="640">
        <f>IF($CA$58="",0,IF($CY$54=0,0,IF(EOMONTH($CV56,0)&lt;$CM$58,0,IF($CN$58&lt;$CV56,0,IF(AND($CM$58&lt;=$CV56,$CN$58&gt;= EOMONTH($CV56,0)),ROUND(30*$CR$58,2),IF(AND($CV56&lt;=$CM$58, EOMONTH($CV56,0)&gt;$CM$58, EOMONTH($CV56,0)&lt;=$CN$58),ROUND($CR$58*DAYS360($CM$58, EOMONTH($CV56,0),TRUE),2),IF(AND($CV56&gt;=$CM$58,$CV56&lt;=$CN$58, EOMONTH($CV56,0)&gt;$CN$58),ROUND($CR$58*(DAYS360($CV56,$CN$58,TRUE)+1),2))))))))</f>
        <v>0</v>
      </c>
      <c r="CZ56" s="640">
        <f>IF($CA$59="",0,IF($CZ$54=0,0,IF(EOMONTH($CV56,0)&lt;$CM$59,0,IF($CN$59&lt;$CV56,0,IF(AND($CM$59&lt;=$CV56,$CN$59&gt;= EOMONTH($CV56,0)),ROUND(30*$CR$59,2),IF(AND($CV56&lt;=$CM$59, EOMONTH($CV56,0)&gt;$CM$59, EOMONTH($CV56,0)&lt;=$CN$59),ROUND($CR$59*DAYS360($CM$59, EOMONTH($CV56,0),TRUE),2),IF(AND($CV56&gt;=$CM$59,$CV56&lt;=$CN$59, EOMONTH($CV56,0)&gt;$CN$59),ROUND($CR$59*(DAYS360($CV56,$CN$59,TRUE)+1),2))))))))</f>
        <v>0</v>
      </c>
      <c r="DA56" s="640">
        <f>IF($CA$60="",0,IF($DA$54=0,0,IF(EOMONTH($CV56,0)&lt;$CM$60,0,IF($CN$60&lt;$CV56,0,IF(AND($CM$60&lt;=$CV56,$CN$60&gt;= EOMONTH($CV56,0)),ROUND(30*$CR$60,2),IF(AND($CV56&lt;=$CM$60, EOMONTH($CV56,0)&gt;$CM$60, EOMONTH($CV56,0)&lt;=$CN$60),ROUND($CR$60*DAYS360($CM$60, EOMONTH($CV56,0),TRUE),2),IF(AND($CV56&gt;=$CM$60,$CV56&lt;=$CN$60, EOMONTH($CV56,0)&gt;$CN$60),ROUND($CR$60*(DAYS360($CV56,$CN$60,TRUE)+1),2))))))))</f>
        <v>0</v>
      </c>
      <c r="DB56" s="640">
        <f>IF($CA$61="",0,IF($DB$54=0,0,IF(EOMONTH($CV56,0)&lt;$CM$61,0,IF($CN$61&lt;$CV56,0,IF(AND($CM$61&lt;=$CV56,$CN$61&gt;= EOMONTH($CV56,0)),ROUND(30*$CR$61,2),IF(AND($CV56&lt;=$CM$61, EOMONTH($CV56,0)&gt;$CM$61, EOMONTH($CV56,0)&lt;=$CN$61),ROUND($CR$61*DAYS360($CM$61, EOMONTH($CV56,0),TRUE),2),IF(AND($CV56&gt;=$CM$61,$CV56&lt;=$CN$61, EOMONTH($CV56,0)&gt;$CN$61),ROUND($CR$61*(DAYS360($CV56,$CN$61,TRUE)+1),2))))))))</f>
        <v>0</v>
      </c>
      <c r="DC56" s="640">
        <f>IF($CA$62="",0,IF($DC$54=0,0,IF(EOMONTH($CV56,0)&lt;$CM$62,0,IF($CN$62&lt;$CV56,0,IF(AND($CM$62&lt;=$CV56,$CN$62&gt;= EOMONTH($CV56,0)),ROUND(30*$CR$62,2),IF(AND($CV56&lt;=$CM$62, EOMONTH($CV56,0)&gt;$CM$62, EOMONTH($CV56,0)&lt;=$CN$62),ROUND($CR$62*DAYS360($CM$62, EOMONTH($CV56,0),TRUE),2),IF(AND($CV56&gt;=$CM$62,$CV56&lt;=$CN$62, EOMONTH($CV56,0)&gt;$CN$62),ROUND($CR$62*(DAYS360($CV56,$CN$62,TRUE)+1),2))))))))</f>
        <v>0</v>
      </c>
      <c r="DD56" s="641">
        <f>IF($CA$63="",0,IF($DD$54=0,0,IF(EOMONTH($CV56,0)&lt;$CM$63,0,IF($CN$63&lt;$CV56,0,IF(AND($CM$63&lt;=$CV56,$CN$63&gt;= EOMONTH($CV56,0)),ROUND(30*$CR$63,2),IF(AND($CV56&lt;=$CM$63, EOMONTH($CV56,0)&gt;$CM$63, EOMONTH($CV56,0)&lt;=$CN$63),ROUND($CR$63*DAYS360($CM$63, EOMONTH($CV56,0),TRUE),2),IF(AND($CV56&gt;=$CM$63,$CV56&lt;=$CN$63, EOMONTH($CV56,0)&gt;$CN$63),ROUND($CR$63*(DAYS360($CV56,$CN$63,TRUE)+1),2))))))))</f>
        <v>0</v>
      </c>
      <c r="DE56" s="642">
        <f t="shared" ref="DE56:DE64" si="289">SUM(CW56:DD56)</f>
        <v>0</v>
      </c>
      <c r="DG56" s="600">
        <f t="shared" ref="DG56:DG67" si="290">IF($CA$72="",0,IF($DG$54=0,0,IF(EOMONTH($CV56,0)&lt;$CM$72,0,IF($CN$72&lt;$CV56,0,IF(AND($CM$72&lt;=$CV56,$CN$72&gt;= EOMONTH($CV56,0)),ROUND(30*$CR$72,2),IF(AND($CV56&lt;=$CM$72, EOMONTH($CV56,0)&gt;$CM$72, EOMONTH($CV56,0)&lt;=$CN$72),ROUND($CR$72*DAYS360($CM$72, EOMONTH($CV56,0),TRUE),2),IF(AND($CV56&gt;=$CM$72,$CV56&lt;=$CN$72, EOMONTH($CV56,0)&gt;$CN$72),ROUND($CR$72*(DAYS360($CV56,$CN$72,TRUE)+1),2))))))))</f>
        <v>0</v>
      </c>
      <c r="DH56" s="640">
        <f t="shared" ref="DH56:DH67" si="291">IF($CA$73="",0,IF($DH$54=0,0,IF(EOMONTH($CV56,0)&lt;$CM$73,0,IF($CN$73&lt;$CV56,0,IF(AND($CM$73&lt;=$CV56,$CN$73&gt;= EOMONTH($CV56,0)),ROUND(30*$CR$73,2),IF(AND($CV56&lt;=$CM$73, EOMONTH($CV56,0)&gt;$CM$73, EOMONTH($CV56,0)&lt;=$CN$73),ROUND($CR$73*DAYS360($CM$73, EOMONTH($CV56,0),TRUE),2),IF(AND($CV56&gt;=$CM$73,$CV56&lt;=$CN$73, EOMONTH($CV56,0)&gt;$CN$73),ROUND($CR$73*(DAYS360($CV56,$CN$73,TRUE)+1),2))))))))</f>
        <v>0</v>
      </c>
      <c r="DI56" s="640">
        <f t="shared" ref="DI56:DI67" si="292">IF($CA$74="",0,IF($DI$54=0,0,IF(EOMONTH($CV56,0)&lt;$CM$74,0,IF($CN$74&lt;$CV56,0,IF(AND($CM$74&lt;=$CV56,$CN$74&gt;= EOMONTH($CV56,0)),ROUND(30*$CR$74,2),IF(AND($CV56&lt;=$CM$74, EOMONTH($CV56,0)&gt;$CM$74, EOMONTH($CV56,0)&lt;=$CN$74),ROUND($CR$74*DAYS360($CM$74, EOMONTH($CV56,0),TRUE),2),IF(AND($CV56&gt;=$CM$74,$CV56&lt;=$CN$74, EOMONTH($CV56,0)&gt;$CN$74),ROUND($CR$74*(DAYS360($CV56,$CN$74,TRUE)+1),2))))))))</f>
        <v>0</v>
      </c>
      <c r="DJ56" s="640">
        <f t="shared" ref="DJ56:DJ67" si="293">IF($CA$75="",0,IF($DJ$54=0,0,IF(EOMONTH($CV56,0)&lt;$CM$75,0,IF($CN$75&lt;$CV56,0,IF(AND($CM$75&lt;=$CV56,$CN$75&gt;= EOMONTH($CV56,0)),ROUND(30*$CR$75,2),IF(AND($CV56&lt;=$CM$75, EOMONTH($CV56,0)&gt;$CM$75, EOMONTH($CV56,0)&lt;=$CN$75),ROUND($CR$75*DAYS360($CM$75, EOMONTH($CV56,0),TRUE),2),IF(AND($CV56&gt;=$CM$75,$CV56&lt;=$CN$75, EOMONTH($CV56,0)&gt;$CN$75),ROUND($CR$75*(DAYS360($CV56,$CN$75,TRUE)+1),2))))))))</f>
        <v>0</v>
      </c>
      <c r="DK56" s="640">
        <f t="shared" ref="DK56:DK67" si="294">IF($CA$76="",0,IF($DK$54=0,0,IF(EOMONTH($CV56,0)&lt;$CM$76,0,IF($CN$76&lt;$CV56,0,IF(AND($CM$76&lt;=$CV56,$CN$76&gt;= EOMONTH($CV56,0)),ROUND(30*$CR$76,2),IF(AND($CV56&lt;=$CM$76, EOMONTH($CV56,0)&gt;$CM$76, EOMONTH($CV56,0)&lt;=$CN$76),ROUND($CR$76*DAYS360($CM$76, EOMONTH($CV56,0),TRUE),2),IF(AND($CV56&gt;=$CM$76,$CV56&lt;=$CN$76, EOMONTH($CV56,0)&gt;$CN$76),ROUND($CR$76*(DAYS360($CV56,$CN$76,TRUE)+1),2))))))))</f>
        <v>0</v>
      </c>
      <c r="DL56" s="640">
        <f t="shared" ref="DL56:DL67" si="295">IF($CA$77="",0,IF($DL$54=0,0,IF(EOMONTH($CV56,0)&lt;$CM$77,0,IF($CN$77&lt;$CV56,0,IF(AND($CM$77&lt;=$CV56,$CN$77&gt;= EOMONTH($CV56,0)),ROUND(30*$CR$77,2),IF(AND($CV56&lt;=$CM$77, EOMONTH($CV56,0)&gt;$CM$77, EOMONTH($CV56,0)&lt;=$CN$77),ROUND($CR$77*DAYS360($CM$77, EOMONTH($CV56,0),TRUE),2),IF(AND($CV56&gt;=$CM$77,$CV56&lt;=$CN$77, EOMONTH($CV56,0)&gt;$CN$77),ROUND($CR$77*(DAYS360($CV56,$CN$77,TRUE)+1),2))))))))</f>
        <v>0</v>
      </c>
      <c r="DM56" s="640">
        <f t="shared" ref="DM56:DM67" si="296">IF($CA$78="",0,IF($DM$54=0,0,IF(EOMONTH($CV56,0)&lt;$CM$78,0,IF($CN$78&lt;$CV56,0,IF(AND($CM$78&lt;=$CV56,$CN$78&gt;= EOMONTH($CV56,0)),ROUND(30*$CR$78,2),IF(AND($CV56&lt;=$CM$78, EOMONTH($CV56,0)&gt;$CM$78, EOMONTH($CV56,0)&lt;=$CN$78),ROUND($CR$78*DAYS360($CM$78, EOMONTH($CV56,0),TRUE),2),IF(AND($CV56&gt;=$CM$78,$CV56&lt;=$CN$78, EOMONTH($CV56,0)&gt;$CN$78),ROUND($CR$78*(DAYS360($CV56,$CN$78,TRUE)+1),2))))))))</f>
        <v>0</v>
      </c>
      <c r="DN56" s="641">
        <f t="shared" ref="DN56:DN67" si="297">IF($CA$79="",0,IF($DN$54=0,0,IF(EOMONTH($CV56,0)&lt;$CM$79,0,IF($CN$79&lt;$CV56,0,IF(AND($CM$79&lt;=$CV56,$CN$79&gt;= EOMONTH($CV56,0)),ROUND(30*$CR$79,2),IF(AND($CV56&lt;=$CM$79, EOMONTH($CV56,0)&gt;$CM$79, EOMONTH($CV56,0)&lt;=$CN$79),ROUND($CR$79*DAYS360($CM$79, EOMONTH($CV56,0),TRUE),2),IF(AND($CV56&gt;=$CM$79,$CV56&lt;=$CN$79, EOMONTH($CV56,0)&gt;$CN$79),ROUND($CR$79*(DAYS360($CV56,$CN$79,TRUE)+1),2))))))))</f>
        <v>0</v>
      </c>
      <c r="DO56" s="642">
        <f t="shared" ref="DO56:DO64" si="298">SUM(DG56:DN56)</f>
        <v>0</v>
      </c>
      <c r="DQ56" s="653">
        <f>DE56+DO56</f>
        <v>0</v>
      </c>
      <c r="DS56" s="515">
        <v>18</v>
      </c>
      <c r="DT56" s="526">
        <f>'GASTOS EJER. 3'!$C39</f>
        <v>0</v>
      </c>
      <c r="DU56" s="524" t="str">
        <f t="shared" si="268"/>
        <v/>
      </c>
      <c r="DV56" s="524" t="str">
        <f t="shared" si="268"/>
        <v/>
      </c>
      <c r="DW56" s="14">
        <f t="shared" si="269"/>
        <v>0</v>
      </c>
      <c r="DX56" s="527">
        <f>'GASTOS EJER. 3'!X39</f>
        <v>0</v>
      </c>
      <c r="DY56" s="520" t="str">
        <f>IF(DX40=0,"",'GASTOS EJER. 3'!AA39)</f>
        <v/>
      </c>
      <c r="DZ56" s="520" t="str">
        <f t="shared" si="270"/>
        <v/>
      </c>
      <c r="EA56" s="518" t="e">
        <f>IF(AND(DZ56&gt;=EXPEDIENTE!$F$25,DZ56&lt;=EXPEDIENTE!$F$29),ROUNDDOWN(DX56/DW56,2),0)</f>
        <v>#DIV/0!</v>
      </c>
      <c r="EC56" s="14">
        <v>37</v>
      </c>
      <c r="ED56" s="482">
        <f t="shared" si="102"/>
        <v>46753</v>
      </c>
      <c r="EE56" s="482">
        <f t="shared" si="103"/>
        <v>46783</v>
      </c>
      <c r="EF56" s="14" t="str">
        <f>IF(AND(EE56&gt;=EXPEDIENTE!$F$25,ED56&lt;=EXPEDIENTE!$F$29),"SI","NO")</f>
        <v>SI</v>
      </c>
      <c r="EG56" s="11">
        <f t="shared" si="174"/>
        <v>0</v>
      </c>
      <c r="EH56" s="11">
        <f t="shared" si="175"/>
        <v>0</v>
      </c>
      <c r="EI56" s="11">
        <f t="shared" si="176"/>
        <v>0</v>
      </c>
      <c r="EJ56" s="11">
        <f t="shared" si="177"/>
        <v>0</v>
      </c>
      <c r="EK56" s="11">
        <f t="shared" si="178"/>
        <v>0</v>
      </c>
      <c r="EL56" s="11">
        <f t="shared" si="179"/>
        <v>0</v>
      </c>
      <c r="EM56" s="11">
        <f t="shared" si="180"/>
        <v>0</v>
      </c>
      <c r="EN56" s="11">
        <f t="shared" si="181"/>
        <v>0</v>
      </c>
      <c r="EO56" s="11">
        <f t="shared" si="182"/>
        <v>0</v>
      </c>
      <c r="EP56" s="11">
        <f t="shared" si="183"/>
        <v>0</v>
      </c>
      <c r="EQ56" s="11">
        <f t="shared" si="184"/>
        <v>0</v>
      </c>
      <c r="ER56" s="11">
        <f t="shared" si="185"/>
        <v>0</v>
      </c>
      <c r="ES56" s="11">
        <f t="shared" si="186"/>
        <v>0</v>
      </c>
      <c r="ET56" s="11">
        <f t="shared" si="187"/>
        <v>0</v>
      </c>
      <c r="EU56" s="11">
        <f t="shared" si="188"/>
        <v>0</v>
      </c>
      <c r="EV56" s="11">
        <f t="shared" si="189"/>
        <v>0</v>
      </c>
      <c r="EW56" s="11">
        <f t="shared" si="190"/>
        <v>0</v>
      </c>
      <c r="EX56" s="11">
        <f t="shared" si="191"/>
        <v>0</v>
      </c>
      <c r="EY56" s="11">
        <f t="shared" si="192"/>
        <v>0</v>
      </c>
      <c r="EZ56" s="11">
        <f t="shared" si="193"/>
        <v>0</v>
      </c>
      <c r="FA56" s="11">
        <f t="shared" si="194"/>
        <v>0</v>
      </c>
      <c r="FB56" s="11">
        <f t="shared" si="195"/>
        <v>0</v>
      </c>
      <c r="FC56" s="11">
        <f t="shared" si="196"/>
        <v>0</v>
      </c>
      <c r="FD56" s="11">
        <f t="shared" si="197"/>
        <v>0</v>
      </c>
      <c r="FE56" s="11">
        <f t="shared" si="198"/>
        <v>0</v>
      </c>
      <c r="FF56" s="11">
        <f t="shared" si="199"/>
        <v>0</v>
      </c>
      <c r="FG56" s="11">
        <f t="shared" si="200"/>
        <v>0</v>
      </c>
      <c r="FH56" s="11">
        <f t="shared" si="201"/>
        <v>0</v>
      </c>
      <c r="FI56" s="11">
        <f t="shared" si="202"/>
        <v>0</v>
      </c>
      <c r="FJ56" s="11">
        <f t="shared" si="203"/>
        <v>0</v>
      </c>
      <c r="FK56" s="11">
        <f t="shared" si="204"/>
        <v>0</v>
      </c>
      <c r="FL56" s="11">
        <f t="shared" si="205"/>
        <v>0</v>
      </c>
      <c r="FM56" s="11">
        <f t="shared" si="65"/>
        <v>0</v>
      </c>
      <c r="FO56" s="85">
        <v>2</v>
      </c>
      <c r="FP56" s="520">
        <f>DATE(YEAR(EXPEDIENTE!$F$25)+2,FO56,1)</f>
        <v>46419</v>
      </c>
      <c r="FQ56" s="520" t="str">
        <f>IF('GASTOS EJER. 3'!I53="","",'GASTOS EJER. 3'!I53)</f>
        <v/>
      </c>
      <c r="FR56" s="527">
        <f>'GASTOS EJER. 3'!X21</f>
        <v>0</v>
      </c>
      <c r="FS56" s="527">
        <f>'GASTOS EJER. 3'!H53</f>
        <v>0</v>
      </c>
      <c r="FT56" s="11">
        <f t="shared" ref="FT56:FT66" si="299">VLOOKUP(FP56,$ED$7:$FM$69,36,FALSE)</f>
        <v>0</v>
      </c>
      <c r="FU56" s="527">
        <f t="shared" si="271"/>
        <v>0</v>
      </c>
      <c r="FW56" s="515">
        <v>18</v>
      </c>
      <c r="FX56" s="526">
        <f>'GASTOS EJER. 3'!$C39</f>
        <v>0</v>
      </c>
      <c r="FY56" s="524" t="str">
        <f t="shared" si="272"/>
        <v/>
      </c>
      <c r="FZ56" s="524" t="str">
        <f t="shared" si="272"/>
        <v/>
      </c>
      <c r="GA56" s="14">
        <f t="shared" si="273"/>
        <v>0</v>
      </c>
      <c r="GB56" s="527">
        <f>'GASTOS EJER. 3'!CM39</f>
        <v>0</v>
      </c>
      <c r="GC56" s="520" t="str">
        <f>IF(GB40=0,"",'GASTOS EJER. 3'!CT39)</f>
        <v/>
      </c>
      <c r="GD56" s="520" t="str">
        <f t="shared" si="274"/>
        <v/>
      </c>
      <c r="GE56" s="518" t="e">
        <f>IF(AND(GD56&gt;=EXPEDIENTE!$F$25,GD56&lt;=EXPEDIENTE!$F$29),ROUNDDOWN(GB56/GA56,2),0)</f>
        <v>#DIV/0!</v>
      </c>
      <c r="GG56" s="14">
        <v>37</v>
      </c>
      <c r="GH56" s="482">
        <f t="shared" si="104"/>
        <v>46753</v>
      </c>
      <c r="GI56" s="482">
        <f t="shared" si="105"/>
        <v>46783</v>
      </c>
      <c r="GJ56" s="14" t="str">
        <f>IF(AND(GI56&gt;=EXPEDIENTE!$F$25,GH56&lt;=EXPEDIENTE!$F$29),"SI","NO")</f>
        <v>SI</v>
      </c>
      <c r="GK56" s="11">
        <f t="shared" si="66"/>
        <v>0</v>
      </c>
      <c r="GL56" s="11">
        <f t="shared" si="67"/>
        <v>0</v>
      </c>
      <c r="GM56" s="11">
        <f t="shared" si="68"/>
        <v>0</v>
      </c>
      <c r="GN56" s="11">
        <f t="shared" si="69"/>
        <v>0</v>
      </c>
      <c r="GO56" s="11">
        <f t="shared" si="70"/>
        <v>0</v>
      </c>
      <c r="GP56" s="11">
        <f t="shared" si="71"/>
        <v>0</v>
      </c>
      <c r="GQ56" s="11">
        <f t="shared" si="72"/>
        <v>0</v>
      </c>
      <c r="GR56" s="11">
        <f t="shared" si="73"/>
        <v>0</v>
      </c>
      <c r="GS56" s="11">
        <f t="shared" si="74"/>
        <v>0</v>
      </c>
      <c r="GT56" s="11">
        <f t="shared" si="75"/>
        <v>0</v>
      </c>
      <c r="GU56" s="11">
        <f t="shared" si="76"/>
        <v>0</v>
      </c>
      <c r="GV56" s="11">
        <f t="shared" si="77"/>
        <v>0</v>
      </c>
      <c r="GW56" s="11">
        <f t="shared" si="78"/>
        <v>0</v>
      </c>
      <c r="GX56" s="11">
        <f t="shared" si="79"/>
        <v>0</v>
      </c>
      <c r="GY56" s="11">
        <f t="shared" si="80"/>
        <v>0</v>
      </c>
      <c r="GZ56" s="11">
        <f t="shared" si="81"/>
        <v>0</v>
      </c>
      <c r="HA56" s="11">
        <f t="shared" si="82"/>
        <v>0</v>
      </c>
      <c r="HB56" s="11">
        <f t="shared" si="83"/>
        <v>0</v>
      </c>
      <c r="HC56" s="11">
        <f t="shared" si="84"/>
        <v>0</v>
      </c>
      <c r="HD56" s="11">
        <f t="shared" si="85"/>
        <v>0</v>
      </c>
      <c r="HE56" s="11">
        <f t="shared" si="86"/>
        <v>0</v>
      </c>
      <c r="HF56" s="11">
        <f t="shared" si="87"/>
        <v>0</v>
      </c>
      <c r="HG56" s="11">
        <f t="shared" si="88"/>
        <v>0</v>
      </c>
      <c r="HH56" s="11">
        <f t="shared" si="89"/>
        <v>0</v>
      </c>
      <c r="HI56" s="11">
        <f t="shared" si="90"/>
        <v>0</v>
      </c>
      <c r="HJ56" s="11">
        <f t="shared" si="91"/>
        <v>0</v>
      </c>
      <c r="HK56" s="11">
        <f t="shared" si="92"/>
        <v>0</v>
      </c>
      <c r="HL56" s="11">
        <f t="shared" si="93"/>
        <v>0</v>
      </c>
      <c r="HM56" s="11">
        <f t="shared" si="94"/>
        <v>0</v>
      </c>
      <c r="HN56" s="11">
        <f t="shared" si="95"/>
        <v>0</v>
      </c>
      <c r="HO56" s="11">
        <f t="shared" si="96"/>
        <v>0</v>
      </c>
      <c r="HP56" s="11">
        <f t="shared" si="97"/>
        <v>0</v>
      </c>
      <c r="HQ56" s="11">
        <f t="shared" si="98"/>
        <v>0</v>
      </c>
      <c r="HT56" s="85">
        <v>2</v>
      </c>
      <c r="HU56" s="520">
        <f>DATE(YEAR(EXPEDIENTE!$F$25)+2,HT56,1)</f>
        <v>46419</v>
      </c>
      <c r="HV56" s="520" t="str">
        <f>IF('GASTOS EJER. 3'!BF53="","",'GASTOS EJER. 3'!BF53)</f>
        <v/>
      </c>
      <c r="HW56" s="527">
        <f>'GASTOS EJER. 3'!CM21</f>
        <v>0</v>
      </c>
      <c r="HX56" s="527">
        <f>'GASTOS EJER. 3'!BA53</f>
        <v>0</v>
      </c>
      <c r="HY56" s="11">
        <f t="shared" ref="HY56:HY66" si="300">VLOOKUP(HU56,$GH$7:$HQ$69,36,FALSE)</f>
        <v>0</v>
      </c>
      <c r="HZ56" s="527">
        <f t="shared" si="275"/>
        <v>0</v>
      </c>
      <c r="JF56" s="480">
        <v>52</v>
      </c>
      <c r="JG56" s="474">
        <f t="shared" si="101"/>
        <v>20</v>
      </c>
    </row>
    <row r="57" spans="3:267" x14ac:dyDescent="0.3">
      <c r="C57" s="8">
        <v>51</v>
      </c>
      <c r="D57" s="12"/>
      <c r="E57" s="17"/>
      <c r="F57" s="18"/>
      <c r="G57" s="19"/>
      <c r="H57" s="19"/>
      <c r="I57" s="19"/>
      <c r="J57" s="12"/>
      <c r="K57" s="14">
        <f t="shared" si="43"/>
        <v>76</v>
      </c>
      <c r="L57" s="14">
        <f t="shared" si="44"/>
        <v>76</v>
      </c>
      <c r="M57" s="14" t="str">
        <f t="shared" si="45"/>
        <v>X</v>
      </c>
      <c r="AG57" s="584">
        <v>18</v>
      </c>
      <c r="AH57" s="517">
        <f>'GASTOS EJER. 3'!M39</f>
        <v>0</v>
      </c>
      <c r="AI57" s="527">
        <f>'GASTOS EJER. 3'!X39</f>
        <v>0</v>
      </c>
      <c r="AJ57" s="590">
        <f>'GASTOS EJER. 3'!Y39</f>
        <v>0</v>
      </c>
      <c r="AK57" s="518">
        <f t="shared" ref="AK57:AK63" si="301">AH57-AI57</f>
        <v>0</v>
      </c>
      <c r="AM57" s="519">
        <f>'GASTOS EJER. 3'!F39+'GASTOS EJER. 3'!L39-'GASTOS EJER. 3'!X39-'GASTOS EJER. 3'!Y39</f>
        <v>0</v>
      </c>
      <c r="AN57" s="520" t="str">
        <f>IF('GASTOS EJER. 3'!AA39="","",'GASTOS EJER. 3'!AA39)</f>
        <v/>
      </c>
      <c r="AO57" s="517">
        <f>'GASTOS EJER. 3'!Y39</f>
        <v>0</v>
      </c>
      <c r="AP57" s="521" t="str">
        <f>IF('GASTOS EJER. 3'!AB39="","",'GASTOS EJER. 3'!AB39)</f>
        <v/>
      </c>
      <c r="AQ57" s="522">
        <f>IF(AND(AN57&gt;=EXPEDIENTE!$I$25,AN57&lt;=EXPEDIENTE!$I$29),AM57,0)</f>
        <v>0</v>
      </c>
      <c r="AR57" s="11">
        <f>IF(AND(AP57&gt;=EXPEDIENTE!$I$25,AP57&lt;=EXPEDIENTE!$I$29),AO57,0)</f>
        <v>0</v>
      </c>
      <c r="AS57" s="518">
        <f t="shared" ref="AS57:AS63" si="302">AQ57+AR57</f>
        <v>0</v>
      </c>
      <c r="AT57" s="523" t="str">
        <f>IF('GASTOS EJER. 3'!D39="","",'GASTOS EJER. 3'!D39)</f>
        <v/>
      </c>
      <c r="AU57" s="524" t="str">
        <f>IF('GASTOS EJER. 3'!E39="","",'GASTOS EJER. 3'!E39)</f>
        <v/>
      </c>
      <c r="AV57" s="594">
        <f t="shared" ref="AV57:AV63" si="303">IF(OR(AT57="",AU57=""),0,DAYS360(AT57,AU57,TRUE)+1)</f>
        <v>0</v>
      </c>
      <c r="AW57" s="525">
        <f t="shared" ref="AW57:AW63" si="304">IF(OR(AT57="",AU57=""),0,DATEDIF(AT57,AU57,"M")+1)</f>
        <v>0</v>
      </c>
      <c r="AX57" s="24">
        <f t="shared" si="276"/>
        <v>0</v>
      </c>
      <c r="AY57" s="604">
        <f t="shared" ref="AY57:AY63" si="305">IF(OR(AT57="",AU57=""),0,ROUNDDOWN(AS57/AV57,2))</f>
        <v>0</v>
      </c>
      <c r="AZ57" s="607">
        <f t="shared" ref="AZ57:AZ63" si="306">IF(OR(AT57="",AU57=""),0,ROUND(AS57/AW57,2))</f>
        <v>0</v>
      </c>
      <c r="BB57" s="596">
        <v>2</v>
      </c>
      <c r="BC57" s="598" t="e">
        <f t="shared" si="277"/>
        <v>#VALUE!</v>
      </c>
      <c r="BD57" s="621">
        <f t="shared" ref="BD57:BD67" si="307">IF($AH$56="",0,IF($BD$54=0,0,IF(EOMONTH($BC57,0)&lt;$AT$56,0,IF($AU$56&lt;$BC57,0,IF(AND($AT$56&lt;=$BC57,$AU$56&gt;= EOMONTH($BC57,0)),ROUND(30*$AY$56,2),IF(AND($BC57&lt;=$AT$56, EOMONTH($BC57,0)&gt;$AT$56, EOMONTH($BC57,0)&lt;=$AU$56),ROUND($AY$56*DAYS360($AT$56, EOMONTH($BC57,0),TRUE),2),IF(AND($BC57&gt;=$AT$56,$BC57&lt;=$AU$56, EOMONTH($BC57,0)&gt;$AU$56),ROUND($AY$56*(DAYS360($BC57,$AU$56,TRUE)+1),2))))))))</f>
        <v>0</v>
      </c>
      <c r="BE57" s="643">
        <f t="shared" ref="BE57:BE67" si="308">IF($AH$57="",0,IF($BE$54=0,0,IF(EOMONTH($BC57,0)&lt;$AT$57,0,IF($AU$57&lt;$BC57,0,IF(AND($AT$57&lt;=$BC57,$AU$57&gt;= EOMONTH($BC57,0)),ROUND(30*$AY$57,2),IF(AND($BC57&lt;=$AT$57, EOMONTH($BC57,0)&gt;$AT$57, EOMONTH($BC57,0)&lt;=$AU$57),ROUND($AY$57*DAYS360($AT$57, EOMONTH($BC57,0),TRUE),2),IF(AND($BC57&gt;=$AT$57,$BC57&lt;=$AU$57, EOMONTH($BC57,0)&gt;$AU$57),ROUND($AY$57*(DAYS360($BC57,$AU$57,TRUE)+1),2))))))))</f>
        <v>0</v>
      </c>
      <c r="BF57" s="643">
        <f t="shared" ref="BF57:BF67" si="309">IF($AH$58="",0,IF($BF$54=0,0,IF(EOMONTH($BC57,0)&lt;$AT$58,0,IF($AU$58&lt;$BC57,0,IF(AND($AT$58&lt;=$BC57,$AU$58&gt;= EOMONTH($BC57,0)),ROUND(30*$AY$58,2),IF(AND($BC57&lt;=$AT$58, EOMONTH($BC57,0)&gt;$AT$58, EOMONTH($BC57,0)&lt;=$AU$58),ROUND($AY$58*DAYS360($AT$58, EOMONTH($BC57,0),TRUE),2),IF(AND($BC57&gt;=$AT$58,$BC57&lt;=$AU$58, EOMONTH($BC57,0)&gt;$AU$58),ROUND($AY$58*(DAYS360($BC57,$AU$58,TRUE)+1),2))))))))</f>
        <v>0</v>
      </c>
      <c r="BG57" s="643">
        <f t="shared" ref="BG57:BG67" si="310">IF($AH$59="",0,IF($BG$54=0,0,IF(EOMONTH($BC57,0)&lt;$AT$59,0,IF($AU$59&lt;$BC57,0,IF(AND($AT$59&lt;=$BC57,$AU$59&gt;= EOMONTH($BC57,0)),ROUND(30*$AY$59,2),IF(AND($BC57&lt;=$AT$59, EOMONTH($BC57,0)&gt;$AT$59, EOMONTH($BC57,0)&lt;=$AU$59),ROUND($AY$59*DAYS360($AT$59, EOMONTH($BC57,0),TRUE),2),IF(AND($BC57&gt;=$AT$59,$BC57&lt;=$AU$59, EOMONTH($BC57,0)&gt;$AU$59),ROUND($AY$59*(DAYS360($BC57,$AU$59,TRUE)+1),2))))))))</f>
        <v>0</v>
      </c>
      <c r="BH57" s="643">
        <f t="shared" ref="BH57:BH67" si="311">IF($AH$60="",0,IF($BH$54=0,0,IF(EOMONTH($BC57,0)&lt;$AT$60,0,IF($AU$60&lt;$BC57,0,IF(AND($AT$60&lt;=$BC57,$AU$60&gt;= EOMONTH($BC57,0)),ROUND(30*$AY$60,2),IF(AND($BC57&lt;=$AT$60, EOMONTH($BC57,0)&gt;$AT$60, EOMONTH($BC57,0)&lt;=$AU$60),ROUND($AY$60*DAYS360($AT$60, EOMONTH($BC57,0),TRUE),2),IF(AND($BC57&gt;=$AT$60,$BC57&lt;=$AU$60, EOMONTH($BC57,0)&gt;$AU$60),ROUND($AY$60*(DAYS360($BC57,$AU$60,TRUE)+1),2))))))))</f>
        <v>0</v>
      </c>
      <c r="BI57" s="643">
        <f t="shared" ref="BI57:BI67" si="312">IF($AH$61="",0,IF($BI$54=0,0,IF(EOMONTH($BC57,0)&lt;$AT$61,0,IF($AU$61&lt;$BC57,0,IF(AND($AT$61&lt;=$BC57,$AU$61&gt;= EOMONTH($BC57,0)),ROUND(30*$AY$61,2),IF(AND($BC57&lt;=$AT$61, EOMONTH($BC57,0)&gt;$AT$61, EOMONTH($BC57,0)&lt;=$AU$61),ROUND($AY$61*DAYS360($AT$61, EOMONTH($BC57,0),TRUE),2),IF(AND($BC57&gt;=$AT$61,$BC57&lt;=$AU$61, EOMONTH($BC57,0)&gt;$AU$61),ROUND($AY$61*(DAYS360($BC57,$AU$61,TRUE)+1),2))))))))</f>
        <v>0</v>
      </c>
      <c r="BJ57" s="643">
        <f t="shared" ref="BJ57:BJ67" si="313">IF($AH$62="",0,IF($BJ$54=0,0,IF(EOMONTH($BC57,0)&lt;$AT$62,0,IF($AU$62&lt;$BC57,0,IF(AND($AT$62&lt;=$BC57,$AU$62&gt;= EOMONTH($BC57,0)),ROUND(30*$AY$62,2),IF(AND($BC57&lt;=$AT$62, EOMONTH($BC57,0)&gt;$AT$62, EOMONTH($BC57,0)&lt;=$AU$62),ROUND($AY$62*DAYS360($AT$62, EOMONTH($BC57,0),TRUE),2),IF(AND($BC57&gt;=$AT$62,$BC57&lt;=$AU$62, EOMONTH($BC57,0)&gt;$AU$62),ROUND($AY$62*(DAYS360($BC57,$AU$62,TRUE)+1),2))))))))</f>
        <v>0</v>
      </c>
      <c r="BK57" s="644">
        <f t="shared" ref="BK57:BK67" si="314">IF($AH$63="",0,IF($BK$54=0,0,IF(EOMONTH($BC57,0)&lt;$AT$63,0,IF($AU$63&lt;$BC57,0,IF(AND($AT$63&lt;=$BC57,$AU$63&gt;= EOMONTH($BC57,0)),ROUND(30*$AY$63,2),IF(AND($BC57&lt;=$AT$63, EOMONTH($BC57,0)&gt;$AT$63, EOMONTH($BC57,0)&lt;=$AU$63),ROUND($AY$63*DAYS360($AT$63, EOMONTH($BC57,0),TRUE),2),IF(AND($BC57&gt;=$AT$63,$BC57&lt;=$AU$63, EOMONTH($BC57,0)&gt;$AU$63),ROUND($AY$63*(DAYS360($BC57,$AU$63,TRUE)+1),2))))))))</f>
        <v>0</v>
      </c>
      <c r="BL57" s="645">
        <f t="shared" si="278"/>
        <v>0</v>
      </c>
      <c r="BN57" s="601">
        <f t="shared" si="279"/>
        <v>0</v>
      </c>
      <c r="BO57" s="643">
        <f t="shared" si="280"/>
        <v>0</v>
      </c>
      <c r="BP57" s="643">
        <f t="shared" si="281"/>
        <v>0</v>
      </c>
      <c r="BQ57" s="643">
        <f t="shared" si="282"/>
        <v>0</v>
      </c>
      <c r="BR57" s="643">
        <f t="shared" si="283"/>
        <v>0</v>
      </c>
      <c r="BS57" s="643">
        <f t="shared" si="284"/>
        <v>0</v>
      </c>
      <c r="BT57" s="643">
        <f t="shared" si="285"/>
        <v>0</v>
      </c>
      <c r="BU57" s="644">
        <f t="shared" si="286"/>
        <v>0</v>
      </c>
      <c r="BV57" s="645">
        <f t="shared" ref="BV57:BV67" si="315">SUM(BN57:BU57)</f>
        <v>0</v>
      </c>
      <c r="BX57" s="645">
        <f t="shared" ref="BX57:BX67" si="316">BL57+BV57</f>
        <v>0</v>
      </c>
      <c r="BZ57" s="616">
        <v>18</v>
      </c>
      <c r="CA57" s="517">
        <f>'GASTOS EJER. 3'!BN39</f>
        <v>0</v>
      </c>
      <c r="CB57" s="527">
        <f>'GASTOS EJER. 3'!CM39</f>
        <v>0</v>
      </c>
      <c r="CC57" s="590">
        <f>'GASTOS EJER. 3'!CP39</f>
        <v>0</v>
      </c>
      <c r="CD57" s="518">
        <f t="shared" ref="CD57:CD63" si="317">CA57-CB57</f>
        <v>0</v>
      </c>
      <c r="CF57" s="519">
        <f>'GASTOS EJER. 3'!AW39+'GASTOS EJER. 3'!BM39-'GASTOS EJER. 3'!CM39-'GASTOS EJER. 3'!CP39</f>
        <v>0</v>
      </c>
      <c r="CG57" s="520" t="str">
        <f>IF('GASTOS EJER. 3'!CT39="","",'GASTOS EJER. 3'!CT39)</f>
        <v/>
      </c>
      <c r="CH57" s="517">
        <f>'GASTOS EJER. 3'!CP39</f>
        <v>0</v>
      </c>
      <c r="CI57" s="521" t="str">
        <f>IF('GASTOS EJER. 3'!CW39="","",'GASTOS EJER. 3'!CW39)</f>
        <v/>
      </c>
      <c r="CJ57" s="522">
        <f>IF(AND(CG57&gt;=EXPEDIENTE!$I$25,CG57&lt;=EXPEDIENTE!$I$29),CF57,0)</f>
        <v>0</v>
      </c>
      <c r="CK57" s="11">
        <f>IF(AND(CI57&gt;=EXPEDIENTE!$I$25,CI57&lt;=EXPEDIENTE!$I$29),CH57,0)</f>
        <v>0</v>
      </c>
      <c r="CL57" s="518">
        <f t="shared" ref="CL57:CL63" si="318">CJ57+CK57</f>
        <v>0</v>
      </c>
      <c r="CM57" s="523" t="str">
        <f>IF('GASTOS EJER. 3'!AQ39="","",'GASTOS EJER. 3'!AQ39)</f>
        <v/>
      </c>
      <c r="CN57" s="524" t="str">
        <f>IF('GASTOS EJER. 3'!AT39="","",'GASTOS EJER. 3'!AT39)</f>
        <v/>
      </c>
      <c r="CO57" s="594">
        <f t="shared" ref="CO57:CO63" si="319">IF(OR(CM57="",CN57=""),0,DAYS360(CM57,CN57,TRUE)+1)</f>
        <v>0</v>
      </c>
      <c r="CP57" s="525">
        <f t="shared" ref="CP57:CP63" si="320">IF(OR(CM57="",CN57=""),0,DATEDIF(CM57,CN57,"M")+1)</f>
        <v>0</v>
      </c>
      <c r="CQ57" s="24">
        <f t="shared" si="287"/>
        <v>0</v>
      </c>
      <c r="CR57" s="604">
        <f t="shared" ref="CR57:CR63" si="321">IF(OR(CM57="",CN57=""),0,ROUNDDOWN(CL57/CO57,2))</f>
        <v>0</v>
      </c>
      <c r="CS57" s="607">
        <f t="shared" ref="CS57:CS63" si="322">IF(OR(CM57="",CN57=""),0,ROUND(CL57/CP57,2))</f>
        <v>0</v>
      </c>
      <c r="CU57" s="620">
        <v>2</v>
      </c>
      <c r="CV57" s="598" t="e">
        <f t="shared" si="288"/>
        <v>#VALUE!</v>
      </c>
      <c r="CW57" s="621">
        <f t="shared" ref="CW57:CW67" si="323">IF($CA$56="",0,IF($CW$54=0,0,IF(EOMONTH($CV57,0)&lt;$CM$56,0,IF($CN$56&lt;$CV57,0,IF(AND($CM$56&lt;=$CV57,$CN$56&gt;= EOMONTH($CV57,0)),ROUND(30*$CR$56,2),IF(AND($CV57&lt;=$CM$56, EOMONTH($CV57,0)&gt;$CM$56, EOMONTH($CV57,0)&lt;=$CN$56),ROUND($CR$56*DAYS360($CM$56, EOMONTH($CV57,0),TRUE),2),IF(AND($CV57&gt;=$CM$56,$CV57&lt;=$CN$56, EOMONTH($CV57,0)&gt;$CN$56),ROUND($CR$56*(DAYS360($CV57,$CN$56,TRUE)+1),2))))))))</f>
        <v>0</v>
      </c>
      <c r="CX57" s="649">
        <f t="shared" ref="CX57:CX67" si="324">IF($CA$57="",0,IF($CX$54=0,0,IF(EOMONTH($CV57,0)&lt;$CM$57,0,IF($CN$57&lt;$CV57,0,IF(AND($CM$57&lt;=$CV57,$CN$57&gt;= EOMONTH($CV57,0)),ROUND(30*$CR$57,2),IF(AND($CV57&lt;=$CM$57, EOMONTH($CV57,0)&gt;$CM$57, EOMONTH($CV57,0)&lt;=$CN$57),ROUND($CR$57*DAYS360($CM$57, EOMONTH($CV57,0),TRUE),2),IF(AND($CV57&gt;=$CM$57,$CV57&lt;=$CN$57, EOMONTH($CV57,0)&gt;$CN$57),ROUND($CR$57*(DAYS360($CV57,$CN$57,TRUE)+1),2))))))))</f>
        <v>0</v>
      </c>
      <c r="CY57" s="649">
        <f t="shared" ref="CY57:CY67" si="325">IF($CA$58="",0,IF($CY$54=0,0,IF(EOMONTH($CV57,0)&lt;$CM$58,0,IF($CN$58&lt;$CV57,0,IF(AND($CM$58&lt;=$CV57,$CN$58&gt;= EOMONTH($CV57,0)),ROUND(30*$CR$58,2),IF(AND($CV57&lt;=$CM$58, EOMONTH($CV57,0)&gt;$CM$58, EOMONTH($CV57,0)&lt;=$CN$58),ROUND($CR$58*DAYS360($CM$58, EOMONTH($CV57,0),TRUE),2),IF(AND($CV57&gt;=$CM$58,$CV57&lt;=$CN$58, EOMONTH($CV57,0)&gt;$CN$58),ROUND($CR$58*(DAYS360($CV57,$CN$58,TRUE)+1),2))))))))</f>
        <v>0</v>
      </c>
      <c r="CZ57" s="649">
        <f t="shared" ref="CZ57:CZ67" si="326">IF($CA$59="",0,IF($CZ$54=0,0,IF(EOMONTH($CV57,0)&lt;$CM$59,0,IF($CN$59&lt;$CV57,0,IF(AND($CM$59&lt;=$CV57,$CN$59&gt;= EOMONTH($CV57,0)),ROUND(30*$CR$59,2),IF(AND($CV57&lt;=$CM$59, EOMONTH($CV57,0)&gt;$CM$59, EOMONTH($CV57,0)&lt;=$CN$59),ROUND($CR$59*DAYS360($CM$59, EOMONTH($CV57,0),TRUE),2),IF(AND($CV57&gt;=$CM$59,$CV57&lt;=$CN$59, EOMONTH($CV57,0)&gt;$CN$59),ROUND($CR$59*(DAYS360($CV57,$CN$59,TRUE)+1),2))))))))</f>
        <v>0</v>
      </c>
      <c r="DA57" s="649">
        <f t="shared" ref="DA57:DA67" si="327">IF($CA$60="",0,IF($DA$54=0,0,IF(EOMONTH($CV57,0)&lt;$CM$60,0,IF($CN$60&lt;$CV57,0,IF(AND($CM$60&lt;=$CV57,$CN$60&gt;= EOMONTH($CV57,0)),ROUND(30*$CR$60,2),IF(AND($CV57&lt;=$CM$60, EOMONTH($CV57,0)&gt;$CM$60, EOMONTH($CV57,0)&lt;=$CN$60),ROUND($CR$60*DAYS360($CM$60, EOMONTH($CV57,0),TRUE),2),IF(AND($CV57&gt;=$CM$60,$CV57&lt;=$CN$60, EOMONTH($CV57,0)&gt;$CN$60),ROUND($CR$60*(DAYS360($CV57,$CN$60,TRUE)+1),2))))))))</f>
        <v>0</v>
      </c>
      <c r="DB57" s="649">
        <f t="shared" ref="DB57:DB67" si="328">IF($CA$61="",0,IF($DB$54=0,0,IF(EOMONTH($CV57,0)&lt;$CM$61,0,IF($CN$61&lt;$CV57,0,IF(AND($CM$61&lt;=$CV57,$CN$61&gt;= EOMONTH($CV57,0)),ROUND(30*$CR$61,2),IF(AND($CV57&lt;=$CM$61, EOMONTH($CV57,0)&gt;$CM$61, EOMONTH($CV57,0)&lt;=$CN$61),ROUND($CR$61*DAYS360($CM$61, EOMONTH($CV57,0),TRUE),2),IF(AND($CV57&gt;=$CM$61,$CV57&lt;=$CN$61, EOMONTH($CV57,0)&gt;$CN$61),ROUND($CR$61*(DAYS360($CV57,$CN$61,TRUE)+1),2))))))))</f>
        <v>0</v>
      </c>
      <c r="DC57" s="649">
        <f t="shared" ref="DC57:DC67" si="329">IF($CA$62="",0,IF($DC$54=0,0,IF(EOMONTH($CV57,0)&lt;$CM$62,0,IF($CN$62&lt;$CV57,0,IF(AND($CM$62&lt;=$CV57,$CN$62&gt;= EOMONTH($CV57,0)),ROUND(30*$CR$62,2),IF(AND($CV57&lt;=$CM$62, EOMONTH($CV57,0)&gt;$CM$62, EOMONTH($CV57,0)&lt;=$CN$62),ROUND($CR$62*DAYS360($CM$62, EOMONTH($CV57,0),TRUE),2),IF(AND($CV57&gt;=$CM$62,$CV57&lt;=$CN$62, EOMONTH($CV57,0)&gt;$CN$62),ROUND($CR$62*(DAYS360($CV57,$CN$62,TRUE)+1),2))))))))</f>
        <v>0</v>
      </c>
      <c r="DD57" s="650">
        <f t="shared" ref="DD57:DD67" si="330">IF($CA$63="",0,IF($DD$54=0,0,IF(EOMONTH($CV57,0)&lt;$CM$63,0,IF($CN$63&lt;$CV57,0,IF(AND($CM$63&lt;=$CV57,$CN$63&gt;= EOMONTH($CV57,0)),ROUND(30*$CR$63,2),IF(AND($CV57&lt;=$CM$63, EOMONTH($CV57,0)&gt;$CM$63, EOMONTH($CV57,0)&lt;=$CN$63),ROUND($CR$63*DAYS360($CM$63, EOMONTH($CV57,0),TRUE),2),IF(AND($CV57&gt;=$CM$63,$CV57&lt;=$CN$63, EOMONTH($CV57,0)&gt;$CN$63),ROUND($CR$63*(DAYS360($CV57,$CN$63,TRUE)+1),2))))))))</f>
        <v>0</v>
      </c>
      <c r="DE57" s="645">
        <f t="shared" si="289"/>
        <v>0</v>
      </c>
      <c r="DG57" s="621">
        <f t="shared" si="290"/>
        <v>0</v>
      </c>
      <c r="DH57" s="649">
        <f t="shared" si="291"/>
        <v>0</v>
      </c>
      <c r="DI57" s="649">
        <f t="shared" si="292"/>
        <v>0</v>
      </c>
      <c r="DJ57" s="649">
        <f t="shared" si="293"/>
        <v>0</v>
      </c>
      <c r="DK57" s="649">
        <f t="shared" si="294"/>
        <v>0</v>
      </c>
      <c r="DL57" s="649">
        <f t="shared" si="295"/>
        <v>0</v>
      </c>
      <c r="DM57" s="649">
        <f t="shared" si="296"/>
        <v>0</v>
      </c>
      <c r="DN57" s="650">
        <f t="shared" si="297"/>
        <v>0</v>
      </c>
      <c r="DO57" s="645">
        <f t="shared" si="298"/>
        <v>0</v>
      </c>
      <c r="DQ57" s="645">
        <f t="shared" ref="DQ57:DQ67" si="331">DE57+DO57</f>
        <v>0</v>
      </c>
      <c r="DS57" s="515">
        <v>19</v>
      </c>
      <c r="DT57" s="526">
        <f>'GASTOS EJER. 3'!$C40</f>
        <v>0</v>
      </c>
      <c r="DU57" s="524" t="str">
        <f t="shared" si="268"/>
        <v/>
      </c>
      <c r="DV57" s="524" t="str">
        <f t="shared" si="268"/>
        <v/>
      </c>
      <c r="DW57" s="14">
        <f t="shared" si="269"/>
        <v>0</v>
      </c>
      <c r="DX57" s="527">
        <f>'GASTOS EJER. 3'!X40</f>
        <v>0</v>
      </c>
      <c r="DY57" s="520" t="str">
        <f>IF(DX41=0,"",'GASTOS EJER. 3'!AA40)</f>
        <v/>
      </c>
      <c r="DZ57" s="520" t="str">
        <f t="shared" si="270"/>
        <v/>
      </c>
      <c r="EA57" s="518" t="e">
        <f>IF(AND(DZ57&gt;=EXPEDIENTE!$F$25,DZ57&lt;=EXPEDIENTE!$F$29),ROUNDDOWN(DX57/DW57,2),0)</f>
        <v>#DIV/0!</v>
      </c>
      <c r="EC57" s="14">
        <v>38</v>
      </c>
      <c r="ED57" s="482">
        <f t="shared" si="102"/>
        <v>46784</v>
      </c>
      <c r="EE57" s="482">
        <f t="shared" si="103"/>
        <v>46812</v>
      </c>
      <c r="EF57" s="14" t="str">
        <f>IF(AND(EE57&gt;=EXPEDIENTE!$F$25,ED57&lt;=EXPEDIENTE!$F$29),"SI","NO")</f>
        <v>SI</v>
      </c>
      <c r="EG57" s="11">
        <f t="shared" si="174"/>
        <v>0</v>
      </c>
      <c r="EH57" s="11">
        <f t="shared" si="175"/>
        <v>0</v>
      </c>
      <c r="EI57" s="11">
        <f t="shared" si="176"/>
        <v>0</v>
      </c>
      <c r="EJ57" s="11">
        <f t="shared" si="177"/>
        <v>0</v>
      </c>
      <c r="EK57" s="11">
        <f t="shared" si="178"/>
        <v>0</v>
      </c>
      <c r="EL57" s="11">
        <f t="shared" si="179"/>
        <v>0</v>
      </c>
      <c r="EM57" s="11">
        <f t="shared" si="180"/>
        <v>0</v>
      </c>
      <c r="EN57" s="11">
        <f t="shared" si="181"/>
        <v>0</v>
      </c>
      <c r="EO57" s="11">
        <f t="shared" si="182"/>
        <v>0</v>
      </c>
      <c r="EP57" s="11">
        <f t="shared" si="183"/>
        <v>0</v>
      </c>
      <c r="EQ57" s="11">
        <f t="shared" si="184"/>
        <v>0</v>
      </c>
      <c r="ER57" s="11">
        <f t="shared" si="185"/>
        <v>0</v>
      </c>
      <c r="ES57" s="11">
        <f t="shared" si="186"/>
        <v>0</v>
      </c>
      <c r="ET57" s="11">
        <f t="shared" si="187"/>
        <v>0</v>
      </c>
      <c r="EU57" s="11">
        <f t="shared" si="188"/>
        <v>0</v>
      </c>
      <c r="EV57" s="11">
        <f t="shared" si="189"/>
        <v>0</v>
      </c>
      <c r="EW57" s="11">
        <f t="shared" si="190"/>
        <v>0</v>
      </c>
      <c r="EX57" s="11">
        <f t="shared" si="191"/>
        <v>0</v>
      </c>
      <c r="EY57" s="11">
        <f t="shared" si="192"/>
        <v>0</v>
      </c>
      <c r="EZ57" s="11">
        <f t="shared" si="193"/>
        <v>0</v>
      </c>
      <c r="FA57" s="11">
        <f t="shared" si="194"/>
        <v>0</v>
      </c>
      <c r="FB57" s="11">
        <f t="shared" si="195"/>
        <v>0</v>
      </c>
      <c r="FC57" s="11">
        <f t="shared" si="196"/>
        <v>0</v>
      </c>
      <c r="FD57" s="11">
        <f t="shared" si="197"/>
        <v>0</v>
      </c>
      <c r="FE57" s="11">
        <f t="shared" si="198"/>
        <v>0</v>
      </c>
      <c r="FF57" s="11">
        <f t="shared" si="199"/>
        <v>0</v>
      </c>
      <c r="FG57" s="11">
        <f t="shared" si="200"/>
        <v>0</v>
      </c>
      <c r="FH57" s="11">
        <f t="shared" si="201"/>
        <v>0</v>
      </c>
      <c r="FI57" s="11">
        <f t="shared" si="202"/>
        <v>0</v>
      </c>
      <c r="FJ57" s="11">
        <f t="shared" si="203"/>
        <v>0</v>
      </c>
      <c r="FK57" s="11">
        <f t="shared" si="204"/>
        <v>0</v>
      </c>
      <c r="FL57" s="11">
        <f t="shared" si="205"/>
        <v>0</v>
      </c>
      <c r="FM57" s="11">
        <f t="shared" si="65"/>
        <v>0</v>
      </c>
      <c r="FO57" s="85">
        <v>3</v>
      </c>
      <c r="FP57" s="520">
        <f>DATE(YEAR(EXPEDIENTE!$F$25)+2,FO57,1)</f>
        <v>46447</v>
      </c>
      <c r="FQ57" s="520" t="str">
        <f>IF('GASTOS EJER. 3'!I54="","",'GASTOS EJER. 3'!I54)</f>
        <v/>
      </c>
      <c r="FR57" s="527">
        <f>'GASTOS EJER. 3'!X22</f>
        <v>0</v>
      </c>
      <c r="FS57" s="527">
        <f>'GASTOS EJER. 3'!H54</f>
        <v>0</v>
      </c>
      <c r="FT57" s="11">
        <f t="shared" si="299"/>
        <v>0</v>
      </c>
      <c r="FU57" s="527">
        <f t="shared" si="271"/>
        <v>0</v>
      </c>
      <c r="FW57" s="515">
        <v>19</v>
      </c>
      <c r="FX57" s="526">
        <f>'GASTOS EJER. 3'!$C40</f>
        <v>0</v>
      </c>
      <c r="FY57" s="524" t="str">
        <f t="shared" si="272"/>
        <v/>
      </c>
      <c r="FZ57" s="524" t="str">
        <f t="shared" si="272"/>
        <v/>
      </c>
      <c r="GA57" s="14">
        <f t="shared" si="273"/>
        <v>0</v>
      </c>
      <c r="GB57" s="527">
        <f>'GASTOS EJER. 3'!CM40</f>
        <v>0</v>
      </c>
      <c r="GC57" s="520" t="str">
        <f>IF(GB41=0,"",'GASTOS EJER. 3'!CT40)</f>
        <v/>
      </c>
      <c r="GD57" s="520" t="str">
        <f t="shared" si="274"/>
        <v/>
      </c>
      <c r="GE57" s="518" t="e">
        <f>IF(AND(GD57&gt;=EXPEDIENTE!$F$25,GD57&lt;=EXPEDIENTE!$F$29),ROUNDDOWN(GB57/GA57,2),0)</f>
        <v>#DIV/0!</v>
      </c>
      <c r="GG57" s="14">
        <v>38</v>
      </c>
      <c r="GH57" s="482">
        <f t="shared" si="104"/>
        <v>46784</v>
      </c>
      <c r="GI57" s="482">
        <f t="shared" si="105"/>
        <v>46812</v>
      </c>
      <c r="GJ57" s="14" t="str">
        <f>IF(AND(GI57&gt;=EXPEDIENTE!$F$25,GH57&lt;=EXPEDIENTE!$F$29),"SI","NO")</f>
        <v>SI</v>
      </c>
      <c r="GK57" s="11">
        <f t="shared" si="66"/>
        <v>0</v>
      </c>
      <c r="GL57" s="11">
        <f t="shared" si="67"/>
        <v>0</v>
      </c>
      <c r="GM57" s="11">
        <f t="shared" si="68"/>
        <v>0</v>
      </c>
      <c r="GN57" s="11">
        <f t="shared" si="69"/>
        <v>0</v>
      </c>
      <c r="GO57" s="11">
        <f t="shared" si="70"/>
        <v>0</v>
      </c>
      <c r="GP57" s="11">
        <f t="shared" si="71"/>
        <v>0</v>
      </c>
      <c r="GQ57" s="11">
        <f t="shared" si="72"/>
        <v>0</v>
      </c>
      <c r="GR57" s="11">
        <f t="shared" si="73"/>
        <v>0</v>
      </c>
      <c r="GS57" s="11">
        <f t="shared" si="74"/>
        <v>0</v>
      </c>
      <c r="GT57" s="11">
        <f t="shared" si="75"/>
        <v>0</v>
      </c>
      <c r="GU57" s="11">
        <f t="shared" si="76"/>
        <v>0</v>
      </c>
      <c r="GV57" s="11">
        <f t="shared" si="77"/>
        <v>0</v>
      </c>
      <c r="GW57" s="11">
        <f t="shared" si="78"/>
        <v>0</v>
      </c>
      <c r="GX57" s="11">
        <f t="shared" si="79"/>
        <v>0</v>
      </c>
      <c r="GY57" s="11">
        <f t="shared" si="80"/>
        <v>0</v>
      </c>
      <c r="GZ57" s="11">
        <f t="shared" si="81"/>
        <v>0</v>
      </c>
      <c r="HA57" s="11">
        <f t="shared" si="82"/>
        <v>0</v>
      </c>
      <c r="HB57" s="11">
        <f t="shared" si="83"/>
        <v>0</v>
      </c>
      <c r="HC57" s="11">
        <f t="shared" si="84"/>
        <v>0</v>
      </c>
      <c r="HD57" s="11">
        <f t="shared" si="85"/>
        <v>0</v>
      </c>
      <c r="HE57" s="11">
        <f t="shared" si="86"/>
        <v>0</v>
      </c>
      <c r="HF57" s="11">
        <f t="shared" si="87"/>
        <v>0</v>
      </c>
      <c r="HG57" s="11">
        <f t="shared" si="88"/>
        <v>0</v>
      </c>
      <c r="HH57" s="11">
        <f t="shared" si="89"/>
        <v>0</v>
      </c>
      <c r="HI57" s="11">
        <f t="shared" si="90"/>
        <v>0</v>
      </c>
      <c r="HJ57" s="11">
        <f t="shared" si="91"/>
        <v>0</v>
      </c>
      <c r="HK57" s="11">
        <f t="shared" si="92"/>
        <v>0</v>
      </c>
      <c r="HL57" s="11">
        <f t="shared" si="93"/>
        <v>0</v>
      </c>
      <c r="HM57" s="11">
        <f t="shared" si="94"/>
        <v>0</v>
      </c>
      <c r="HN57" s="11">
        <f t="shared" si="95"/>
        <v>0</v>
      </c>
      <c r="HO57" s="11">
        <f t="shared" si="96"/>
        <v>0</v>
      </c>
      <c r="HP57" s="11">
        <f t="shared" si="97"/>
        <v>0</v>
      </c>
      <c r="HQ57" s="11">
        <f t="shared" si="98"/>
        <v>0</v>
      </c>
      <c r="HT57" s="85">
        <v>3</v>
      </c>
      <c r="HU57" s="520">
        <f>DATE(YEAR(EXPEDIENTE!$F$25)+2,HT57,1)</f>
        <v>46447</v>
      </c>
      <c r="HV57" s="520" t="str">
        <f>IF('GASTOS EJER. 3'!BF54="","",'GASTOS EJER. 3'!BF54)</f>
        <v/>
      </c>
      <c r="HW57" s="527">
        <f>'GASTOS EJER. 3'!CM22</f>
        <v>0</v>
      </c>
      <c r="HX57" s="527">
        <f>'GASTOS EJER. 3'!BA54</f>
        <v>0</v>
      </c>
      <c r="HY57" s="11">
        <f t="shared" si="300"/>
        <v>0</v>
      </c>
      <c r="HZ57" s="527">
        <f t="shared" si="275"/>
        <v>0</v>
      </c>
      <c r="JF57" s="480">
        <v>53</v>
      </c>
      <c r="JG57" s="474">
        <f t="shared" si="101"/>
        <v>20</v>
      </c>
    </row>
    <row r="58" spans="3:267" x14ac:dyDescent="0.3">
      <c r="C58" s="8">
        <v>52</v>
      </c>
      <c r="D58" s="12"/>
      <c r="E58" s="17"/>
      <c r="F58" s="18"/>
      <c r="G58" s="19"/>
      <c r="H58" s="19"/>
      <c r="I58" s="19"/>
      <c r="J58" s="12"/>
      <c r="K58" s="14">
        <f t="shared" si="43"/>
        <v>76</v>
      </c>
      <c r="L58" s="14">
        <f t="shared" si="44"/>
        <v>76</v>
      </c>
      <c r="M58" s="14" t="str">
        <f t="shared" si="45"/>
        <v>X</v>
      </c>
      <c r="AG58" s="584">
        <v>19</v>
      </c>
      <c r="AH58" s="517">
        <f>'GASTOS EJER. 3'!M40</f>
        <v>0</v>
      </c>
      <c r="AI58" s="527">
        <f>'GASTOS EJER. 3'!X40</f>
        <v>0</v>
      </c>
      <c r="AJ58" s="590">
        <f>'GASTOS EJER. 3'!Y40</f>
        <v>0</v>
      </c>
      <c r="AK58" s="518">
        <f t="shared" si="301"/>
        <v>0</v>
      </c>
      <c r="AM58" s="519">
        <f>'GASTOS EJER. 3'!F40+'GASTOS EJER. 3'!L40-'GASTOS EJER. 3'!X40-'GASTOS EJER. 3'!Y40</f>
        <v>0</v>
      </c>
      <c r="AN58" s="520" t="str">
        <f>IF('GASTOS EJER. 3'!AA40="","",'GASTOS EJER. 3'!AA40)</f>
        <v/>
      </c>
      <c r="AO58" s="517">
        <f>'GASTOS EJER. 3'!Y40</f>
        <v>0</v>
      </c>
      <c r="AP58" s="521" t="str">
        <f>IF('GASTOS EJER. 3'!AB40="","",'GASTOS EJER. 3'!AB40)</f>
        <v/>
      </c>
      <c r="AQ58" s="522">
        <f>IF(AND(AN58&gt;=EXPEDIENTE!$I$25,AN58&lt;=EXPEDIENTE!$I$29),AM58,0)</f>
        <v>0</v>
      </c>
      <c r="AR58" s="11">
        <f>IF(AND(AP58&gt;=EXPEDIENTE!$I$25,AP58&lt;=EXPEDIENTE!$I$29),AO58,0)</f>
        <v>0</v>
      </c>
      <c r="AS58" s="518">
        <f t="shared" si="302"/>
        <v>0</v>
      </c>
      <c r="AT58" s="523" t="str">
        <f>IF('GASTOS EJER. 3'!D40="","",'GASTOS EJER. 3'!D40)</f>
        <v/>
      </c>
      <c r="AU58" s="524" t="str">
        <f>IF('GASTOS EJER. 3'!E40="","",'GASTOS EJER. 3'!E40)</f>
        <v/>
      </c>
      <c r="AV58" s="594">
        <f t="shared" si="303"/>
        <v>0</v>
      </c>
      <c r="AW58" s="525">
        <f t="shared" si="304"/>
        <v>0</v>
      </c>
      <c r="AX58" s="24">
        <f t="shared" si="276"/>
        <v>0</v>
      </c>
      <c r="AY58" s="604">
        <f t="shared" si="305"/>
        <v>0</v>
      </c>
      <c r="AZ58" s="607">
        <f t="shared" si="306"/>
        <v>0</v>
      </c>
      <c r="BB58" s="596">
        <v>3</v>
      </c>
      <c r="BC58" s="598" t="e">
        <f t="shared" si="277"/>
        <v>#VALUE!</v>
      </c>
      <c r="BD58" s="601">
        <f t="shared" si="307"/>
        <v>0</v>
      </c>
      <c r="BE58" s="643">
        <f t="shared" si="308"/>
        <v>0</v>
      </c>
      <c r="BF58" s="643">
        <f t="shared" si="309"/>
        <v>0</v>
      </c>
      <c r="BG58" s="643">
        <f t="shared" si="310"/>
        <v>0</v>
      </c>
      <c r="BH58" s="643">
        <f t="shared" si="311"/>
        <v>0</v>
      </c>
      <c r="BI58" s="643">
        <f t="shared" si="312"/>
        <v>0</v>
      </c>
      <c r="BJ58" s="643">
        <f t="shared" si="313"/>
        <v>0</v>
      </c>
      <c r="BK58" s="644">
        <f t="shared" si="314"/>
        <v>0</v>
      </c>
      <c r="BL58" s="645">
        <f t="shared" si="278"/>
        <v>0</v>
      </c>
      <c r="BN58" s="601">
        <f t="shared" si="279"/>
        <v>0</v>
      </c>
      <c r="BO58" s="643">
        <f t="shared" si="280"/>
        <v>0</v>
      </c>
      <c r="BP58" s="643">
        <f t="shared" si="281"/>
        <v>0</v>
      </c>
      <c r="BQ58" s="643">
        <f t="shared" si="282"/>
        <v>0</v>
      </c>
      <c r="BR58" s="643">
        <f t="shared" si="283"/>
        <v>0</v>
      </c>
      <c r="BS58" s="643">
        <f t="shared" si="284"/>
        <v>0</v>
      </c>
      <c r="BT58" s="643">
        <f t="shared" si="285"/>
        <v>0</v>
      </c>
      <c r="BU58" s="644">
        <f t="shared" si="286"/>
        <v>0</v>
      </c>
      <c r="BV58" s="645">
        <f t="shared" si="315"/>
        <v>0</v>
      </c>
      <c r="BX58" s="645">
        <f t="shared" si="316"/>
        <v>0</v>
      </c>
      <c r="BZ58" s="616">
        <v>19</v>
      </c>
      <c r="CA58" s="517">
        <f>'GASTOS EJER. 3'!BN40</f>
        <v>0</v>
      </c>
      <c r="CB58" s="527">
        <f>'GASTOS EJER. 3'!CM40</f>
        <v>0</v>
      </c>
      <c r="CC58" s="590">
        <f>'GASTOS EJER. 3'!CP40</f>
        <v>0</v>
      </c>
      <c r="CD58" s="518">
        <f t="shared" si="317"/>
        <v>0</v>
      </c>
      <c r="CF58" s="519">
        <f>'GASTOS EJER. 3'!AW40+'GASTOS EJER. 3'!BM40-'GASTOS EJER. 3'!CM40-'GASTOS EJER. 3'!CP40</f>
        <v>0</v>
      </c>
      <c r="CG58" s="520" t="str">
        <f>IF('GASTOS EJER. 3'!CT40="","",'GASTOS EJER. 3'!CT40)</f>
        <v/>
      </c>
      <c r="CH58" s="517">
        <f>'GASTOS EJER. 3'!CP40</f>
        <v>0</v>
      </c>
      <c r="CI58" s="521" t="str">
        <f>IF('GASTOS EJER. 3'!CW40="","",'GASTOS EJER. 3'!CW40)</f>
        <v/>
      </c>
      <c r="CJ58" s="522">
        <f>IF(AND(CG58&gt;=EXPEDIENTE!$I$25,CG58&lt;=EXPEDIENTE!$I$29),CF58,0)</f>
        <v>0</v>
      </c>
      <c r="CK58" s="11">
        <f>IF(AND(CI58&gt;=EXPEDIENTE!$I$25,CI58&lt;=EXPEDIENTE!$I$29),CH58,0)</f>
        <v>0</v>
      </c>
      <c r="CL58" s="518">
        <f t="shared" si="318"/>
        <v>0</v>
      </c>
      <c r="CM58" s="523" t="str">
        <f>IF('GASTOS EJER. 3'!AQ40="","",'GASTOS EJER. 3'!AQ40)</f>
        <v/>
      </c>
      <c r="CN58" s="524" t="str">
        <f>IF('GASTOS EJER. 3'!AT40="","",'GASTOS EJER. 3'!AT40)</f>
        <v/>
      </c>
      <c r="CO58" s="594">
        <f t="shared" si="319"/>
        <v>0</v>
      </c>
      <c r="CP58" s="525">
        <f t="shared" si="320"/>
        <v>0</v>
      </c>
      <c r="CQ58" s="24">
        <f t="shared" si="287"/>
        <v>0</v>
      </c>
      <c r="CR58" s="604">
        <f t="shared" si="321"/>
        <v>0</v>
      </c>
      <c r="CS58" s="607">
        <f t="shared" si="322"/>
        <v>0</v>
      </c>
      <c r="CU58" s="620">
        <v>3</v>
      </c>
      <c r="CV58" s="598" t="e">
        <f t="shared" si="288"/>
        <v>#VALUE!</v>
      </c>
      <c r="CW58" s="621">
        <f t="shared" si="323"/>
        <v>0</v>
      </c>
      <c r="CX58" s="649">
        <f t="shared" si="324"/>
        <v>0</v>
      </c>
      <c r="CY58" s="649">
        <f t="shared" si="325"/>
        <v>0</v>
      </c>
      <c r="CZ58" s="649">
        <f t="shared" si="326"/>
        <v>0</v>
      </c>
      <c r="DA58" s="649">
        <f t="shared" si="327"/>
        <v>0</v>
      </c>
      <c r="DB58" s="649">
        <f t="shared" si="328"/>
        <v>0</v>
      </c>
      <c r="DC58" s="649">
        <f t="shared" si="329"/>
        <v>0</v>
      </c>
      <c r="DD58" s="650">
        <f t="shared" si="330"/>
        <v>0</v>
      </c>
      <c r="DE58" s="645">
        <f t="shared" si="289"/>
        <v>0</v>
      </c>
      <c r="DG58" s="621">
        <f t="shared" si="290"/>
        <v>0</v>
      </c>
      <c r="DH58" s="649">
        <f t="shared" si="291"/>
        <v>0</v>
      </c>
      <c r="DI58" s="649">
        <f t="shared" si="292"/>
        <v>0</v>
      </c>
      <c r="DJ58" s="649">
        <f t="shared" si="293"/>
        <v>0</v>
      </c>
      <c r="DK58" s="649">
        <f t="shared" si="294"/>
        <v>0</v>
      </c>
      <c r="DL58" s="649">
        <f t="shared" si="295"/>
        <v>0</v>
      </c>
      <c r="DM58" s="649">
        <f t="shared" si="296"/>
        <v>0</v>
      </c>
      <c r="DN58" s="650">
        <f t="shared" si="297"/>
        <v>0</v>
      </c>
      <c r="DO58" s="645">
        <f t="shared" si="298"/>
        <v>0</v>
      </c>
      <c r="DQ58" s="645">
        <f t="shared" si="331"/>
        <v>0</v>
      </c>
      <c r="DS58" s="515">
        <v>20</v>
      </c>
      <c r="DT58" s="526">
        <f>'GASTOS EJER. 3'!$C41</f>
        <v>0</v>
      </c>
      <c r="DU58" s="524" t="str">
        <f t="shared" si="268"/>
        <v/>
      </c>
      <c r="DV58" s="524" t="str">
        <f t="shared" si="268"/>
        <v/>
      </c>
      <c r="DW58" s="14">
        <f t="shared" si="269"/>
        <v>0</v>
      </c>
      <c r="DX58" s="527">
        <f>'GASTOS EJER. 3'!X41</f>
        <v>0</v>
      </c>
      <c r="DY58" s="520" t="str">
        <f>IF(DX42=0,"",'GASTOS EJER. 3'!AA41)</f>
        <v/>
      </c>
      <c r="DZ58" s="520" t="str">
        <f t="shared" si="270"/>
        <v/>
      </c>
      <c r="EA58" s="518" t="e">
        <f>IF(AND(DZ58&gt;=EXPEDIENTE!$F$25,DZ58&lt;=EXPEDIENTE!$F$29),ROUNDDOWN(DX58/DW58,2),0)</f>
        <v>#DIV/0!</v>
      </c>
      <c r="EC58" s="14">
        <v>39</v>
      </c>
      <c r="ED58" s="482">
        <f t="shared" si="102"/>
        <v>46813</v>
      </c>
      <c r="EE58" s="482">
        <f t="shared" si="103"/>
        <v>46843</v>
      </c>
      <c r="EF58" s="14" t="str">
        <f>IF(AND(EE58&gt;=EXPEDIENTE!$F$25,ED58&lt;=EXPEDIENTE!$F$29),"SI","NO")</f>
        <v>SI</v>
      </c>
      <c r="EG58" s="11">
        <f t="shared" si="174"/>
        <v>0</v>
      </c>
      <c r="EH58" s="11">
        <f t="shared" si="175"/>
        <v>0</v>
      </c>
      <c r="EI58" s="11">
        <f t="shared" si="176"/>
        <v>0</v>
      </c>
      <c r="EJ58" s="11">
        <f t="shared" si="177"/>
        <v>0</v>
      </c>
      <c r="EK58" s="11">
        <f t="shared" si="178"/>
        <v>0</v>
      </c>
      <c r="EL58" s="11">
        <f t="shared" si="179"/>
        <v>0</v>
      </c>
      <c r="EM58" s="11">
        <f t="shared" si="180"/>
        <v>0</v>
      </c>
      <c r="EN58" s="11">
        <f t="shared" si="181"/>
        <v>0</v>
      </c>
      <c r="EO58" s="11">
        <f t="shared" si="182"/>
        <v>0</v>
      </c>
      <c r="EP58" s="11">
        <f t="shared" si="183"/>
        <v>0</v>
      </c>
      <c r="EQ58" s="11">
        <f t="shared" si="184"/>
        <v>0</v>
      </c>
      <c r="ER58" s="11">
        <f t="shared" si="185"/>
        <v>0</v>
      </c>
      <c r="ES58" s="11">
        <f t="shared" si="186"/>
        <v>0</v>
      </c>
      <c r="ET58" s="11">
        <f t="shared" si="187"/>
        <v>0</v>
      </c>
      <c r="EU58" s="11">
        <f t="shared" si="188"/>
        <v>0</v>
      </c>
      <c r="EV58" s="11">
        <f t="shared" si="189"/>
        <v>0</v>
      </c>
      <c r="EW58" s="11">
        <f t="shared" si="190"/>
        <v>0</v>
      </c>
      <c r="EX58" s="11">
        <f t="shared" si="191"/>
        <v>0</v>
      </c>
      <c r="EY58" s="11">
        <f t="shared" si="192"/>
        <v>0</v>
      </c>
      <c r="EZ58" s="11">
        <f t="shared" si="193"/>
        <v>0</v>
      </c>
      <c r="FA58" s="11">
        <f t="shared" si="194"/>
        <v>0</v>
      </c>
      <c r="FB58" s="11">
        <f t="shared" si="195"/>
        <v>0</v>
      </c>
      <c r="FC58" s="11">
        <f t="shared" si="196"/>
        <v>0</v>
      </c>
      <c r="FD58" s="11">
        <f t="shared" si="197"/>
        <v>0</v>
      </c>
      <c r="FE58" s="11">
        <f t="shared" si="198"/>
        <v>0</v>
      </c>
      <c r="FF58" s="11">
        <f t="shared" si="199"/>
        <v>0</v>
      </c>
      <c r="FG58" s="11">
        <f t="shared" si="200"/>
        <v>0</v>
      </c>
      <c r="FH58" s="11">
        <f t="shared" si="201"/>
        <v>0</v>
      </c>
      <c r="FI58" s="11">
        <f t="shared" si="202"/>
        <v>0</v>
      </c>
      <c r="FJ58" s="11">
        <f t="shared" si="203"/>
        <v>0</v>
      </c>
      <c r="FK58" s="11">
        <f t="shared" si="204"/>
        <v>0</v>
      </c>
      <c r="FL58" s="11">
        <f t="shared" si="205"/>
        <v>0</v>
      </c>
      <c r="FM58" s="11">
        <f t="shared" si="65"/>
        <v>0</v>
      </c>
      <c r="FO58" s="85">
        <v>4</v>
      </c>
      <c r="FP58" s="520">
        <f>DATE(YEAR(EXPEDIENTE!$F$25)+2,FO58,1)</f>
        <v>46478</v>
      </c>
      <c r="FQ58" s="520" t="str">
        <f>IF('GASTOS EJER. 3'!I55="","",'GASTOS EJER. 3'!I55)</f>
        <v/>
      </c>
      <c r="FR58" s="527">
        <f>'GASTOS EJER. 3'!X23</f>
        <v>0</v>
      </c>
      <c r="FS58" s="527">
        <f>'GASTOS EJER. 3'!H55</f>
        <v>0</v>
      </c>
      <c r="FT58" s="11">
        <f t="shared" si="299"/>
        <v>0</v>
      </c>
      <c r="FU58" s="527">
        <f t="shared" si="271"/>
        <v>0</v>
      </c>
      <c r="FW58" s="515">
        <v>20</v>
      </c>
      <c r="FX58" s="526">
        <f>'GASTOS EJER. 3'!$C41</f>
        <v>0</v>
      </c>
      <c r="FY58" s="524" t="str">
        <f t="shared" si="272"/>
        <v/>
      </c>
      <c r="FZ58" s="524" t="str">
        <f t="shared" si="272"/>
        <v/>
      </c>
      <c r="GA58" s="14">
        <f t="shared" si="273"/>
        <v>0</v>
      </c>
      <c r="GB58" s="527">
        <f>'GASTOS EJER. 3'!CM41</f>
        <v>0</v>
      </c>
      <c r="GC58" s="520" t="str">
        <f>IF(GB42=0,"",'GASTOS EJER. 3'!CT41)</f>
        <v/>
      </c>
      <c r="GD58" s="520" t="str">
        <f t="shared" si="274"/>
        <v/>
      </c>
      <c r="GE58" s="518" t="e">
        <f>IF(AND(GD58&gt;=EXPEDIENTE!$F$25,GD58&lt;=EXPEDIENTE!$F$29),ROUNDDOWN(GB58/GA58,2),0)</f>
        <v>#DIV/0!</v>
      </c>
      <c r="GG58" s="14">
        <v>39</v>
      </c>
      <c r="GH58" s="482">
        <f t="shared" si="104"/>
        <v>46813</v>
      </c>
      <c r="GI58" s="482">
        <f t="shared" si="105"/>
        <v>46843</v>
      </c>
      <c r="GJ58" s="14" t="str">
        <f>IF(AND(GI58&gt;=EXPEDIENTE!$F$25,GH58&lt;=EXPEDIENTE!$F$29),"SI","NO")</f>
        <v>SI</v>
      </c>
      <c r="GK58" s="11">
        <f t="shared" si="66"/>
        <v>0</v>
      </c>
      <c r="GL58" s="11">
        <f t="shared" si="67"/>
        <v>0</v>
      </c>
      <c r="GM58" s="11">
        <f t="shared" si="68"/>
        <v>0</v>
      </c>
      <c r="GN58" s="11">
        <f t="shared" si="69"/>
        <v>0</v>
      </c>
      <c r="GO58" s="11">
        <f t="shared" si="70"/>
        <v>0</v>
      </c>
      <c r="GP58" s="11">
        <f t="shared" si="71"/>
        <v>0</v>
      </c>
      <c r="GQ58" s="11">
        <f t="shared" si="72"/>
        <v>0</v>
      </c>
      <c r="GR58" s="11">
        <f t="shared" si="73"/>
        <v>0</v>
      </c>
      <c r="GS58" s="11">
        <f t="shared" si="74"/>
        <v>0</v>
      </c>
      <c r="GT58" s="11">
        <f t="shared" si="75"/>
        <v>0</v>
      </c>
      <c r="GU58" s="11">
        <f t="shared" si="76"/>
        <v>0</v>
      </c>
      <c r="GV58" s="11">
        <f t="shared" si="77"/>
        <v>0</v>
      </c>
      <c r="GW58" s="11">
        <f t="shared" si="78"/>
        <v>0</v>
      </c>
      <c r="GX58" s="11">
        <f t="shared" si="79"/>
        <v>0</v>
      </c>
      <c r="GY58" s="11">
        <f t="shared" si="80"/>
        <v>0</v>
      </c>
      <c r="GZ58" s="11">
        <f t="shared" si="81"/>
        <v>0</v>
      </c>
      <c r="HA58" s="11">
        <f t="shared" si="82"/>
        <v>0</v>
      </c>
      <c r="HB58" s="11">
        <f t="shared" si="83"/>
        <v>0</v>
      </c>
      <c r="HC58" s="11">
        <f t="shared" si="84"/>
        <v>0</v>
      </c>
      <c r="HD58" s="11">
        <f t="shared" si="85"/>
        <v>0</v>
      </c>
      <c r="HE58" s="11">
        <f t="shared" si="86"/>
        <v>0</v>
      </c>
      <c r="HF58" s="11">
        <f t="shared" si="87"/>
        <v>0</v>
      </c>
      <c r="HG58" s="11">
        <f t="shared" si="88"/>
        <v>0</v>
      </c>
      <c r="HH58" s="11">
        <f t="shared" si="89"/>
        <v>0</v>
      </c>
      <c r="HI58" s="11">
        <f t="shared" si="90"/>
        <v>0</v>
      </c>
      <c r="HJ58" s="11">
        <f t="shared" si="91"/>
        <v>0</v>
      </c>
      <c r="HK58" s="11">
        <f t="shared" si="92"/>
        <v>0</v>
      </c>
      <c r="HL58" s="11">
        <f t="shared" si="93"/>
        <v>0</v>
      </c>
      <c r="HM58" s="11">
        <f t="shared" si="94"/>
        <v>0</v>
      </c>
      <c r="HN58" s="11">
        <f t="shared" si="95"/>
        <v>0</v>
      </c>
      <c r="HO58" s="11">
        <f t="shared" si="96"/>
        <v>0</v>
      </c>
      <c r="HP58" s="11">
        <f t="shared" si="97"/>
        <v>0</v>
      </c>
      <c r="HQ58" s="11">
        <f t="shared" si="98"/>
        <v>0</v>
      </c>
      <c r="HT58" s="85">
        <v>4</v>
      </c>
      <c r="HU58" s="520">
        <f>DATE(YEAR(EXPEDIENTE!$F$25)+2,HT58,1)</f>
        <v>46478</v>
      </c>
      <c r="HV58" s="520" t="str">
        <f>IF('GASTOS EJER. 3'!BF55="","",'GASTOS EJER. 3'!BF55)</f>
        <v/>
      </c>
      <c r="HW58" s="527">
        <f>'GASTOS EJER. 3'!CM23</f>
        <v>0</v>
      </c>
      <c r="HX58" s="527">
        <f>'GASTOS EJER. 3'!BA55</f>
        <v>0</v>
      </c>
      <c r="HY58" s="11">
        <f t="shared" si="300"/>
        <v>0</v>
      </c>
      <c r="HZ58" s="527">
        <f t="shared" si="275"/>
        <v>0</v>
      </c>
      <c r="JF58" s="480">
        <v>54</v>
      </c>
      <c r="JG58" s="474">
        <f t="shared" si="101"/>
        <v>20</v>
      </c>
    </row>
    <row r="59" spans="3:267" x14ac:dyDescent="0.3">
      <c r="C59" s="8">
        <v>53</v>
      </c>
      <c r="D59" s="12"/>
      <c r="E59" s="17"/>
      <c r="F59" s="18"/>
      <c r="G59" s="19"/>
      <c r="H59" s="19"/>
      <c r="I59" s="19"/>
      <c r="J59" s="12"/>
      <c r="K59" s="14">
        <f t="shared" si="43"/>
        <v>76</v>
      </c>
      <c r="L59" s="14">
        <f t="shared" si="44"/>
        <v>76</v>
      </c>
      <c r="M59" s="14" t="str">
        <f t="shared" si="45"/>
        <v>X</v>
      </c>
      <c r="AG59" s="584">
        <v>20</v>
      </c>
      <c r="AH59" s="517">
        <f>'GASTOS EJER. 3'!M41</f>
        <v>0</v>
      </c>
      <c r="AI59" s="527">
        <f>'GASTOS EJER. 3'!X41</f>
        <v>0</v>
      </c>
      <c r="AJ59" s="590">
        <f>'GASTOS EJER. 3'!Y41</f>
        <v>0</v>
      </c>
      <c r="AK59" s="518">
        <f t="shared" si="301"/>
        <v>0</v>
      </c>
      <c r="AM59" s="519">
        <f>'GASTOS EJER. 3'!F41+'GASTOS EJER. 3'!L41-'GASTOS EJER. 3'!X41-'GASTOS EJER. 3'!Y41</f>
        <v>0</v>
      </c>
      <c r="AN59" s="520" t="str">
        <f>IF('GASTOS EJER. 3'!AA41="","",'GASTOS EJER. 3'!AA41)</f>
        <v/>
      </c>
      <c r="AO59" s="517">
        <f>'GASTOS EJER. 3'!Y41</f>
        <v>0</v>
      </c>
      <c r="AP59" s="521" t="str">
        <f>IF('GASTOS EJER. 3'!AB41="","",'GASTOS EJER. 3'!AB41)</f>
        <v/>
      </c>
      <c r="AQ59" s="522">
        <f>IF(AND(AN59&gt;=EXPEDIENTE!$I$25,AN59&lt;=EXPEDIENTE!$I$29),AM59,0)</f>
        <v>0</v>
      </c>
      <c r="AR59" s="11">
        <f>IF(AND(AP59&gt;=EXPEDIENTE!$I$25,AP59&lt;=EXPEDIENTE!$I$29),AO59,0)</f>
        <v>0</v>
      </c>
      <c r="AS59" s="518">
        <f t="shared" si="302"/>
        <v>0</v>
      </c>
      <c r="AT59" s="523" t="str">
        <f>IF('GASTOS EJER. 3'!D41="","",'GASTOS EJER. 3'!D41)</f>
        <v/>
      </c>
      <c r="AU59" s="524" t="str">
        <f>IF('GASTOS EJER. 3'!E41="","",'GASTOS EJER. 3'!E41)</f>
        <v/>
      </c>
      <c r="AV59" s="594">
        <f t="shared" si="303"/>
        <v>0</v>
      </c>
      <c r="AW59" s="525">
        <f t="shared" si="304"/>
        <v>0</v>
      </c>
      <c r="AX59" s="24">
        <f t="shared" si="276"/>
        <v>0</v>
      </c>
      <c r="AY59" s="604">
        <f t="shared" si="305"/>
        <v>0</v>
      </c>
      <c r="AZ59" s="607">
        <f t="shared" si="306"/>
        <v>0</v>
      </c>
      <c r="BB59" s="596">
        <v>4</v>
      </c>
      <c r="BC59" s="598" t="e">
        <f t="shared" si="277"/>
        <v>#VALUE!</v>
      </c>
      <c r="BD59" s="601">
        <f t="shared" si="307"/>
        <v>0</v>
      </c>
      <c r="BE59" s="643">
        <f t="shared" si="308"/>
        <v>0</v>
      </c>
      <c r="BF59" s="643">
        <f t="shared" si="309"/>
        <v>0</v>
      </c>
      <c r="BG59" s="643">
        <f t="shared" si="310"/>
        <v>0</v>
      </c>
      <c r="BH59" s="643">
        <f t="shared" si="311"/>
        <v>0</v>
      </c>
      <c r="BI59" s="643">
        <f t="shared" si="312"/>
        <v>0</v>
      </c>
      <c r="BJ59" s="643">
        <f t="shared" si="313"/>
        <v>0</v>
      </c>
      <c r="BK59" s="644">
        <f t="shared" si="314"/>
        <v>0</v>
      </c>
      <c r="BL59" s="645">
        <f t="shared" si="278"/>
        <v>0</v>
      </c>
      <c r="BN59" s="601">
        <f t="shared" si="279"/>
        <v>0</v>
      </c>
      <c r="BO59" s="643">
        <f t="shared" si="280"/>
        <v>0</v>
      </c>
      <c r="BP59" s="643">
        <f t="shared" si="281"/>
        <v>0</v>
      </c>
      <c r="BQ59" s="643">
        <f t="shared" si="282"/>
        <v>0</v>
      </c>
      <c r="BR59" s="643">
        <f t="shared" si="283"/>
        <v>0</v>
      </c>
      <c r="BS59" s="643">
        <f t="shared" si="284"/>
        <v>0</v>
      </c>
      <c r="BT59" s="643">
        <f t="shared" si="285"/>
        <v>0</v>
      </c>
      <c r="BU59" s="644">
        <f t="shared" si="286"/>
        <v>0</v>
      </c>
      <c r="BV59" s="645">
        <f t="shared" si="315"/>
        <v>0</v>
      </c>
      <c r="BX59" s="645">
        <f t="shared" si="316"/>
        <v>0</v>
      </c>
      <c r="BZ59" s="616">
        <v>20</v>
      </c>
      <c r="CA59" s="517">
        <f>'GASTOS EJER. 3'!BN41</f>
        <v>0</v>
      </c>
      <c r="CB59" s="527">
        <f>'GASTOS EJER. 3'!CM41</f>
        <v>0</v>
      </c>
      <c r="CC59" s="590">
        <f>'GASTOS EJER. 3'!CP41</f>
        <v>0</v>
      </c>
      <c r="CD59" s="518">
        <f t="shared" si="317"/>
        <v>0</v>
      </c>
      <c r="CF59" s="519">
        <f>'GASTOS EJER. 3'!AW41+'GASTOS EJER. 3'!BM41-'GASTOS EJER. 3'!CM41-'GASTOS EJER. 3'!CP41</f>
        <v>0</v>
      </c>
      <c r="CG59" s="520" t="str">
        <f>IF('GASTOS EJER. 3'!CT41="","",'GASTOS EJER. 3'!CT41)</f>
        <v/>
      </c>
      <c r="CH59" s="517">
        <f>'GASTOS EJER. 3'!CP41</f>
        <v>0</v>
      </c>
      <c r="CI59" s="521" t="str">
        <f>IF('GASTOS EJER. 3'!CW41="","",'GASTOS EJER. 3'!CW41)</f>
        <v/>
      </c>
      <c r="CJ59" s="522">
        <f>IF(AND(CG59&gt;=EXPEDIENTE!$I$25,CG59&lt;=EXPEDIENTE!$I$29),CF59,0)</f>
        <v>0</v>
      </c>
      <c r="CK59" s="11">
        <f>IF(AND(CI59&gt;=EXPEDIENTE!$I$25,CI59&lt;=EXPEDIENTE!$I$29),CH59,0)</f>
        <v>0</v>
      </c>
      <c r="CL59" s="518">
        <f t="shared" si="318"/>
        <v>0</v>
      </c>
      <c r="CM59" s="523" t="str">
        <f>IF('GASTOS EJER. 3'!AQ41="","",'GASTOS EJER. 3'!AQ41)</f>
        <v/>
      </c>
      <c r="CN59" s="524" t="str">
        <f>IF('GASTOS EJER. 3'!AT41="","",'GASTOS EJER. 3'!AT41)</f>
        <v/>
      </c>
      <c r="CO59" s="594">
        <f t="shared" si="319"/>
        <v>0</v>
      </c>
      <c r="CP59" s="525">
        <f t="shared" si="320"/>
        <v>0</v>
      </c>
      <c r="CQ59" s="24">
        <f t="shared" si="287"/>
        <v>0</v>
      </c>
      <c r="CR59" s="604">
        <f t="shared" si="321"/>
        <v>0</v>
      </c>
      <c r="CS59" s="607">
        <f t="shared" si="322"/>
        <v>0</v>
      </c>
      <c r="CU59" s="620">
        <v>4</v>
      </c>
      <c r="CV59" s="598" t="e">
        <f t="shared" si="288"/>
        <v>#VALUE!</v>
      </c>
      <c r="CW59" s="621">
        <f t="shared" si="323"/>
        <v>0</v>
      </c>
      <c r="CX59" s="649">
        <f t="shared" si="324"/>
        <v>0</v>
      </c>
      <c r="CY59" s="649">
        <f t="shared" si="325"/>
        <v>0</v>
      </c>
      <c r="CZ59" s="649">
        <f t="shared" si="326"/>
        <v>0</v>
      </c>
      <c r="DA59" s="649">
        <f t="shared" si="327"/>
        <v>0</v>
      </c>
      <c r="DB59" s="649">
        <f t="shared" si="328"/>
        <v>0</v>
      </c>
      <c r="DC59" s="649">
        <f t="shared" si="329"/>
        <v>0</v>
      </c>
      <c r="DD59" s="650">
        <f t="shared" si="330"/>
        <v>0</v>
      </c>
      <c r="DE59" s="645">
        <f t="shared" si="289"/>
        <v>0</v>
      </c>
      <c r="DG59" s="621">
        <f t="shared" si="290"/>
        <v>0</v>
      </c>
      <c r="DH59" s="649">
        <f t="shared" si="291"/>
        <v>0</v>
      </c>
      <c r="DI59" s="649">
        <f t="shared" si="292"/>
        <v>0</v>
      </c>
      <c r="DJ59" s="649">
        <f t="shared" si="293"/>
        <v>0</v>
      </c>
      <c r="DK59" s="649">
        <f t="shared" si="294"/>
        <v>0</v>
      </c>
      <c r="DL59" s="649">
        <f t="shared" si="295"/>
        <v>0</v>
      </c>
      <c r="DM59" s="649">
        <f t="shared" si="296"/>
        <v>0</v>
      </c>
      <c r="DN59" s="650">
        <f t="shared" si="297"/>
        <v>0</v>
      </c>
      <c r="DO59" s="645">
        <f t="shared" si="298"/>
        <v>0</v>
      </c>
      <c r="DQ59" s="645">
        <f t="shared" si="331"/>
        <v>0</v>
      </c>
      <c r="DS59" s="515">
        <v>21</v>
      </c>
      <c r="DT59" s="526">
        <f>'GASTOS EJER. 3'!$C42</f>
        <v>0</v>
      </c>
      <c r="DU59" s="524" t="str">
        <f t="shared" si="268"/>
        <v/>
      </c>
      <c r="DV59" s="524" t="str">
        <f t="shared" si="268"/>
        <v/>
      </c>
      <c r="DW59" s="14">
        <f t="shared" si="269"/>
        <v>0</v>
      </c>
      <c r="DX59" s="527">
        <f>'GASTOS EJER. 3'!X42</f>
        <v>0</v>
      </c>
      <c r="DY59" s="520" t="str">
        <f>IF(DX43=0,"",'GASTOS EJER. 3'!AA42)</f>
        <v/>
      </c>
      <c r="DZ59" s="520" t="str">
        <f t="shared" si="270"/>
        <v/>
      </c>
      <c r="EA59" s="518" t="e">
        <f>IF(AND(DZ59&gt;=EXPEDIENTE!$F$25,DZ59&lt;=EXPEDIENTE!$F$29),ROUNDDOWN(DX59/DW59,2),0)</f>
        <v>#DIV/0!</v>
      </c>
      <c r="EC59" s="14">
        <v>40</v>
      </c>
      <c r="ED59" s="482">
        <f t="shared" si="102"/>
        <v>46844</v>
      </c>
      <c r="EE59" s="482">
        <f t="shared" si="103"/>
        <v>46873</v>
      </c>
      <c r="EF59" s="14" t="str">
        <f>IF(AND(EE59&gt;=EXPEDIENTE!$F$25,ED59&lt;=EXPEDIENTE!$F$29),"SI","NO")</f>
        <v>SI</v>
      </c>
      <c r="EG59" s="11">
        <f t="shared" si="174"/>
        <v>0</v>
      </c>
      <c r="EH59" s="11">
        <f t="shared" si="175"/>
        <v>0</v>
      </c>
      <c r="EI59" s="11">
        <f t="shared" si="176"/>
        <v>0</v>
      </c>
      <c r="EJ59" s="11">
        <f t="shared" si="177"/>
        <v>0</v>
      </c>
      <c r="EK59" s="11">
        <f t="shared" si="178"/>
        <v>0</v>
      </c>
      <c r="EL59" s="11">
        <f t="shared" si="179"/>
        <v>0</v>
      </c>
      <c r="EM59" s="11">
        <f t="shared" si="180"/>
        <v>0</v>
      </c>
      <c r="EN59" s="11">
        <f t="shared" si="181"/>
        <v>0</v>
      </c>
      <c r="EO59" s="11">
        <f t="shared" si="182"/>
        <v>0</v>
      </c>
      <c r="EP59" s="11">
        <f t="shared" si="183"/>
        <v>0</v>
      </c>
      <c r="EQ59" s="11">
        <f t="shared" si="184"/>
        <v>0</v>
      </c>
      <c r="ER59" s="11">
        <f t="shared" si="185"/>
        <v>0</v>
      </c>
      <c r="ES59" s="11">
        <f t="shared" si="186"/>
        <v>0</v>
      </c>
      <c r="ET59" s="11">
        <f t="shared" si="187"/>
        <v>0</v>
      </c>
      <c r="EU59" s="11">
        <f t="shared" si="188"/>
        <v>0</v>
      </c>
      <c r="EV59" s="11">
        <f t="shared" si="189"/>
        <v>0</v>
      </c>
      <c r="EW59" s="11">
        <f t="shared" si="190"/>
        <v>0</v>
      </c>
      <c r="EX59" s="11">
        <f t="shared" si="191"/>
        <v>0</v>
      </c>
      <c r="EY59" s="11">
        <f t="shared" si="192"/>
        <v>0</v>
      </c>
      <c r="EZ59" s="11">
        <f t="shared" si="193"/>
        <v>0</v>
      </c>
      <c r="FA59" s="11">
        <f t="shared" si="194"/>
        <v>0</v>
      </c>
      <c r="FB59" s="11">
        <f t="shared" si="195"/>
        <v>0</v>
      </c>
      <c r="FC59" s="11">
        <f t="shared" si="196"/>
        <v>0</v>
      </c>
      <c r="FD59" s="11">
        <f t="shared" si="197"/>
        <v>0</v>
      </c>
      <c r="FE59" s="11">
        <f t="shared" si="198"/>
        <v>0</v>
      </c>
      <c r="FF59" s="11">
        <f t="shared" si="199"/>
        <v>0</v>
      </c>
      <c r="FG59" s="11">
        <f t="shared" si="200"/>
        <v>0</v>
      </c>
      <c r="FH59" s="11">
        <f t="shared" si="201"/>
        <v>0</v>
      </c>
      <c r="FI59" s="11">
        <f t="shared" si="202"/>
        <v>0</v>
      </c>
      <c r="FJ59" s="11">
        <f t="shared" si="203"/>
        <v>0</v>
      </c>
      <c r="FK59" s="11">
        <f t="shared" si="204"/>
        <v>0</v>
      </c>
      <c r="FL59" s="11">
        <f t="shared" si="205"/>
        <v>0</v>
      </c>
      <c r="FM59" s="11">
        <f t="shared" si="65"/>
        <v>0</v>
      </c>
      <c r="FO59" s="85">
        <v>5</v>
      </c>
      <c r="FP59" s="520">
        <f>DATE(YEAR(EXPEDIENTE!$F$25)+2,FO59,1)</f>
        <v>46508</v>
      </c>
      <c r="FQ59" s="520" t="str">
        <f>IF('GASTOS EJER. 3'!I56="","",'GASTOS EJER. 3'!I56)</f>
        <v/>
      </c>
      <c r="FR59" s="527">
        <f>'GASTOS EJER. 3'!X24</f>
        <v>0</v>
      </c>
      <c r="FS59" s="527">
        <f>'GASTOS EJER. 3'!H56</f>
        <v>0</v>
      </c>
      <c r="FT59" s="11">
        <f t="shared" si="299"/>
        <v>0</v>
      </c>
      <c r="FU59" s="527">
        <f t="shared" si="271"/>
        <v>0</v>
      </c>
      <c r="FW59" s="515">
        <v>21</v>
      </c>
      <c r="FX59" s="526">
        <f>'GASTOS EJER. 3'!$C42</f>
        <v>0</v>
      </c>
      <c r="FY59" s="524" t="str">
        <f t="shared" si="272"/>
        <v/>
      </c>
      <c r="FZ59" s="524" t="str">
        <f t="shared" si="272"/>
        <v/>
      </c>
      <c r="GA59" s="14">
        <f t="shared" si="273"/>
        <v>0</v>
      </c>
      <c r="GB59" s="527">
        <f>'GASTOS EJER. 3'!CM42</f>
        <v>0</v>
      </c>
      <c r="GC59" s="520" t="str">
        <f>IF(GB43=0,"",'GASTOS EJER. 3'!CT42)</f>
        <v/>
      </c>
      <c r="GD59" s="520" t="str">
        <f t="shared" si="274"/>
        <v/>
      </c>
      <c r="GE59" s="518" t="e">
        <f>IF(AND(GD59&gt;=EXPEDIENTE!$F$25,GD59&lt;=EXPEDIENTE!$F$29),ROUNDDOWN(GB59/GA59,2),0)</f>
        <v>#DIV/0!</v>
      </c>
      <c r="GG59" s="14">
        <v>40</v>
      </c>
      <c r="GH59" s="482">
        <f t="shared" si="104"/>
        <v>46844</v>
      </c>
      <c r="GI59" s="482">
        <f t="shared" si="105"/>
        <v>46873</v>
      </c>
      <c r="GJ59" s="14" t="str">
        <f>IF(AND(GI59&gt;=EXPEDIENTE!$F$25,GH59&lt;=EXPEDIENTE!$F$29),"SI","NO")</f>
        <v>SI</v>
      </c>
      <c r="GK59" s="11">
        <f t="shared" si="66"/>
        <v>0</v>
      </c>
      <c r="GL59" s="11">
        <f t="shared" si="67"/>
        <v>0</v>
      </c>
      <c r="GM59" s="11">
        <f t="shared" si="68"/>
        <v>0</v>
      </c>
      <c r="GN59" s="11">
        <f t="shared" si="69"/>
        <v>0</v>
      </c>
      <c r="GO59" s="11">
        <f t="shared" si="70"/>
        <v>0</v>
      </c>
      <c r="GP59" s="11">
        <f t="shared" si="71"/>
        <v>0</v>
      </c>
      <c r="GQ59" s="11">
        <f t="shared" si="72"/>
        <v>0</v>
      </c>
      <c r="GR59" s="11">
        <f t="shared" si="73"/>
        <v>0</v>
      </c>
      <c r="GS59" s="11">
        <f t="shared" si="74"/>
        <v>0</v>
      </c>
      <c r="GT59" s="11">
        <f t="shared" si="75"/>
        <v>0</v>
      </c>
      <c r="GU59" s="11">
        <f t="shared" si="76"/>
        <v>0</v>
      </c>
      <c r="GV59" s="11">
        <f t="shared" si="77"/>
        <v>0</v>
      </c>
      <c r="GW59" s="11">
        <f t="shared" si="78"/>
        <v>0</v>
      </c>
      <c r="GX59" s="11">
        <f t="shared" si="79"/>
        <v>0</v>
      </c>
      <c r="GY59" s="11">
        <f t="shared" si="80"/>
        <v>0</v>
      </c>
      <c r="GZ59" s="11">
        <f t="shared" si="81"/>
        <v>0</v>
      </c>
      <c r="HA59" s="11">
        <f t="shared" si="82"/>
        <v>0</v>
      </c>
      <c r="HB59" s="11">
        <f t="shared" si="83"/>
        <v>0</v>
      </c>
      <c r="HC59" s="11">
        <f t="shared" si="84"/>
        <v>0</v>
      </c>
      <c r="HD59" s="11">
        <f t="shared" si="85"/>
        <v>0</v>
      </c>
      <c r="HE59" s="11">
        <f t="shared" si="86"/>
        <v>0</v>
      </c>
      <c r="HF59" s="11">
        <f t="shared" si="87"/>
        <v>0</v>
      </c>
      <c r="HG59" s="11">
        <f t="shared" si="88"/>
        <v>0</v>
      </c>
      <c r="HH59" s="11">
        <f t="shared" si="89"/>
        <v>0</v>
      </c>
      <c r="HI59" s="11">
        <f t="shared" si="90"/>
        <v>0</v>
      </c>
      <c r="HJ59" s="11">
        <f t="shared" si="91"/>
        <v>0</v>
      </c>
      <c r="HK59" s="11">
        <f t="shared" si="92"/>
        <v>0</v>
      </c>
      <c r="HL59" s="11">
        <f t="shared" si="93"/>
        <v>0</v>
      </c>
      <c r="HM59" s="11">
        <f t="shared" si="94"/>
        <v>0</v>
      </c>
      <c r="HN59" s="11">
        <f t="shared" si="95"/>
        <v>0</v>
      </c>
      <c r="HO59" s="11">
        <f t="shared" si="96"/>
        <v>0</v>
      </c>
      <c r="HP59" s="11">
        <f t="shared" si="97"/>
        <v>0</v>
      </c>
      <c r="HQ59" s="11">
        <f t="shared" si="98"/>
        <v>0</v>
      </c>
      <c r="HT59" s="85">
        <v>5</v>
      </c>
      <c r="HU59" s="520">
        <f>DATE(YEAR(EXPEDIENTE!$F$25)+2,HT59,1)</f>
        <v>46508</v>
      </c>
      <c r="HV59" s="520" t="str">
        <f>IF('GASTOS EJER. 3'!BF56="","",'GASTOS EJER. 3'!BF56)</f>
        <v/>
      </c>
      <c r="HW59" s="527">
        <f>'GASTOS EJER. 3'!CM24</f>
        <v>0</v>
      </c>
      <c r="HX59" s="527">
        <f>'GASTOS EJER. 3'!BA56</f>
        <v>0</v>
      </c>
      <c r="HY59" s="11">
        <f t="shared" si="300"/>
        <v>0</v>
      </c>
      <c r="HZ59" s="527">
        <f t="shared" si="275"/>
        <v>0</v>
      </c>
      <c r="JF59" s="485">
        <v>55</v>
      </c>
      <c r="JG59" s="474">
        <f t="shared" si="101"/>
        <v>20</v>
      </c>
    </row>
    <row r="60" spans="3:267" x14ac:dyDescent="0.3">
      <c r="C60" s="8">
        <v>54</v>
      </c>
      <c r="D60" s="12"/>
      <c r="E60" s="17"/>
      <c r="F60" s="18"/>
      <c r="G60" s="19"/>
      <c r="H60" s="19"/>
      <c r="I60" s="19"/>
      <c r="J60" s="12"/>
      <c r="K60" s="14">
        <f t="shared" si="43"/>
        <v>76</v>
      </c>
      <c r="L60" s="14">
        <f t="shared" si="44"/>
        <v>76</v>
      </c>
      <c r="M60" s="14" t="str">
        <f t="shared" si="45"/>
        <v>X</v>
      </c>
      <c r="AG60" s="584">
        <v>21</v>
      </c>
      <c r="AH60" s="517">
        <f>'GASTOS EJER. 3'!M42</f>
        <v>0</v>
      </c>
      <c r="AI60" s="527">
        <f>'GASTOS EJER. 3'!X42</f>
        <v>0</v>
      </c>
      <c r="AJ60" s="590">
        <f>'GASTOS EJER. 3'!Y42</f>
        <v>0</v>
      </c>
      <c r="AK60" s="518">
        <f t="shared" si="301"/>
        <v>0</v>
      </c>
      <c r="AM60" s="519">
        <f>'GASTOS EJER. 3'!F42+'GASTOS EJER. 3'!L42-'GASTOS EJER. 3'!X42-'GASTOS EJER. 3'!Y42</f>
        <v>0</v>
      </c>
      <c r="AN60" s="520" t="str">
        <f>IF('GASTOS EJER. 3'!AA42="","",'GASTOS EJER. 3'!AA42)</f>
        <v/>
      </c>
      <c r="AO60" s="517">
        <f>'GASTOS EJER. 3'!Y42</f>
        <v>0</v>
      </c>
      <c r="AP60" s="521" t="str">
        <f>IF('GASTOS EJER. 3'!AB42="","",'GASTOS EJER. 3'!AB42)</f>
        <v/>
      </c>
      <c r="AQ60" s="522">
        <f>IF(AND(AN60&gt;=EXPEDIENTE!$I$25,AN60&lt;=EXPEDIENTE!$I$29),AM60,0)</f>
        <v>0</v>
      </c>
      <c r="AR60" s="11">
        <f>IF(AND(AP60&gt;=EXPEDIENTE!$I$25,AP60&lt;=EXPEDIENTE!$I$29),AO60,0)</f>
        <v>0</v>
      </c>
      <c r="AS60" s="518">
        <f t="shared" si="302"/>
        <v>0</v>
      </c>
      <c r="AT60" s="523" t="str">
        <f>IF('GASTOS EJER. 3'!D42="","",'GASTOS EJER. 3'!D42)</f>
        <v/>
      </c>
      <c r="AU60" s="524" t="str">
        <f>IF('GASTOS EJER. 3'!E42="","",'GASTOS EJER. 3'!E42)</f>
        <v/>
      </c>
      <c r="AV60" s="594">
        <f t="shared" si="303"/>
        <v>0</v>
      </c>
      <c r="AW60" s="525">
        <f t="shared" si="304"/>
        <v>0</v>
      </c>
      <c r="AX60" s="24">
        <f t="shared" si="276"/>
        <v>0</v>
      </c>
      <c r="AY60" s="604">
        <f t="shared" si="305"/>
        <v>0</v>
      </c>
      <c r="AZ60" s="607">
        <f t="shared" si="306"/>
        <v>0</v>
      </c>
      <c r="BB60" s="596">
        <v>5</v>
      </c>
      <c r="BC60" s="598" t="e">
        <f t="shared" si="277"/>
        <v>#VALUE!</v>
      </c>
      <c r="BD60" s="601">
        <f t="shared" si="307"/>
        <v>0</v>
      </c>
      <c r="BE60" s="643">
        <f t="shared" si="308"/>
        <v>0</v>
      </c>
      <c r="BF60" s="643">
        <f t="shared" si="309"/>
        <v>0</v>
      </c>
      <c r="BG60" s="643">
        <f t="shared" si="310"/>
        <v>0</v>
      </c>
      <c r="BH60" s="643">
        <f t="shared" si="311"/>
        <v>0</v>
      </c>
      <c r="BI60" s="643">
        <f t="shared" si="312"/>
        <v>0</v>
      </c>
      <c r="BJ60" s="643">
        <f t="shared" si="313"/>
        <v>0</v>
      </c>
      <c r="BK60" s="644">
        <f t="shared" si="314"/>
        <v>0</v>
      </c>
      <c r="BL60" s="645">
        <f t="shared" si="278"/>
        <v>0</v>
      </c>
      <c r="BN60" s="601">
        <f t="shared" si="279"/>
        <v>0</v>
      </c>
      <c r="BO60" s="643">
        <f t="shared" si="280"/>
        <v>0</v>
      </c>
      <c r="BP60" s="643">
        <f t="shared" si="281"/>
        <v>0</v>
      </c>
      <c r="BQ60" s="643">
        <f t="shared" si="282"/>
        <v>0</v>
      </c>
      <c r="BR60" s="643">
        <f t="shared" si="283"/>
        <v>0</v>
      </c>
      <c r="BS60" s="643">
        <f t="shared" si="284"/>
        <v>0</v>
      </c>
      <c r="BT60" s="643">
        <f t="shared" si="285"/>
        <v>0</v>
      </c>
      <c r="BU60" s="644">
        <f t="shared" si="286"/>
        <v>0</v>
      </c>
      <c r="BV60" s="645">
        <f t="shared" si="315"/>
        <v>0</v>
      </c>
      <c r="BX60" s="645">
        <f t="shared" si="316"/>
        <v>0</v>
      </c>
      <c r="BZ60" s="616">
        <v>21</v>
      </c>
      <c r="CA60" s="517">
        <f>'GASTOS EJER. 3'!BN42</f>
        <v>0</v>
      </c>
      <c r="CB60" s="527">
        <f>'GASTOS EJER. 3'!CM42</f>
        <v>0</v>
      </c>
      <c r="CC60" s="590">
        <f>'GASTOS EJER. 3'!CP42</f>
        <v>0</v>
      </c>
      <c r="CD60" s="518">
        <f t="shared" si="317"/>
        <v>0</v>
      </c>
      <c r="CF60" s="519">
        <f>'GASTOS EJER. 3'!AW42+'GASTOS EJER. 3'!BM42-'GASTOS EJER. 3'!CM42-'GASTOS EJER. 3'!CP42</f>
        <v>0</v>
      </c>
      <c r="CG60" s="520" t="str">
        <f>IF('GASTOS EJER. 3'!CT42="","",'GASTOS EJER. 3'!CT42)</f>
        <v/>
      </c>
      <c r="CH60" s="517">
        <f>'GASTOS EJER. 3'!CP42</f>
        <v>0</v>
      </c>
      <c r="CI60" s="521" t="str">
        <f>IF('GASTOS EJER. 3'!CW42="","",'GASTOS EJER. 3'!CW42)</f>
        <v/>
      </c>
      <c r="CJ60" s="522">
        <f>IF(AND(CG60&gt;=EXPEDIENTE!$I$25,CG60&lt;=EXPEDIENTE!$I$29),CF60,0)</f>
        <v>0</v>
      </c>
      <c r="CK60" s="11">
        <f>IF(AND(CI60&gt;=EXPEDIENTE!$I$25,CI60&lt;=EXPEDIENTE!$I$29),CH60,0)</f>
        <v>0</v>
      </c>
      <c r="CL60" s="518">
        <f t="shared" si="318"/>
        <v>0</v>
      </c>
      <c r="CM60" s="523" t="str">
        <f>IF('GASTOS EJER. 3'!AQ42="","",'GASTOS EJER. 3'!AQ42)</f>
        <v/>
      </c>
      <c r="CN60" s="524" t="str">
        <f>IF('GASTOS EJER. 3'!AT42="","",'GASTOS EJER. 3'!AT42)</f>
        <v/>
      </c>
      <c r="CO60" s="594">
        <f t="shared" si="319"/>
        <v>0</v>
      </c>
      <c r="CP60" s="525">
        <f t="shared" si="320"/>
        <v>0</v>
      </c>
      <c r="CQ60" s="24">
        <f t="shared" si="287"/>
        <v>0</v>
      </c>
      <c r="CR60" s="604">
        <f t="shared" si="321"/>
        <v>0</v>
      </c>
      <c r="CS60" s="607">
        <f t="shared" si="322"/>
        <v>0</v>
      </c>
      <c r="CU60" s="620">
        <v>5</v>
      </c>
      <c r="CV60" s="598" t="e">
        <f t="shared" si="288"/>
        <v>#VALUE!</v>
      </c>
      <c r="CW60" s="621">
        <f t="shared" si="323"/>
        <v>0</v>
      </c>
      <c r="CX60" s="649">
        <f t="shared" si="324"/>
        <v>0</v>
      </c>
      <c r="CY60" s="649">
        <f t="shared" si="325"/>
        <v>0</v>
      </c>
      <c r="CZ60" s="649">
        <f t="shared" si="326"/>
        <v>0</v>
      </c>
      <c r="DA60" s="649">
        <f t="shared" si="327"/>
        <v>0</v>
      </c>
      <c r="DB60" s="649">
        <f t="shared" si="328"/>
        <v>0</v>
      </c>
      <c r="DC60" s="649">
        <f t="shared" si="329"/>
        <v>0</v>
      </c>
      <c r="DD60" s="650">
        <f t="shared" si="330"/>
        <v>0</v>
      </c>
      <c r="DE60" s="645">
        <f t="shared" si="289"/>
        <v>0</v>
      </c>
      <c r="DG60" s="621">
        <f t="shared" si="290"/>
        <v>0</v>
      </c>
      <c r="DH60" s="649">
        <f t="shared" si="291"/>
        <v>0</v>
      </c>
      <c r="DI60" s="649">
        <f t="shared" si="292"/>
        <v>0</v>
      </c>
      <c r="DJ60" s="649">
        <f t="shared" si="293"/>
        <v>0</v>
      </c>
      <c r="DK60" s="649">
        <f t="shared" si="294"/>
        <v>0</v>
      </c>
      <c r="DL60" s="649">
        <f t="shared" si="295"/>
        <v>0</v>
      </c>
      <c r="DM60" s="649">
        <f t="shared" si="296"/>
        <v>0</v>
      </c>
      <c r="DN60" s="650">
        <f t="shared" si="297"/>
        <v>0</v>
      </c>
      <c r="DO60" s="645">
        <f t="shared" si="298"/>
        <v>0</v>
      </c>
      <c r="DQ60" s="645">
        <f t="shared" si="331"/>
        <v>0</v>
      </c>
      <c r="DS60" s="515">
        <v>22</v>
      </c>
      <c r="DT60" s="526">
        <f>'GASTOS EJER. 3'!$C43</f>
        <v>0</v>
      </c>
      <c r="DU60" s="524" t="str">
        <f t="shared" si="268"/>
        <v/>
      </c>
      <c r="DV60" s="524" t="str">
        <f t="shared" si="268"/>
        <v/>
      </c>
      <c r="DW60" s="14">
        <f t="shared" si="269"/>
        <v>0</v>
      </c>
      <c r="DX60" s="527">
        <f>'GASTOS EJER. 3'!X43</f>
        <v>0</v>
      </c>
      <c r="DY60" s="520" t="str">
        <f>IF(DX44=0,"",'GASTOS EJER. 3'!AA43)</f>
        <v/>
      </c>
      <c r="DZ60" s="520" t="str">
        <f t="shared" si="270"/>
        <v/>
      </c>
      <c r="EA60" s="518" t="e">
        <f>IF(AND(DZ60&gt;=EXPEDIENTE!$F$25,DZ60&lt;=EXPEDIENTE!$F$29),ROUNDDOWN(DX60/DW60,2),0)</f>
        <v>#DIV/0!</v>
      </c>
      <c r="EC60" s="14">
        <v>41</v>
      </c>
      <c r="ED60" s="482">
        <f t="shared" si="102"/>
        <v>46874</v>
      </c>
      <c r="EE60" s="482">
        <f t="shared" si="103"/>
        <v>46904</v>
      </c>
      <c r="EF60" s="14" t="str">
        <f>IF(AND(EE60&gt;=EXPEDIENTE!$F$25,ED60&lt;=EXPEDIENTE!$F$29),"SI","NO")</f>
        <v>SI</v>
      </c>
      <c r="EG60" s="11">
        <f t="shared" si="174"/>
        <v>0</v>
      </c>
      <c r="EH60" s="11">
        <f t="shared" si="175"/>
        <v>0</v>
      </c>
      <c r="EI60" s="11">
        <f t="shared" si="176"/>
        <v>0</v>
      </c>
      <c r="EJ60" s="11">
        <f t="shared" si="177"/>
        <v>0</v>
      </c>
      <c r="EK60" s="11">
        <f t="shared" si="178"/>
        <v>0</v>
      </c>
      <c r="EL60" s="11">
        <f t="shared" si="179"/>
        <v>0</v>
      </c>
      <c r="EM60" s="11">
        <f t="shared" si="180"/>
        <v>0</v>
      </c>
      <c r="EN60" s="11">
        <f t="shared" si="181"/>
        <v>0</v>
      </c>
      <c r="EO60" s="11">
        <f t="shared" si="182"/>
        <v>0</v>
      </c>
      <c r="EP60" s="11">
        <f t="shared" si="183"/>
        <v>0</v>
      </c>
      <c r="EQ60" s="11">
        <f t="shared" si="184"/>
        <v>0</v>
      </c>
      <c r="ER60" s="11">
        <f t="shared" si="185"/>
        <v>0</v>
      </c>
      <c r="ES60" s="11">
        <f t="shared" si="186"/>
        <v>0</v>
      </c>
      <c r="ET60" s="11">
        <f t="shared" si="187"/>
        <v>0</v>
      </c>
      <c r="EU60" s="11">
        <f t="shared" si="188"/>
        <v>0</v>
      </c>
      <c r="EV60" s="11">
        <f t="shared" si="189"/>
        <v>0</v>
      </c>
      <c r="EW60" s="11">
        <f t="shared" si="190"/>
        <v>0</v>
      </c>
      <c r="EX60" s="11">
        <f t="shared" si="191"/>
        <v>0</v>
      </c>
      <c r="EY60" s="11">
        <f t="shared" si="192"/>
        <v>0</v>
      </c>
      <c r="EZ60" s="11">
        <f t="shared" si="193"/>
        <v>0</v>
      </c>
      <c r="FA60" s="11">
        <f t="shared" si="194"/>
        <v>0</v>
      </c>
      <c r="FB60" s="11">
        <f t="shared" si="195"/>
        <v>0</v>
      </c>
      <c r="FC60" s="11">
        <f t="shared" si="196"/>
        <v>0</v>
      </c>
      <c r="FD60" s="11">
        <f t="shared" si="197"/>
        <v>0</v>
      </c>
      <c r="FE60" s="11">
        <f t="shared" si="198"/>
        <v>0</v>
      </c>
      <c r="FF60" s="11">
        <f t="shared" si="199"/>
        <v>0</v>
      </c>
      <c r="FG60" s="11">
        <f t="shared" si="200"/>
        <v>0</v>
      </c>
      <c r="FH60" s="11">
        <f t="shared" si="201"/>
        <v>0</v>
      </c>
      <c r="FI60" s="11">
        <f t="shared" si="202"/>
        <v>0</v>
      </c>
      <c r="FJ60" s="11">
        <f t="shared" si="203"/>
        <v>0</v>
      </c>
      <c r="FK60" s="11">
        <f t="shared" si="204"/>
        <v>0</v>
      </c>
      <c r="FL60" s="11">
        <f t="shared" si="205"/>
        <v>0</v>
      </c>
      <c r="FM60" s="11">
        <f t="shared" si="65"/>
        <v>0</v>
      </c>
      <c r="FO60" s="85">
        <v>6</v>
      </c>
      <c r="FP60" s="520">
        <f>DATE(YEAR(EXPEDIENTE!$F$25)+2,FO60,1)</f>
        <v>46539</v>
      </c>
      <c r="FQ60" s="520" t="str">
        <f>IF('GASTOS EJER. 3'!I57="","",'GASTOS EJER. 3'!I57)</f>
        <v/>
      </c>
      <c r="FR60" s="527">
        <f>'GASTOS EJER. 3'!X25</f>
        <v>0</v>
      </c>
      <c r="FS60" s="527">
        <f>'GASTOS EJER. 3'!H57</f>
        <v>0</v>
      </c>
      <c r="FT60" s="11">
        <f t="shared" si="299"/>
        <v>0</v>
      </c>
      <c r="FU60" s="527">
        <f t="shared" si="271"/>
        <v>0</v>
      </c>
      <c r="FW60" s="515">
        <v>22</v>
      </c>
      <c r="FX60" s="526">
        <f>'GASTOS EJER. 3'!$C43</f>
        <v>0</v>
      </c>
      <c r="FY60" s="524" t="str">
        <f t="shared" si="272"/>
        <v/>
      </c>
      <c r="FZ60" s="524" t="str">
        <f t="shared" si="272"/>
        <v/>
      </c>
      <c r="GA60" s="14">
        <f t="shared" si="273"/>
        <v>0</v>
      </c>
      <c r="GB60" s="527">
        <f>'GASTOS EJER. 3'!CM43</f>
        <v>0</v>
      </c>
      <c r="GC60" s="520" t="str">
        <f>IF(GB44=0,"",'GASTOS EJER. 3'!CT43)</f>
        <v/>
      </c>
      <c r="GD60" s="520" t="str">
        <f t="shared" si="274"/>
        <v/>
      </c>
      <c r="GE60" s="518" t="e">
        <f>IF(AND(GD60&gt;=EXPEDIENTE!$F$25,GD60&lt;=EXPEDIENTE!$F$29),ROUNDDOWN(GB60/GA60,2),0)</f>
        <v>#DIV/0!</v>
      </c>
      <c r="GG60" s="14">
        <v>41</v>
      </c>
      <c r="GH60" s="482">
        <f t="shared" si="104"/>
        <v>46874</v>
      </c>
      <c r="GI60" s="482">
        <f t="shared" si="105"/>
        <v>46904</v>
      </c>
      <c r="GJ60" s="14" t="str">
        <f>IF(AND(GI60&gt;=EXPEDIENTE!$F$25,GH60&lt;=EXPEDIENTE!$F$29),"SI","NO")</f>
        <v>SI</v>
      </c>
      <c r="GK60" s="11">
        <f t="shared" si="66"/>
        <v>0</v>
      </c>
      <c r="GL60" s="11">
        <f t="shared" si="67"/>
        <v>0</v>
      </c>
      <c r="GM60" s="11">
        <f t="shared" si="68"/>
        <v>0</v>
      </c>
      <c r="GN60" s="11">
        <f t="shared" si="69"/>
        <v>0</v>
      </c>
      <c r="GO60" s="11">
        <f t="shared" si="70"/>
        <v>0</v>
      </c>
      <c r="GP60" s="11">
        <f t="shared" si="71"/>
        <v>0</v>
      </c>
      <c r="GQ60" s="11">
        <f t="shared" si="72"/>
        <v>0</v>
      </c>
      <c r="GR60" s="11">
        <f t="shared" si="73"/>
        <v>0</v>
      </c>
      <c r="GS60" s="11">
        <f t="shared" si="74"/>
        <v>0</v>
      </c>
      <c r="GT60" s="11">
        <f t="shared" si="75"/>
        <v>0</v>
      </c>
      <c r="GU60" s="11">
        <f t="shared" si="76"/>
        <v>0</v>
      </c>
      <c r="GV60" s="11">
        <f t="shared" si="77"/>
        <v>0</v>
      </c>
      <c r="GW60" s="11">
        <f t="shared" si="78"/>
        <v>0</v>
      </c>
      <c r="GX60" s="11">
        <f t="shared" si="79"/>
        <v>0</v>
      </c>
      <c r="GY60" s="11">
        <f t="shared" si="80"/>
        <v>0</v>
      </c>
      <c r="GZ60" s="11">
        <f t="shared" si="81"/>
        <v>0</v>
      </c>
      <c r="HA60" s="11">
        <f t="shared" si="82"/>
        <v>0</v>
      </c>
      <c r="HB60" s="11">
        <f t="shared" si="83"/>
        <v>0</v>
      </c>
      <c r="HC60" s="11">
        <f t="shared" si="84"/>
        <v>0</v>
      </c>
      <c r="HD60" s="11">
        <f t="shared" si="85"/>
        <v>0</v>
      </c>
      <c r="HE60" s="11">
        <f t="shared" si="86"/>
        <v>0</v>
      </c>
      <c r="HF60" s="11">
        <f t="shared" si="87"/>
        <v>0</v>
      </c>
      <c r="HG60" s="11">
        <f t="shared" si="88"/>
        <v>0</v>
      </c>
      <c r="HH60" s="11">
        <f t="shared" si="89"/>
        <v>0</v>
      </c>
      <c r="HI60" s="11">
        <f t="shared" si="90"/>
        <v>0</v>
      </c>
      <c r="HJ60" s="11">
        <f t="shared" si="91"/>
        <v>0</v>
      </c>
      <c r="HK60" s="11">
        <f t="shared" si="92"/>
        <v>0</v>
      </c>
      <c r="HL60" s="11">
        <f t="shared" si="93"/>
        <v>0</v>
      </c>
      <c r="HM60" s="11">
        <f t="shared" si="94"/>
        <v>0</v>
      </c>
      <c r="HN60" s="11">
        <f t="shared" si="95"/>
        <v>0</v>
      </c>
      <c r="HO60" s="11">
        <f t="shared" si="96"/>
        <v>0</v>
      </c>
      <c r="HP60" s="11">
        <f t="shared" si="97"/>
        <v>0</v>
      </c>
      <c r="HQ60" s="11">
        <f t="shared" si="98"/>
        <v>0</v>
      </c>
      <c r="HT60" s="85">
        <v>6</v>
      </c>
      <c r="HU60" s="520">
        <f>DATE(YEAR(EXPEDIENTE!$F$25)+2,HT60,1)</f>
        <v>46539</v>
      </c>
      <c r="HV60" s="520" t="str">
        <f>IF('GASTOS EJER. 3'!BF57="","",'GASTOS EJER. 3'!BF57)</f>
        <v/>
      </c>
      <c r="HW60" s="527">
        <f>'GASTOS EJER. 3'!CM25</f>
        <v>0</v>
      </c>
      <c r="HX60" s="527">
        <f>'GASTOS EJER. 3'!BA57</f>
        <v>0</v>
      </c>
      <c r="HY60" s="11">
        <f t="shared" si="300"/>
        <v>0</v>
      </c>
      <c r="HZ60" s="527">
        <f t="shared" si="275"/>
        <v>0</v>
      </c>
      <c r="JF60" s="477">
        <v>56</v>
      </c>
      <c r="JG60" s="474">
        <f t="shared" si="101"/>
        <v>22</v>
      </c>
    </row>
    <row r="61" spans="3:267" x14ac:dyDescent="0.3">
      <c r="C61" s="8">
        <v>55</v>
      </c>
      <c r="D61" s="12"/>
      <c r="E61" s="17"/>
      <c r="F61" s="18"/>
      <c r="G61" s="19"/>
      <c r="H61" s="19"/>
      <c r="I61" s="19"/>
      <c r="J61" s="12"/>
      <c r="K61" s="14">
        <f t="shared" si="43"/>
        <v>76</v>
      </c>
      <c r="L61" s="14">
        <f t="shared" si="44"/>
        <v>76</v>
      </c>
      <c r="M61" s="14" t="str">
        <f t="shared" si="45"/>
        <v>X</v>
      </c>
      <c r="AG61" s="584">
        <v>22</v>
      </c>
      <c r="AH61" s="517">
        <f>'GASTOS EJER. 3'!M43</f>
        <v>0</v>
      </c>
      <c r="AI61" s="527">
        <f>'GASTOS EJER. 3'!X43</f>
        <v>0</v>
      </c>
      <c r="AJ61" s="590">
        <f>'GASTOS EJER. 3'!Y43</f>
        <v>0</v>
      </c>
      <c r="AK61" s="518">
        <f t="shared" si="301"/>
        <v>0</v>
      </c>
      <c r="AM61" s="519">
        <f>'GASTOS EJER. 3'!F43+'GASTOS EJER. 3'!L43-'GASTOS EJER. 3'!X43-'GASTOS EJER. 3'!Y43</f>
        <v>0</v>
      </c>
      <c r="AN61" s="520" t="str">
        <f>IF('GASTOS EJER. 3'!AA43="","",'GASTOS EJER. 3'!AA43)</f>
        <v/>
      </c>
      <c r="AO61" s="517">
        <f>'GASTOS EJER. 3'!Y43</f>
        <v>0</v>
      </c>
      <c r="AP61" s="521" t="str">
        <f>IF('GASTOS EJER. 3'!AB43="","",'GASTOS EJER. 3'!AB43)</f>
        <v/>
      </c>
      <c r="AQ61" s="522">
        <f>IF(AND(AN61&gt;=EXPEDIENTE!$I$25,AN61&lt;=EXPEDIENTE!$I$29),AM61,0)</f>
        <v>0</v>
      </c>
      <c r="AR61" s="11">
        <f>IF(AND(AP61&gt;=EXPEDIENTE!$I$25,AP61&lt;=EXPEDIENTE!$I$29),AO61,0)</f>
        <v>0</v>
      </c>
      <c r="AS61" s="518">
        <f t="shared" si="302"/>
        <v>0</v>
      </c>
      <c r="AT61" s="523" t="str">
        <f>IF('GASTOS EJER. 3'!D43="","",'GASTOS EJER. 3'!D43)</f>
        <v/>
      </c>
      <c r="AU61" s="524" t="str">
        <f>IF('GASTOS EJER. 3'!E43="","",'GASTOS EJER. 3'!E43)</f>
        <v/>
      </c>
      <c r="AV61" s="594">
        <f t="shared" si="303"/>
        <v>0</v>
      </c>
      <c r="AW61" s="525">
        <f t="shared" si="304"/>
        <v>0</v>
      </c>
      <c r="AX61" s="24">
        <f t="shared" si="276"/>
        <v>0</v>
      </c>
      <c r="AY61" s="604">
        <f t="shared" si="305"/>
        <v>0</v>
      </c>
      <c r="AZ61" s="607">
        <f t="shared" si="306"/>
        <v>0</v>
      </c>
      <c r="BB61" s="596">
        <v>6</v>
      </c>
      <c r="BC61" s="598" t="e">
        <f t="shared" si="277"/>
        <v>#VALUE!</v>
      </c>
      <c r="BD61" s="601">
        <f t="shared" si="307"/>
        <v>0</v>
      </c>
      <c r="BE61" s="643">
        <f t="shared" si="308"/>
        <v>0</v>
      </c>
      <c r="BF61" s="643">
        <f t="shared" si="309"/>
        <v>0</v>
      </c>
      <c r="BG61" s="643">
        <f t="shared" si="310"/>
        <v>0</v>
      </c>
      <c r="BH61" s="643">
        <f t="shared" si="311"/>
        <v>0</v>
      </c>
      <c r="BI61" s="643">
        <f t="shared" si="312"/>
        <v>0</v>
      </c>
      <c r="BJ61" s="643">
        <f t="shared" si="313"/>
        <v>0</v>
      </c>
      <c r="BK61" s="644">
        <f t="shared" si="314"/>
        <v>0</v>
      </c>
      <c r="BL61" s="645">
        <f t="shared" si="278"/>
        <v>0</v>
      </c>
      <c r="BN61" s="601">
        <f t="shared" si="279"/>
        <v>0</v>
      </c>
      <c r="BO61" s="643">
        <f t="shared" si="280"/>
        <v>0</v>
      </c>
      <c r="BP61" s="643">
        <f t="shared" si="281"/>
        <v>0</v>
      </c>
      <c r="BQ61" s="643">
        <f t="shared" si="282"/>
        <v>0</v>
      </c>
      <c r="BR61" s="643">
        <f t="shared" si="283"/>
        <v>0</v>
      </c>
      <c r="BS61" s="643">
        <f t="shared" si="284"/>
        <v>0</v>
      </c>
      <c r="BT61" s="643">
        <f t="shared" si="285"/>
        <v>0</v>
      </c>
      <c r="BU61" s="644">
        <f t="shared" si="286"/>
        <v>0</v>
      </c>
      <c r="BV61" s="645">
        <f t="shared" si="315"/>
        <v>0</v>
      </c>
      <c r="BX61" s="645">
        <f t="shared" si="316"/>
        <v>0</v>
      </c>
      <c r="BZ61" s="616">
        <v>22</v>
      </c>
      <c r="CA61" s="517">
        <f>'GASTOS EJER. 3'!BN43</f>
        <v>0</v>
      </c>
      <c r="CB61" s="527">
        <f>'GASTOS EJER. 3'!CM43</f>
        <v>0</v>
      </c>
      <c r="CC61" s="590">
        <f>'GASTOS EJER. 3'!CP43</f>
        <v>0</v>
      </c>
      <c r="CD61" s="518">
        <f t="shared" si="317"/>
        <v>0</v>
      </c>
      <c r="CF61" s="519">
        <f>'GASTOS EJER. 3'!AW43+'GASTOS EJER. 3'!BM43-'GASTOS EJER. 3'!CM43-'GASTOS EJER. 3'!CP43</f>
        <v>0</v>
      </c>
      <c r="CG61" s="520" t="str">
        <f>IF('GASTOS EJER. 3'!CT43="","",'GASTOS EJER. 3'!CT43)</f>
        <v/>
      </c>
      <c r="CH61" s="517">
        <f>'GASTOS EJER. 3'!CP43</f>
        <v>0</v>
      </c>
      <c r="CI61" s="521" t="str">
        <f>IF('GASTOS EJER. 3'!CW43="","",'GASTOS EJER. 3'!CW43)</f>
        <v/>
      </c>
      <c r="CJ61" s="522">
        <f>IF(AND(CG61&gt;=EXPEDIENTE!$I$25,CG61&lt;=EXPEDIENTE!$I$29),CF61,0)</f>
        <v>0</v>
      </c>
      <c r="CK61" s="11">
        <f>IF(AND(CI61&gt;=EXPEDIENTE!$I$25,CI61&lt;=EXPEDIENTE!$I$29),CH61,0)</f>
        <v>0</v>
      </c>
      <c r="CL61" s="518">
        <f t="shared" si="318"/>
        <v>0</v>
      </c>
      <c r="CM61" s="523" t="str">
        <f>IF('GASTOS EJER. 3'!AQ43="","",'GASTOS EJER. 3'!AQ43)</f>
        <v/>
      </c>
      <c r="CN61" s="524" t="str">
        <f>IF('GASTOS EJER. 3'!AT43="","",'GASTOS EJER. 3'!AT43)</f>
        <v/>
      </c>
      <c r="CO61" s="594">
        <f t="shared" si="319"/>
        <v>0</v>
      </c>
      <c r="CP61" s="525">
        <f t="shared" si="320"/>
        <v>0</v>
      </c>
      <c r="CQ61" s="24">
        <f t="shared" si="287"/>
        <v>0</v>
      </c>
      <c r="CR61" s="604">
        <f t="shared" si="321"/>
        <v>0</v>
      </c>
      <c r="CS61" s="607">
        <f t="shared" si="322"/>
        <v>0</v>
      </c>
      <c r="CU61" s="620">
        <v>6</v>
      </c>
      <c r="CV61" s="598" t="e">
        <f t="shared" si="288"/>
        <v>#VALUE!</v>
      </c>
      <c r="CW61" s="621">
        <f t="shared" si="323"/>
        <v>0</v>
      </c>
      <c r="CX61" s="649">
        <f t="shared" si="324"/>
        <v>0</v>
      </c>
      <c r="CY61" s="649">
        <f t="shared" si="325"/>
        <v>0</v>
      </c>
      <c r="CZ61" s="649">
        <f t="shared" si="326"/>
        <v>0</v>
      </c>
      <c r="DA61" s="649">
        <f t="shared" si="327"/>
        <v>0</v>
      </c>
      <c r="DB61" s="649">
        <f t="shared" si="328"/>
        <v>0</v>
      </c>
      <c r="DC61" s="649">
        <f t="shared" si="329"/>
        <v>0</v>
      </c>
      <c r="DD61" s="650">
        <f t="shared" si="330"/>
        <v>0</v>
      </c>
      <c r="DE61" s="645">
        <f t="shared" si="289"/>
        <v>0</v>
      </c>
      <c r="DG61" s="621">
        <f t="shared" si="290"/>
        <v>0</v>
      </c>
      <c r="DH61" s="649">
        <f t="shared" si="291"/>
        <v>0</v>
      </c>
      <c r="DI61" s="649">
        <f t="shared" si="292"/>
        <v>0</v>
      </c>
      <c r="DJ61" s="649">
        <f t="shared" si="293"/>
        <v>0</v>
      </c>
      <c r="DK61" s="649">
        <f t="shared" si="294"/>
        <v>0</v>
      </c>
      <c r="DL61" s="649">
        <f t="shared" si="295"/>
        <v>0</v>
      </c>
      <c r="DM61" s="649">
        <f t="shared" si="296"/>
        <v>0</v>
      </c>
      <c r="DN61" s="650">
        <f t="shared" si="297"/>
        <v>0</v>
      </c>
      <c r="DO61" s="645">
        <f t="shared" si="298"/>
        <v>0</v>
      </c>
      <c r="DQ61" s="645">
        <f t="shared" si="331"/>
        <v>0</v>
      </c>
      <c r="DS61" s="515">
        <v>23</v>
      </c>
      <c r="DT61" s="526">
        <f>'GASTOS EJER. 3'!$C44</f>
        <v>0</v>
      </c>
      <c r="DU61" s="524" t="str">
        <f t="shared" si="268"/>
        <v/>
      </c>
      <c r="DV61" s="524" t="str">
        <f t="shared" si="268"/>
        <v/>
      </c>
      <c r="DW61" s="14">
        <f t="shared" si="269"/>
        <v>0</v>
      </c>
      <c r="DX61" s="527">
        <f>'GASTOS EJER. 3'!X44</f>
        <v>0</v>
      </c>
      <c r="DY61" s="520" t="str">
        <f>IF(DX45=0,"",'GASTOS EJER. 3'!AA44)</f>
        <v/>
      </c>
      <c r="DZ61" s="520" t="str">
        <f t="shared" si="270"/>
        <v/>
      </c>
      <c r="EA61" s="518" t="e">
        <f>IF(AND(DZ61&gt;=EXPEDIENTE!$F$25,DZ61&lt;=EXPEDIENTE!$F$29),ROUNDDOWN(DX61/DW61,2),0)</f>
        <v>#DIV/0!</v>
      </c>
      <c r="EC61" s="14">
        <v>42</v>
      </c>
      <c r="ED61" s="482">
        <f t="shared" si="102"/>
        <v>46905</v>
      </c>
      <c r="EE61" s="482">
        <f t="shared" si="103"/>
        <v>46934</v>
      </c>
      <c r="EF61" s="14" t="str">
        <f>IF(AND(EE61&gt;=EXPEDIENTE!$F$25,ED61&lt;=EXPEDIENTE!$F$29),"SI","NO")</f>
        <v>SI</v>
      </c>
      <c r="EG61" s="11">
        <f t="shared" si="174"/>
        <v>0</v>
      </c>
      <c r="EH61" s="11">
        <f t="shared" si="175"/>
        <v>0</v>
      </c>
      <c r="EI61" s="11">
        <f t="shared" si="176"/>
        <v>0</v>
      </c>
      <c r="EJ61" s="11">
        <f t="shared" si="177"/>
        <v>0</v>
      </c>
      <c r="EK61" s="11">
        <f t="shared" si="178"/>
        <v>0</v>
      </c>
      <c r="EL61" s="11">
        <f t="shared" si="179"/>
        <v>0</v>
      </c>
      <c r="EM61" s="11">
        <f t="shared" si="180"/>
        <v>0</v>
      </c>
      <c r="EN61" s="11">
        <f t="shared" si="181"/>
        <v>0</v>
      </c>
      <c r="EO61" s="11">
        <f t="shared" si="182"/>
        <v>0</v>
      </c>
      <c r="EP61" s="11">
        <f t="shared" si="183"/>
        <v>0</v>
      </c>
      <c r="EQ61" s="11">
        <f t="shared" si="184"/>
        <v>0</v>
      </c>
      <c r="ER61" s="11">
        <f t="shared" si="185"/>
        <v>0</v>
      </c>
      <c r="ES61" s="11">
        <f t="shared" si="186"/>
        <v>0</v>
      </c>
      <c r="ET61" s="11">
        <f t="shared" si="187"/>
        <v>0</v>
      </c>
      <c r="EU61" s="11">
        <f t="shared" si="188"/>
        <v>0</v>
      </c>
      <c r="EV61" s="11">
        <f t="shared" si="189"/>
        <v>0</v>
      </c>
      <c r="EW61" s="11">
        <f t="shared" si="190"/>
        <v>0</v>
      </c>
      <c r="EX61" s="11">
        <f t="shared" si="191"/>
        <v>0</v>
      </c>
      <c r="EY61" s="11">
        <f t="shared" si="192"/>
        <v>0</v>
      </c>
      <c r="EZ61" s="11">
        <f t="shared" si="193"/>
        <v>0</v>
      </c>
      <c r="FA61" s="11">
        <f t="shared" si="194"/>
        <v>0</v>
      </c>
      <c r="FB61" s="11">
        <f t="shared" si="195"/>
        <v>0</v>
      </c>
      <c r="FC61" s="11">
        <f t="shared" si="196"/>
        <v>0</v>
      </c>
      <c r="FD61" s="11">
        <f t="shared" si="197"/>
        <v>0</v>
      </c>
      <c r="FE61" s="11">
        <f t="shared" si="198"/>
        <v>0</v>
      </c>
      <c r="FF61" s="11">
        <f t="shared" si="199"/>
        <v>0</v>
      </c>
      <c r="FG61" s="11">
        <f t="shared" si="200"/>
        <v>0</v>
      </c>
      <c r="FH61" s="11">
        <f t="shared" si="201"/>
        <v>0</v>
      </c>
      <c r="FI61" s="11">
        <f t="shared" si="202"/>
        <v>0</v>
      </c>
      <c r="FJ61" s="11">
        <f t="shared" si="203"/>
        <v>0</v>
      </c>
      <c r="FK61" s="11">
        <f t="shared" si="204"/>
        <v>0</v>
      </c>
      <c r="FL61" s="11">
        <f t="shared" si="205"/>
        <v>0</v>
      </c>
      <c r="FM61" s="11">
        <f t="shared" si="65"/>
        <v>0</v>
      </c>
      <c r="FO61" s="85">
        <v>7</v>
      </c>
      <c r="FP61" s="520">
        <f>DATE(YEAR(EXPEDIENTE!$F$25)+2,FO61,1)</f>
        <v>46569</v>
      </c>
      <c r="FQ61" s="520" t="str">
        <f>IF('GASTOS EJER. 3'!I58="","",'GASTOS EJER. 3'!I58)</f>
        <v/>
      </c>
      <c r="FR61" s="527">
        <f>'GASTOS EJER. 3'!X26</f>
        <v>0</v>
      </c>
      <c r="FS61" s="527">
        <f>'GASTOS EJER. 3'!H58</f>
        <v>0</v>
      </c>
      <c r="FT61" s="11">
        <f t="shared" si="299"/>
        <v>0</v>
      </c>
      <c r="FU61" s="527">
        <f t="shared" si="271"/>
        <v>0</v>
      </c>
      <c r="FW61" s="515">
        <v>23</v>
      </c>
      <c r="FX61" s="526">
        <f>'GASTOS EJER. 3'!$C44</f>
        <v>0</v>
      </c>
      <c r="FY61" s="524" t="str">
        <f t="shared" si="272"/>
        <v/>
      </c>
      <c r="FZ61" s="524" t="str">
        <f t="shared" si="272"/>
        <v/>
      </c>
      <c r="GA61" s="14">
        <f t="shared" si="273"/>
        <v>0</v>
      </c>
      <c r="GB61" s="527">
        <f>'GASTOS EJER. 3'!CM44</f>
        <v>0</v>
      </c>
      <c r="GC61" s="520" t="str">
        <f>IF(GB45=0,"",'GASTOS EJER. 3'!CT44)</f>
        <v/>
      </c>
      <c r="GD61" s="520" t="str">
        <f t="shared" si="274"/>
        <v/>
      </c>
      <c r="GE61" s="518" t="e">
        <f>IF(AND(GD61&gt;=EXPEDIENTE!$F$25,GD61&lt;=EXPEDIENTE!$F$29),ROUNDDOWN(GB61/GA61,2),0)</f>
        <v>#DIV/0!</v>
      </c>
      <c r="GG61" s="14">
        <v>42</v>
      </c>
      <c r="GH61" s="482">
        <f t="shared" si="104"/>
        <v>46905</v>
      </c>
      <c r="GI61" s="482">
        <f t="shared" si="105"/>
        <v>46934</v>
      </c>
      <c r="GJ61" s="14" t="str">
        <f>IF(AND(GI61&gt;=EXPEDIENTE!$F$25,GH61&lt;=EXPEDIENTE!$F$29),"SI","NO")</f>
        <v>SI</v>
      </c>
      <c r="GK61" s="11">
        <f t="shared" si="66"/>
        <v>0</v>
      </c>
      <c r="GL61" s="11">
        <f t="shared" si="67"/>
        <v>0</v>
      </c>
      <c r="GM61" s="11">
        <f t="shared" si="68"/>
        <v>0</v>
      </c>
      <c r="GN61" s="11">
        <f t="shared" si="69"/>
        <v>0</v>
      </c>
      <c r="GO61" s="11">
        <f t="shared" si="70"/>
        <v>0</v>
      </c>
      <c r="GP61" s="11">
        <f t="shared" si="71"/>
        <v>0</v>
      </c>
      <c r="GQ61" s="11">
        <f t="shared" si="72"/>
        <v>0</v>
      </c>
      <c r="GR61" s="11">
        <f t="shared" si="73"/>
        <v>0</v>
      </c>
      <c r="GS61" s="11">
        <f t="shared" si="74"/>
        <v>0</v>
      </c>
      <c r="GT61" s="11">
        <f t="shared" si="75"/>
        <v>0</v>
      </c>
      <c r="GU61" s="11">
        <f t="shared" si="76"/>
        <v>0</v>
      </c>
      <c r="GV61" s="11">
        <f t="shared" si="77"/>
        <v>0</v>
      </c>
      <c r="GW61" s="11">
        <f t="shared" si="78"/>
        <v>0</v>
      </c>
      <c r="GX61" s="11">
        <f t="shared" si="79"/>
        <v>0</v>
      </c>
      <c r="GY61" s="11">
        <f t="shared" si="80"/>
        <v>0</v>
      </c>
      <c r="GZ61" s="11">
        <f t="shared" si="81"/>
        <v>0</v>
      </c>
      <c r="HA61" s="11">
        <f t="shared" si="82"/>
        <v>0</v>
      </c>
      <c r="HB61" s="11">
        <f t="shared" si="83"/>
        <v>0</v>
      </c>
      <c r="HC61" s="11">
        <f t="shared" si="84"/>
        <v>0</v>
      </c>
      <c r="HD61" s="11">
        <f t="shared" si="85"/>
        <v>0</v>
      </c>
      <c r="HE61" s="11">
        <f t="shared" si="86"/>
        <v>0</v>
      </c>
      <c r="HF61" s="11">
        <f t="shared" si="87"/>
        <v>0</v>
      </c>
      <c r="HG61" s="11">
        <f t="shared" si="88"/>
        <v>0</v>
      </c>
      <c r="HH61" s="11">
        <f t="shared" si="89"/>
        <v>0</v>
      </c>
      <c r="HI61" s="11">
        <f t="shared" si="90"/>
        <v>0</v>
      </c>
      <c r="HJ61" s="11">
        <f t="shared" si="91"/>
        <v>0</v>
      </c>
      <c r="HK61" s="11">
        <f t="shared" si="92"/>
        <v>0</v>
      </c>
      <c r="HL61" s="11">
        <f t="shared" si="93"/>
        <v>0</v>
      </c>
      <c r="HM61" s="11">
        <f t="shared" si="94"/>
        <v>0</v>
      </c>
      <c r="HN61" s="11">
        <f t="shared" si="95"/>
        <v>0</v>
      </c>
      <c r="HO61" s="11">
        <f t="shared" si="96"/>
        <v>0</v>
      </c>
      <c r="HP61" s="11">
        <f t="shared" si="97"/>
        <v>0</v>
      </c>
      <c r="HQ61" s="11">
        <f t="shared" si="98"/>
        <v>0</v>
      </c>
      <c r="HT61" s="85">
        <v>7</v>
      </c>
      <c r="HU61" s="520">
        <f>DATE(YEAR(EXPEDIENTE!$F$25)+2,HT61,1)</f>
        <v>46569</v>
      </c>
      <c r="HV61" s="520" t="str">
        <f>IF('GASTOS EJER. 3'!BF58="","",'GASTOS EJER. 3'!BF58)</f>
        <v/>
      </c>
      <c r="HW61" s="527">
        <f>'GASTOS EJER. 3'!CM26</f>
        <v>0</v>
      </c>
      <c r="HX61" s="527">
        <f>'GASTOS EJER. 3'!BA58</f>
        <v>0</v>
      </c>
      <c r="HY61" s="11">
        <f t="shared" si="300"/>
        <v>0</v>
      </c>
      <c r="HZ61" s="527">
        <f t="shared" si="275"/>
        <v>0</v>
      </c>
      <c r="JF61" s="480">
        <v>57</v>
      </c>
      <c r="JG61" s="474">
        <f t="shared" si="101"/>
        <v>22</v>
      </c>
    </row>
    <row r="62" spans="3:267" ht="15.75" thickBot="1" x14ac:dyDescent="0.35">
      <c r="C62" s="8">
        <v>56</v>
      </c>
      <c r="D62" s="12"/>
      <c r="E62" s="17"/>
      <c r="F62" s="18"/>
      <c r="G62" s="19"/>
      <c r="H62" s="19"/>
      <c r="I62" s="19"/>
      <c r="J62" s="12"/>
      <c r="K62" s="14">
        <f t="shared" si="43"/>
        <v>76</v>
      </c>
      <c r="L62" s="14">
        <f t="shared" si="44"/>
        <v>76</v>
      </c>
      <c r="M62" s="14" t="str">
        <f t="shared" si="45"/>
        <v>X</v>
      </c>
      <c r="AG62" s="584">
        <v>23</v>
      </c>
      <c r="AH62" s="517">
        <f>'GASTOS EJER. 3'!M44</f>
        <v>0</v>
      </c>
      <c r="AI62" s="527">
        <f>'GASTOS EJER. 3'!X44</f>
        <v>0</v>
      </c>
      <c r="AJ62" s="590">
        <f>'GASTOS EJER. 3'!Y44</f>
        <v>0</v>
      </c>
      <c r="AK62" s="518">
        <f t="shared" si="301"/>
        <v>0</v>
      </c>
      <c r="AM62" s="519">
        <f>'GASTOS EJER. 3'!F44+'GASTOS EJER. 3'!L44-'GASTOS EJER. 3'!X44-'GASTOS EJER. 3'!Y44</f>
        <v>0</v>
      </c>
      <c r="AN62" s="520" t="str">
        <f>IF('GASTOS EJER. 3'!AA44="","",'GASTOS EJER. 3'!AA44)</f>
        <v/>
      </c>
      <c r="AO62" s="517">
        <f>'GASTOS EJER. 3'!Y44</f>
        <v>0</v>
      </c>
      <c r="AP62" s="521" t="str">
        <f>IF('GASTOS EJER. 3'!AB44="","",'GASTOS EJER. 3'!AB44)</f>
        <v/>
      </c>
      <c r="AQ62" s="522">
        <f>IF(AND(AN62&gt;=EXPEDIENTE!$I$25,AN62&lt;=EXPEDIENTE!$I$29),AM62,0)</f>
        <v>0</v>
      </c>
      <c r="AR62" s="11">
        <f>IF(AND(AP62&gt;=EXPEDIENTE!$I$25,AP62&lt;=EXPEDIENTE!$I$29),AO62,0)</f>
        <v>0</v>
      </c>
      <c r="AS62" s="518">
        <f t="shared" si="302"/>
        <v>0</v>
      </c>
      <c r="AT62" s="523" t="str">
        <f>IF('GASTOS EJER. 3'!D44="","",'GASTOS EJER. 3'!D44)</f>
        <v/>
      </c>
      <c r="AU62" s="524" t="str">
        <f>IF('GASTOS EJER. 3'!E44="","",'GASTOS EJER. 3'!E44)</f>
        <v/>
      </c>
      <c r="AV62" s="594">
        <f t="shared" si="303"/>
        <v>0</v>
      </c>
      <c r="AW62" s="525">
        <f t="shared" si="304"/>
        <v>0</v>
      </c>
      <c r="AX62" s="24">
        <f t="shared" si="276"/>
        <v>0</v>
      </c>
      <c r="AY62" s="604">
        <f t="shared" si="305"/>
        <v>0</v>
      </c>
      <c r="AZ62" s="607">
        <f t="shared" si="306"/>
        <v>0</v>
      </c>
      <c r="BB62" s="596">
        <v>7</v>
      </c>
      <c r="BC62" s="598" t="e">
        <f t="shared" si="277"/>
        <v>#VALUE!</v>
      </c>
      <c r="BD62" s="601">
        <f t="shared" si="307"/>
        <v>0</v>
      </c>
      <c r="BE62" s="643">
        <f t="shared" si="308"/>
        <v>0</v>
      </c>
      <c r="BF62" s="643">
        <f t="shared" si="309"/>
        <v>0</v>
      </c>
      <c r="BG62" s="643">
        <f t="shared" si="310"/>
        <v>0</v>
      </c>
      <c r="BH62" s="643">
        <f t="shared" si="311"/>
        <v>0</v>
      </c>
      <c r="BI62" s="643">
        <f t="shared" si="312"/>
        <v>0</v>
      </c>
      <c r="BJ62" s="643">
        <f t="shared" si="313"/>
        <v>0</v>
      </c>
      <c r="BK62" s="644">
        <f t="shared" si="314"/>
        <v>0</v>
      </c>
      <c r="BL62" s="645">
        <f t="shared" si="278"/>
        <v>0</v>
      </c>
      <c r="BN62" s="601">
        <f t="shared" si="279"/>
        <v>0</v>
      </c>
      <c r="BO62" s="643">
        <f t="shared" si="280"/>
        <v>0</v>
      </c>
      <c r="BP62" s="643">
        <f t="shared" si="281"/>
        <v>0</v>
      </c>
      <c r="BQ62" s="643">
        <f t="shared" si="282"/>
        <v>0</v>
      </c>
      <c r="BR62" s="643">
        <f t="shared" si="283"/>
        <v>0</v>
      </c>
      <c r="BS62" s="643">
        <f t="shared" si="284"/>
        <v>0</v>
      </c>
      <c r="BT62" s="643">
        <f t="shared" si="285"/>
        <v>0</v>
      </c>
      <c r="BU62" s="644">
        <f t="shared" si="286"/>
        <v>0</v>
      </c>
      <c r="BV62" s="645">
        <f t="shared" si="315"/>
        <v>0</v>
      </c>
      <c r="BX62" s="645">
        <f t="shared" si="316"/>
        <v>0</v>
      </c>
      <c r="BZ62" s="616">
        <v>23</v>
      </c>
      <c r="CA62" s="517">
        <f>'GASTOS EJER. 3'!BN44</f>
        <v>0</v>
      </c>
      <c r="CB62" s="527">
        <f>'GASTOS EJER. 3'!CM44</f>
        <v>0</v>
      </c>
      <c r="CC62" s="590">
        <f>'GASTOS EJER. 3'!CP44</f>
        <v>0</v>
      </c>
      <c r="CD62" s="518">
        <f t="shared" si="317"/>
        <v>0</v>
      </c>
      <c r="CF62" s="519">
        <f>'GASTOS EJER. 3'!AW44+'GASTOS EJER. 3'!BM44-'GASTOS EJER. 3'!CM44-'GASTOS EJER. 3'!CP44</f>
        <v>0</v>
      </c>
      <c r="CG62" s="520" t="str">
        <f>IF('GASTOS EJER. 3'!CT44="","",'GASTOS EJER. 3'!CT44)</f>
        <v/>
      </c>
      <c r="CH62" s="517">
        <f>'GASTOS EJER. 3'!CP44</f>
        <v>0</v>
      </c>
      <c r="CI62" s="521" t="str">
        <f>IF('GASTOS EJER. 3'!CW44="","",'GASTOS EJER. 3'!CW44)</f>
        <v/>
      </c>
      <c r="CJ62" s="522">
        <f>IF(AND(CG62&gt;=EXPEDIENTE!$I$25,CG62&lt;=EXPEDIENTE!$I$29),CF62,0)</f>
        <v>0</v>
      </c>
      <c r="CK62" s="11">
        <f>IF(AND(CI62&gt;=EXPEDIENTE!$I$25,CI62&lt;=EXPEDIENTE!$I$29),CH62,0)</f>
        <v>0</v>
      </c>
      <c r="CL62" s="518">
        <f t="shared" si="318"/>
        <v>0</v>
      </c>
      <c r="CM62" s="523" t="str">
        <f>IF('GASTOS EJER. 3'!AQ44="","",'GASTOS EJER. 3'!AQ44)</f>
        <v/>
      </c>
      <c r="CN62" s="524" t="str">
        <f>IF('GASTOS EJER. 3'!AT44="","",'GASTOS EJER. 3'!AT44)</f>
        <v/>
      </c>
      <c r="CO62" s="594">
        <f t="shared" si="319"/>
        <v>0</v>
      </c>
      <c r="CP62" s="525">
        <f t="shared" si="320"/>
        <v>0</v>
      </c>
      <c r="CQ62" s="24">
        <f t="shared" si="287"/>
        <v>0</v>
      </c>
      <c r="CR62" s="604">
        <f t="shared" si="321"/>
        <v>0</v>
      </c>
      <c r="CS62" s="607">
        <f t="shared" si="322"/>
        <v>0</v>
      </c>
      <c r="CU62" s="620">
        <v>7</v>
      </c>
      <c r="CV62" s="598" t="e">
        <f t="shared" si="288"/>
        <v>#VALUE!</v>
      </c>
      <c r="CW62" s="621">
        <f t="shared" si="323"/>
        <v>0</v>
      </c>
      <c r="CX62" s="649">
        <f t="shared" si="324"/>
        <v>0</v>
      </c>
      <c r="CY62" s="649">
        <f t="shared" si="325"/>
        <v>0</v>
      </c>
      <c r="CZ62" s="649">
        <f t="shared" si="326"/>
        <v>0</v>
      </c>
      <c r="DA62" s="649">
        <f t="shared" si="327"/>
        <v>0</v>
      </c>
      <c r="DB62" s="649">
        <f t="shared" si="328"/>
        <v>0</v>
      </c>
      <c r="DC62" s="649">
        <f t="shared" si="329"/>
        <v>0</v>
      </c>
      <c r="DD62" s="650">
        <f t="shared" si="330"/>
        <v>0</v>
      </c>
      <c r="DE62" s="645">
        <f t="shared" si="289"/>
        <v>0</v>
      </c>
      <c r="DG62" s="621">
        <f t="shared" si="290"/>
        <v>0</v>
      </c>
      <c r="DH62" s="649">
        <f t="shared" si="291"/>
        <v>0</v>
      </c>
      <c r="DI62" s="649">
        <f t="shared" si="292"/>
        <v>0</v>
      </c>
      <c r="DJ62" s="649">
        <f t="shared" si="293"/>
        <v>0</v>
      </c>
      <c r="DK62" s="649">
        <f t="shared" si="294"/>
        <v>0</v>
      </c>
      <c r="DL62" s="649">
        <f t="shared" si="295"/>
        <v>0</v>
      </c>
      <c r="DM62" s="649">
        <f t="shared" si="296"/>
        <v>0</v>
      </c>
      <c r="DN62" s="650">
        <f t="shared" si="297"/>
        <v>0</v>
      </c>
      <c r="DO62" s="645">
        <f t="shared" si="298"/>
        <v>0</v>
      </c>
      <c r="DQ62" s="645">
        <f t="shared" si="331"/>
        <v>0</v>
      </c>
      <c r="DS62" s="528">
        <v>24</v>
      </c>
      <c r="DT62" s="539">
        <f>'GASTOS EJER. 3'!$C45</f>
        <v>0</v>
      </c>
      <c r="DU62" s="537" t="str">
        <f t="shared" si="268"/>
        <v/>
      </c>
      <c r="DV62" s="537" t="str">
        <f t="shared" si="268"/>
        <v/>
      </c>
      <c r="DW62" s="540">
        <f t="shared" si="269"/>
        <v>0</v>
      </c>
      <c r="DX62" s="541">
        <f>'GASTOS EJER. 3'!X45</f>
        <v>0</v>
      </c>
      <c r="DY62" s="533" t="str">
        <f>IF(DX46=0,"",'GASTOS EJER. 3'!AA45)</f>
        <v/>
      </c>
      <c r="DZ62" s="533" t="str">
        <f t="shared" si="270"/>
        <v/>
      </c>
      <c r="EA62" s="531" t="e">
        <f>IF(AND(DZ62&gt;=EXPEDIENTE!$F$25,DZ62&lt;=EXPEDIENTE!$F$29),ROUNDDOWN(DX62/DW62,2),0)</f>
        <v>#DIV/0!</v>
      </c>
      <c r="EC62" s="14">
        <v>43</v>
      </c>
      <c r="ED62" s="482">
        <f t="shared" si="102"/>
        <v>46935</v>
      </c>
      <c r="EE62" s="482">
        <f t="shared" si="103"/>
        <v>46965</v>
      </c>
      <c r="EF62" s="14" t="str">
        <f>IF(AND(EE62&gt;=EXPEDIENTE!$F$25,ED62&lt;=EXPEDIENTE!$F$29),"SI","NO")</f>
        <v>SI</v>
      </c>
      <c r="EG62" s="11">
        <f t="shared" si="174"/>
        <v>0</v>
      </c>
      <c r="EH62" s="11">
        <f t="shared" si="175"/>
        <v>0</v>
      </c>
      <c r="EI62" s="11">
        <f t="shared" si="176"/>
        <v>0</v>
      </c>
      <c r="EJ62" s="11">
        <f t="shared" si="177"/>
        <v>0</v>
      </c>
      <c r="EK62" s="11">
        <f t="shared" si="178"/>
        <v>0</v>
      </c>
      <c r="EL62" s="11">
        <f t="shared" si="179"/>
        <v>0</v>
      </c>
      <c r="EM62" s="11">
        <f t="shared" si="180"/>
        <v>0</v>
      </c>
      <c r="EN62" s="11">
        <f t="shared" si="181"/>
        <v>0</v>
      </c>
      <c r="EO62" s="11">
        <f t="shared" si="182"/>
        <v>0</v>
      </c>
      <c r="EP62" s="11">
        <f t="shared" si="183"/>
        <v>0</v>
      </c>
      <c r="EQ62" s="11">
        <f t="shared" si="184"/>
        <v>0</v>
      </c>
      <c r="ER62" s="11">
        <f t="shared" si="185"/>
        <v>0</v>
      </c>
      <c r="ES62" s="11">
        <f t="shared" si="186"/>
        <v>0</v>
      </c>
      <c r="ET62" s="11">
        <f t="shared" si="187"/>
        <v>0</v>
      </c>
      <c r="EU62" s="11">
        <f t="shared" si="188"/>
        <v>0</v>
      </c>
      <c r="EV62" s="11">
        <f t="shared" si="189"/>
        <v>0</v>
      </c>
      <c r="EW62" s="11">
        <f t="shared" si="190"/>
        <v>0</v>
      </c>
      <c r="EX62" s="11">
        <f t="shared" si="191"/>
        <v>0</v>
      </c>
      <c r="EY62" s="11">
        <f t="shared" si="192"/>
        <v>0</v>
      </c>
      <c r="EZ62" s="11">
        <f t="shared" si="193"/>
        <v>0</v>
      </c>
      <c r="FA62" s="11">
        <f t="shared" si="194"/>
        <v>0</v>
      </c>
      <c r="FB62" s="11">
        <f t="shared" si="195"/>
        <v>0</v>
      </c>
      <c r="FC62" s="11">
        <f t="shared" si="196"/>
        <v>0</v>
      </c>
      <c r="FD62" s="11">
        <f t="shared" si="197"/>
        <v>0</v>
      </c>
      <c r="FE62" s="11">
        <f t="shared" si="198"/>
        <v>0</v>
      </c>
      <c r="FF62" s="11">
        <f t="shared" si="199"/>
        <v>0</v>
      </c>
      <c r="FG62" s="11">
        <f t="shared" si="200"/>
        <v>0</v>
      </c>
      <c r="FH62" s="11">
        <f t="shared" si="201"/>
        <v>0</v>
      </c>
      <c r="FI62" s="11">
        <f t="shared" si="202"/>
        <v>0</v>
      </c>
      <c r="FJ62" s="11">
        <f t="shared" si="203"/>
        <v>0</v>
      </c>
      <c r="FK62" s="11">
        <f t="shared" si="204"/>
        <v>0</v>
      </c>
      <c r="FL62" s="11">
        <f t="shared" si="205"/>
        <v>0</v>
      </c>
      <c r="FM62" s="11">
        <f t="shared" si="65"/>
        <v>0</v>
      </c>
      <c r="FO62" s="85">
        <v>8</v>
      </c>
      <c r="FP62" s="520">
        <f>DATE(YEAR(EXPEDIENTE!$F$25)+2,FO62,1)</f>
        <v>46600</v>
      </c>
      <c r="FQ62" s="520" t="str">
        <f>IF('GASTOS EJER. 3'!I59="","",'GASTOS EJER. 3'!I59)</f>
        <v/>
      </c>
      <c r="FR62" s="527">
        <f>'GASTOS EJER. 3'!X27</f>
        <v>0</v>
      </c>
      <c r="FS62" s="527">
        <f>'GASTOS EJER. 3'!H59</f>
        <v>0</v>
      </c>
      <c r="FT62" s="11">
        <f t="shared" si="299"/>
        <v>0</v>
      </c>
      <c r="FU62" s="527">
        <f t="shared" si="271"/>
        <v>0</v>
      </c>
      <c r="FW62" s="528">
        <v>24</v>
      </c>
      <c r="FX62" s="539">
        <f>'GASTOS EJER. 3'!$C45</f>
        <v>0</v>
      </c>
      <c r="FY62" s="537" t="str">
        <f t="shared" si="272"/>
        <v/>
      </c>
      <c r="FZ62" s="537" t="str">
        <f t="shared" si="272"/>
        <v/>
      </c>
      <c r="GA62" s="540">
        <f t="shared" si="273"/>
        <v>0</v>
      </c>
      <c r="GB62" s="541">
        <f>'GASTOS EJER. 3'!CM45</f>
        <v>0</v>
      </c>
      <c r="GC62" s="533" t="str">
        <f>IF(GB46=0,"",'GASTOS EJER. 3'!CT45)</f>
        <v/>
      </c>
      <c r="GD62" s="533" t="str">
        <f t="shared" si="274"/>
        <v/>
      </c>
      <c r="GE62" s="531" t="e">
        <f>IF(AND(GD62&gt;=EXPEDIENTE!$F$25,GD62&lt;=EXPEDIENTE!$F$29),ROUNDDOWN(GB62/GA62,2),0)</f>
        <v>#DIV/0!</v>
      </c>
      <c r="GG62" s="14">
        <v>43</v>
      </c>
      <c r="GH62" s="482">
        <f t="shared" si="104"/>
        <v>46935</v>
      </c>
      <c r="GI62" s="482">
        <f t="shared" si="105"/>
        <v>46965</v>
      </c>
      <c r="GJ62" s="14" t="str">
        <f>IF(AND(GI62&gt;=EXPEDIENTE!$F$25,GH62&lt;=EXPEDIENTE!$F$29),"SI","NO")</f>
        <v>SI</v>
      </c>
      <c r="GK62" s="11">
        <f t="shared" si="66"/>
        <v>0</v>
      </c>
      <c r="GL62" s="11">
        <f t="shared" si="67"/>
        <v>0</v>
      </c>
      <c r="GM62" s="11">
        <f t="shared" si="68"/>
        <v>0</v>
      </c>
      <c r="GN62" s="11">
        <f t="shared" si="69"/>
        <v>0</v>
      </c>
      <c r="GO62" s="11">
        <f t="shared" si="70"/>
        <v>0</v>
      </c>
      <c r="GP62" s="11">
        <f t="shared" si="71"/>
        <v>0</v>
      </c>
      <c r="GQ62" s="11">
        <f t="shared" si="72"/>
        <v>0</v>
      </c>
      <c r="GR62" s="11">
        <f t="shared" si="73"/>
        <v>0</v>
      </c>
      <c r="GS62" s="11">
        <f t="shared" si="74"/>
        <v>0</v>
      </c>
      <c r="GT62" s="11">
        <f t="shared" si="75"/>
        <v>0</v>
      </c>
      <c r="GU62" s="11">
        <f t="shared" si="76"/>
        <v>0</v>
      </c>
      <c r="GV62" s="11">
        <f t="shared" si="77"/>
        <v>0</v>
      </c>
      <c r="GW62" s="11">
        <f t="shared" si="78"/>
        <v>0</v>
      </c>
      <c r="GX62" s="11">
        <f t="shared" si="79"/>
        <v>0</v>
      </c>
      <c r="GY62" s="11">
        <f t="shared" si="80"/>
        <v>0</v>
      </c>
      <c r="GZ62" s="11">
        <f t="shared" si="81"/>
        <v>0</v>
      </c>
      <c r="HA62" s="11">
        <f t="shared" si="82"/>
        <v>0</v>
      </c>
      <c r="HB62" s="11">
        <f t="shared" si="83"/>
        <v>0</v>
      </c>
      <c r="HC62" s="11">
        <f t="shared" si="84"/>
        <v>0</v>
      </c>
      <c r="HD62" s="11">
        <f t="shared" si="85"/>
        <v>0</v>
      </c>
      <c r="HE62" s="11">
        <f t="shared" si="86"/>
        <v>0</v>
      </c>
      <c r="HF62" s="11">
        <f t="shared" si="87"/>
        <v>0</v>
      </c>
      <c r="HG62" s="11">
        <f t="shared" si="88"/>
        <v>0</v>
      </c>
      <c r="HH62" s="11">
        <f t="shared" si="89"/>
        <v>0</v>
      </c>
      <c r="HI62" s="11">
        <f t="shared" si="90"/>
        <v>0</v>
      </c>
      <c r="HJ62" s="11">
        <f t="shared" si="91"/>
        <v>0</v>
      </c>
      <c r="HK62" s="11">
        <f t="shared" si="92"/>
        <v>0</v>
      </c>
      <c r="HL62" s="11">
        <f t="shared" si="93"/>
        <v>0</v>
      </c>
      <c r="HM62" s="11">
        <f t="shared" si="94"/>
        <v>0</v>
      </c>
      <c r="HN62" s="11">
        <f t="shared" si="95"/>
        <v>0</v>
      </c>
      <c r="HO62" s="11">
        <f t="shared" si="96"/>
        <v>0</v>
      </c>
      <c r="HP62" s="11">
        <f t="shared" si="97"/>
        <v>0</v>
      </c>
      <c r="HQ62" s="11">
        <f t="shared" si="98"/>
        <v>0</v>
      </c>
      <c r="HT62" s="85">
        <v>8</v>
      </c>
      <c r="HU62" s="520">
        <f>DATE(YEAR(EXPEDIENTE!$F$25)+2,HT62,1)</f>
        <v>46600</v>
      </c>
      <c r="HV62" s="520" t="str">
        <f>IF('GASTOS EJER. 3'!BF59="","",'GASTOS EJER. 3'!BF59)</f>
        <v/>
      </c>
      <c r="HW62" s="527">
        <f>'GASTOS EJER. 3'!CM27</f>
        <v>0</v>
      </c>
      <c r="HX62" s="527">
        <f>'GASTOS EJER. 3'!BA59</f>
        <v>0</v>
      </c>
      <c r="HY62" s="11">
        <f t="shared" si="300"/>
        <v>0</v>
      </c>
      <c r="HZ62" s="527">
        <f t="shared" si="275"/>
        <v>0</v>
      </c>
      <c r="JF62" s="480">
        <v>58</v>
      </c>
      <c r="JG62" s="474">
        <f t="shared" si="101"/>
        <v>22</v>
      </c>
    </row>
    <row r="63" spans="3:267" ht="15.75" thickBot="1" x14ac:dyDescent="0.35">
      <c r="C63" s="8">
        <v>57</v>
      </c>
      <c r="D63" s="12"/>
      <c r="E63" s="17"/>
      <c r="F63" s="18"/>
      <c r="G63" s="19"/>
      <c r="H63" s="19"/>
      <c r="I63" s="19"/>
      <c r="J63" s="12"/>
      <c r="K63" s="14">
        <f t="shared" si="43"/>
        <v>76</v>
      </c>
      <c r="L63" s="14">
        <f t="shared" si="44"/>
        <v>76</v>
      </c>
      <c r="M63" s="14" t="str">
        <f t="shared" si="45"/>
        <v>X</v>
      </c>
      <c r="AG63" s="585">
        <v>24</v>
      </c>
      <c r="AH63" s="530">
        <f>'GASTOS EJER. 3'!M45</f>
        <v>0</v>
      </c>
      <c r="AI63" s="541">
        <f>'GASTOS EJER. 3'!X45</f>
        <v>0</v>
      </c>
      <c r="AJ63" s="591">
        <f>'GASTOS EJER. 3'!Y45</f>
        <v>0</v>
      </c>
      <c r="AK63" s="531">
        <f t="shared" si="301"/>
        <v>0</v>
      </c>
      <c r="AM63" s="532">
        <f>'GASTOS EJER. 3'!F45+'GASTOS EJER. 3'!L45-'GASTOS EJER. 3'!X45-'GASTOS EJER. 3'!Y45</f>
        <v>0</v>
      </c>
      <c r="AN63" s="533" t="str">
        <f>IF('GASTOS EJER. 3'!AA45="","",'GASTOS EJER. 3'!AA45)</f>
        <v/>
      </c>
      <c r="AO63" s="530">
        <f>'GASTOS EJER. 3'!Y45</f>
        <v>0</v>
      </c>
      <c r="AP63" s="534" t="str">
        <f>IF('GASTOS EJER. 3'!AB45="","",'GASTOS EJER. 3'!AB45)</f>
        <v/>
      </c>
      <c r="AQ63" s="535">
        <f>IF(AND(AN63&gt;=EXPEDIENTE!$I$25,AN63&lt;=EXPEDIENTE!$I$29),AM63,0)</f>
        <v>0</v>
      </c>
      <c r="AR63" s="487">
        <f>IF(AND(AP63&gt;=EXPEDIENTE!$I$25,AP63&lt;=EXPEDIENTE!$I$29),AO63,0)</f>
        <v>0</v>
      </c>
      <c r="AS63" s="531">
        <f t="shared" si="302"/>
        <v>0</v>
      </c>
      <c r="AT63" s="536" t="str">
        <f>IF('GASTOS EJER. 3'!D45="","",'GASTOS EJER. 3'!D45)</f>
        <v/>
      </c>
      <c r="AU63" s="537" t="str">
        <f>IF('GASTOS EJER. 3'!E45="","",'GASTOS EJER. 3'!E45)</f>
        <v/>
      </c>
      <c r="AV63" s="595">
        <f t="shared" si="303"/>
        <v>0</v>
      </c>
      <c r="AW63" s="538">
        <f t="shared" si="304"/>
        <v>0</v>
      </c>
      <c r="AX63" s="20">
        <f t="shared" si="276"/>
        <v>0</v>
      </c>
      <c r="AY63" s="605">
        <f t="shared" si="305"/>
        <v>0</v>
      </c>
      <c r="AZ63" s="608">
        <f t="shared" si="306"/>
        <v>0</v>
      </c>
      <c r="BB63" s="596">
        <v>8</v>
      </c>
      <c r="BC63" s="598" t="e">
        <f t="shared" si="277"/>
        <v>#VALUE!</v>
      </c>
      <c r="BD63" s="601">
        <f t="shared" si="307"/>
        <v>0</v>
      </c>
      <c r="BE63" s="643">
        <f t="shared" si="308"/>
        <v>0</v>
      </c>
      <c r="BF63" s="643">
        <f t="shared" si="309"/>
        <v>0</v>
      </c>
      <c r="BG63" s="643">
        <f t="shared" si="310"/>
        <v>0</v>
      </c>
      <c r="BH63" s="643">
        <f t="shared" si="311"/>
        <v>0</v>
      </c>
      <c r="BI63" s="643">
        <f t="shared" si="312"/>
        <v>0</v>
      </c>
      <c r="BJ63" s="643">
        <f t="shared" si="313"/>
        <v>0</v>
      </c>
      <c r="BK63" s="644">
        <f t="shared" si="314"/>
        <v>0</v>
      </c>
      <c r="BL63" s="645">
        <f t="shared" si="278"/>
        <v>0</v>
      </c>
      <c r="BN63" s="601">
        <f t="shared" si="279"/>
        <v>0</v>
      </c>
      <c r="BO63" s="643">
        <f t="shared" si="280"/>
        <v>0</v>
      </c>
      <c r="BP63" s="643">
        <f t="shared" si="281"/>
        <v>0</v>
      </c>
      <c r="BQ63" s="643">
        <f t="shared" si="282"/>
        <v>0</v>
      </c>
      <c r="BR63" s="643">
        <f t="shared" si="283"/>
        <v>0</v>
      </c>
      <c r="BS63" s="643">
        <f t="shared" si="284"/>
        <v>0</v>
      </c>
      <c r="BT63" s="643">
        <f t="shared" si="285"/>
        <v>0</v>
      </c>
      <c r="BU63" s="644">
        <f t="shared" si="286"/>
        <v>0</v>
      </c>
      <c r="BV63" s="645">
        <f t="shared" si="315"/>
        <v>0</v>
      </c>
      <c r="BX63" s="645">
        <f t="shared" si="316"/>
        <v>0</v>
      </c>
      <c r="BZ63" s="617">
        <v>24</v>
      </c>
      <c r="CA63" s="530">
        <f>'GASTOS EJER. 3'!BN45</f>
        <v>0</v>
      </c>
      <c r="CB63" s="541">
        <f>'GASTOS EJER. 3'!CM45</f>
        <v>0</v>
      </c>
      <c r="CC63" s="591">
        <f>'GASTOS EJER. 3'!CP45</f>
        <v>0</v>
      </c>
      <c r="CD63" s="531">
        <f t="shared" si="317"/>
        <v>0</v>
      </c>
      <c r="CF63" s="532">
        <f>'GASTOS EJER. 3'!AW45+'GASTOS EJER. 3'!BM45-'GASTOS EJER. 3'!CM45-'GASTOS EJER. 3'!CP45</f>
        <v>0</v>
      </c>
      <c r="CG63" s="533" t="str">
        <f>IF('GASTOS EJER. 3'!CT45="","",'GASTOS EJER. 3'!CT45)</f>
        <v/>
      </c>
      <c r="CH63" s="530">
        <f>'GASTOS EJER. 3'!CP45</f>
        <v>0</v>
      </c>
      <c r="CI63" s="534" t="str">
        <f>IF('GASTOS EJER. 3'!CW45="","",'GASTOS EJER. 3'!CW45)</f>
        <v/>
      </c>
      <c r="CJ63" s="535">
        <f>IF(AND(CG63&gt;=EXPEDIENTE!$I$25,CG63&lt;=EXPEDIENTE!$I$29),CF63,0)</f>
        <v>0</v>
      </c>
      <c r="CK63" s="487">
        <f>IF(AND(CI63&gt;=EXPEDIENTE!$I$25,CI63&lt;=EXPEDIENTE!$I$29),CH63,0)</f>
        <v>0</v>
      </c>
      <c r="CL63" s="531">
        <f t="shared" si="318"/>
        <v>0</v>
      </c>
      <c r="CM63" s="536" t="str">
        <f>IF('GASTOS EJER. 3'!AQ45="","",'GASTOS EJER. 3'!AQ45)</f>
        <v/>
      </c>
      <c r="CN63" s="537" t="str">
        <f>IF('GASTOS EJER. 3'!AT45="","",'GASTOS EJER. 3'!AT45)</f>
        <v/>
      </c>
      <c r="CO63" s="595">
        <f t="shared" si="319"/>
        <v>0</v>
      </c>
      <c r="CP63" s="538">
        <f t="shared" si="320"/>
        <v>0</v>
      </c>
      <c r="CQ63" s="20">
        <f t="shared" si="287"/>
        <v>0</v>
      </c>
      <c r="CR63" s="605">
        <f t="shared" si="321"/>
        <v>0</v>
      </c>
      <c r="CS63" s="608">
        <f t="shared" si="322"/>
        <v>0</v>
      </c>
      <c r="CU63" s="620">
        <v>8</v>
      </c>
      <c r="CV63" s="598" t="e">
        <f t="shared" si="288"/>
        <v>#VALUE!</v>
      </c>
      <c r="CW63" s="621">
        <f t="shared" si="323"/>
        <v>0</v>
      </c>
      <c r="CX63" s="649">
        <f t="shared" si="324"/>
        <v>0</v>
      </c>
      <c r="CY63" s="649">
        <f t="shared" si="325"/>
        <v>0</v>
      </c>
      <c r="CZ63" s="649">
        <f t="shared" si="326"/>
        <v>0</v>
      </c>
      <c r="DA63" s="649">
        <f t="shared" si="327"/>
        <v>0</v>
      </c>
      <c r="DB63" s="649">
        <f t="shared" si="328"/>
        <v>0</v>
      </c>
      <c r="DC63" s="649">
        <f t="shared" si="329"/>
        <v>0</v>
      </c>
      <c r="DD63" s="650">
        <f t="shared" si="330"/>
        <v>0</v>
      </c>
      <c r="DE63" s="645">
        <f t="shared" si="289"/>
        <v>0</v>
      </c>
      <c r="DG63" s="621">
        <f t="shared" si="290"/>
        <v>0</v>
      </c>
      <c r="DH63" s="649">
        <f t="shared" si="291"/>
        <v>0</v>
      </c>
      <c r="DI63" s="649">
        <f t="shared" si="292"/>
        <v>0</v>
      </c>
      <c r="DJ63" s="649">
        <f t="shared" si="293"/>
        <v>0</v>
      </c>
      <c r="DK63" s="649">
        <f t="shared" si="294"/>
        <v>0</v>
      </c>
      <c r="DL63" s="649">
        <f t="shared" si="295"/>
        <v>0</v>
      </c>
      <c r="DM63" s="649">
        <f t="shared" si="296"/>
        <v>0</v>
      </c>
      <c r="DN63" s="650">
        <f t="shared" si="297"/>
        <v>0</v>
      </c>
      <c r="DO63" s="645">
        <f t="shared" si="298"/>
        <v>0</v>
      </c>
      <c r="DQ63" s="645">
        <f t="shared" si="331"/>
        <v>0</v>
      </c>
      <c r="DS63" s="470"/>
      <c r="EC63" s="14">
        <v>44</v>
      </c>
      <c r="ED63" s="482">
        <f t="shared" si="102"/>
        <v>46966</v>
      </c>
      <c r="EE63" s="482">
        <f t="shared" si="103"/>
        <v>46996</v>
      </c>
      <c r="EF63" s="14" t="str">
        <f>IF(AND(EE63&gt;=EXPEDIENTE!$F$25,ED63&lt;=EXPEDIENTE!$F$29),"SI","NO")</f>
        <v>SI</v>
      </c>
      <c r="EG63" s="11">
        <f t="shared" si="174"/>
        <v>0</v>
      </c>
      <c r="EH63" s="11">
        <f t="shared" si="175"/>
        <v>0</v>
      </c>
      <c r="EI63" s="11">
        <f t="shared" si="176"/>
        <v>0</v>
      </c>
      <c r="EJ63" s="11">
        <f t="shared" si="177"/>
        <v>0</v>
      </c>
      <c r="EK63" s="11">
        <f t="shared" si="178"/>
        <v>0</v>
      </c>
      <c r="EL63" s="11">
        <f t="shared" si="179"/>
        <v>0</v>
      </c>
      <c r="EM63" s="11">
        <f t="shared" si="180"/>
        <v>0</v>
      </c>
      <c r="EN63" s="11">
        <f t="shared" si="181"/>
        <v>0</v>
      </c>
      <c r="EO63" s="11">
        <f t="shared" si="182"/>
        <v>0</v>
      </c>
      <c r="EP63" s="11">
        <f t="shared" si="183"/>
        <v>0</v>
      </c>
      <c r="EQ63" s="11">
        <f t="shared" si="184"/>
        <v>0</v>
      </c>
      <c r="ER63" s="11">
        <f t="shared" si="185"/>
        <v>0</v>
      </c>
      <c r="ES63" s="11">
        <f t="shared" si="186"/>
        <v>0</v>
      </c>
      <c r="ET63" s="11">
        <f t="shared" si="187"/>
        <v>0</v>
      </c>
      <c r="EU63" s="11">
        <f t="shared" si="188"/>
        <v>0</v>
      </c>
      <c r="EV63" s="11">
        <f t="shared" si="189"/>
        <v>0</v>
      </c>
      <c r="EW63" s="11">
        <f t="shared" si="190"/>
        <v>0</v>
      </c>
      <c r="EX63" s="11">
        <f t="shared" si="191"/>
        <v>0</v>
      </c>
      <c r="EY63" s="11">
        <f t="shared" si="192"/>
        <v>0</v>
      </c>
      <c r="EZ63" s="11">
        <f t="shared" si="193"/>
        <v>0</v>
      </c>
      <c r="FA63" s="11">
        <f t="shared" si="194"/>
        <v>0</v>
      </c>
      <c r="FB63" s="11">
        <f t="shared" si="195"/>
        <v>0</v>
      </c>
      <c r="FC63" s="11">
        <f t="shared" si="196"/>
        <v>0</v>
      </c>
      <c r="FD63" s="11">
        <f t="shared" si="197"/>
        <v>0</v>
      </c>
      <c r="FE63" s="11">
        <f t="shared" si="198"/>
        <v>0</v>
      </c>
      <c r="FF63" s="11">
        <f t="shared" si="199"/>
        <v>0</v>
      </c>
      <c r="FG63" s="11">
        <f t="shared" si="200"/>
        <v>0</v>
      </c>
      <c r="FH63" s="11">
        <f t="shared" si="201"/>
        <v>0</v>
      </c>
      <c r="FI63" s="11">
        <f t="shared" si="202"/>
        <v>0</v>
      </c>
      <c r="FJ63" s="11">
        <f t="shared" si="203"/>
        <v>0</v>
      </c>
      <c r="FK63" s="11">
        <f t="shared" si="204"/>
        <v>0</v>
      </c>
      <c r="FL63" s="11">
        <f t="shared" si="205"/>
        <v>0</v>
      </c>
      <c r="FM63" s="11">
        <f t="shared" si="65"/>
        <v>0</v>
      </c>
      <c r="FO63" s="85">
        <v>9</v>
      </c>
      <c r="FP63" s="520">
        <f>DATE(YEAR(EXPEDIENTE!$F$25)+2,FO63,1)</f>
        <v>46631</v>
      </c>
      <c r="FQ63" s="520" t="str">
        <f>IF('GASTOS EJER. 3'!I60="","",'GASTOS EJER. 3'!I60)</f>
        <v/>
      </c>
      <c r="FR63" s="527">
        <f>'GASTOS EJER. 3'!X28</f>
        <v>0</v>
      </c>
      <c r="FS63" s="527">
        <f>'GASTOS EJER. 3'!H60</f>
        <v>0</v>
      </c>
      <c r="FT63" s="11">
        <f t="shared" si="299"/>
        <v>0</v>
      </c>
      <c r="FU63" s="527">
        <f t="shared" si="271"/>
        <v>0</v>
      </c>
      <c r="FW63" s="470"/>
      <c r="GG63" s="14">
        <v>44</v>
      </c>
      <c r="GH63" s="482">
        <f t="shared" si="104"/>
        <v>46966</v>
      </c>
      <c r="GI63" s="482">
        <f t="shared" si="105"/>
        <v>46996</v>
      </c>
      <c r="GJ63" s="14" t="str">
        <f>IF(AND(GI63&gt;=EXPEDIENTE!$F$25,GH63&lt;=EXPEDIENTE!$F$29),"SI","NO")</f>
        <v>SI</v>
      </c>
      <c r="GK63" s="11">
        <f t="shared" si="66"/>
        <v>0</v>
      </c>
      <c r="GL63" s="11">
        <f t="shared" si="67"/>
        <v>0</v>
      </c>
      <c r="GM63" s="11">
        <f t="shared" si="68"/>
        <v>0</v>
      </c>
      <c r="GN63" s="11">
        <f t="shared" si="69"/>
        <v>0</v>
      </c>
      <c r="GO63" s="11">
        <f t="shared" si="70"/>
        <v>0</v>
      </c>
      <c r="GP63" s="11">
        <f t="shared" si="71"/>
        <v>0</v>
      </c>
      <c r="GQ63" s="11">
        <f t="shared" si="72"/>
        <v>0</v>
      </c>
      <c r="GR63" s="11">
        <f t="shared" si="73"/>
        <v>0</v>
      </c>
      <c r="GS63" s="11">
        <f t="shared" si="74"/>
        <v>0</v>
      </c>
      <c r="GT63" s="11">
        <f t="shared" si="75"/>
        <v>0</v>
      </c>
      <c r="GU63" s="11">
        <f t="shared" si="76"/>
        <v>0</v>
      </c>
      <c r="GV63" s="11">
        <f t="shared" si="77"/>
        <v>0</v>
      </c>
      <c r="GW63" s="11">
        <f t="shared" si="78"/>
        <v>0</v>
      </c>
      <c r="GX63" s="11">
        <f t="shared" si="79"/>
        <v>0</v>
      </c>
      <c r="GY63" s="11">
        <f t="shared" si="80"/>
        <v>0</v>
      </c>
      <c r="GZ63" s="11">
        <f t="shared" si="81"/>
        <v>0</v>
      </c>
      <c r="HA63" s="11">
        <f t="shared" si="82"/>
        <v>0</v>
      </c>
      <c r="HB63" s="11">
        <f t="shared" si="83"/>
        <v>0</v>
      </c>
      <c r="HC63" s="11">
        <f t="shared" si="84"/>
        <v>0</v>
      </c>
      <c r="HD63" s="11">
        <f t="shared" si="85"/>
        <v>0</v>
      </c>
      <c r="HE63" s="11">
        <f t="shared" si="86"/>
        <v>0</v>
      </c>
      <c r="HF63" s="11">
        <f t="shared" si="87"/>
        <v>0</v>
      </c>
      <c r="HG63" s="11">
        <f t="shared" si="88"/>
        <v>0</v>
      </c>
      <c r="HH63" s="11">
        <f t="shared" si="89"/>
        <v>0</v>
      </c>
      <c r="HI63" s="11">
        <f t="shared" si="90"/>
        <v>0</v>
      </c>
      <c r="HJ63" s="11">
        <f t="shared" si="91"/>
        <v>0</v>
      </c>
      <c r="HK63" s="11">
        <f t="shared" si="92"/>
        <v>0</v>
      </c>
      <c r="HL63" s="11">
        <f t="shared" si="93"/>
        <v>0</v>
      </c>
      <c r="HM63" s="11">
        <f t="shared" si="94"/>
        <v>0</v>
      </c>
      <c r="HN63" s="11">
        <f t="shared" si="95"/>
        <v>0</v>
      </c>
      <c r="HO63" s="11">
        <f t="shared" si="96"/>
        <v>0</v>
      </c>
      <c r="HP63" s="11">
        <f t="shared" si="97"/>
        <v>0</v>
      </c>
      <c r="HQ63" s="11">
        <f t="shared" si="98"/>
        <v>0</v>
      </c>
      <c r="HT63" s="85">
        <v>9</v>
      </c>
      <c r="HU63" s="520">
        <f>DATE(YEAR(EXPEDIENTE!$F$25)+2,HT63,1)</f>
        <v>46631</v>
      </c>
      <c r="HV63" s="520" t="str">
        <f>IF('GASTOS EJER. 3'!BF60="","",'GASTOS EJER. 3'!BF60)</f>
        <v/>
      </c>
      <c r="HW63" s="527">
        <f>'GASTOS EJER. 3'!CM28</f>
        <v>0</v>
      </c>
      <c r="HX63" s="527">
        <f>'GASTOS EJER. 3'!BA60</f>
        <v>0</v>
      </c>
      <c r="HY63" s="11">
        <f t="shared" si="300"/>
        <v>0</v>
      </c>
      <c r="HZ63" s="527">
        <f t="shared" si="275"/>
        <v>0</v>
      </c>
      <c r="JF63" s="480">
        <v>59</v>
      </c>
      <c r="JG63" s="474">
        <f t="shared" si="101"/>
        <v>22</v>
      </c>
    </row>
    <row r="64" spans="3:267" x14ac:dyDescent="0.3">
      <c r="C64" s="8">
        <v>58</v>
      </c>
      <c r="D64" s="12"/>
      <c r="E64" s="17"/>
      <c r="F64" s="18"/>
      <c r="G64" s="19"/>
      <c r="H64" s="19"/>
      <c r="I64" s="19"/>
      <c r="J64" s="12"/>
      <c r="K64" s="14">
        <f t="shared" si="43"/>
        <v>76</v>
      </c>
      <c r="L64" s="14">
        <f t="shared" si="44"/>
        <v>76</v>
      </c>
      <c r="M64" s="14" t="str">
        <f t="shared" si="45"/>
        <v>X</v>
      </c>
      <c r="AG64" s="471"/>
      <c r="AH64" s="470"/>
      <c r="AI64" s="470"/>
      <c r="AJ64" s="470"/>
      <c r="AK64" s="470"/>
      <c r="AL64" s="470"/>
      <c r="AM64" s="470"/>
      <c r="AN64" s="470"/>
      <c r="AO64" s="470"/>
      <c r="AP64" s="470"/>
      <c r="AQ64" s="470"/>
      <c r="AR64" s="470"/>
      <c r="AS64" s="470"/>
      <c r="AT64" s="470"/>
      <c r="AU64" s="470"/>
      <c r="AV64" s="470"/>
      <c r="AW64" s="470"/>
      <c r="AX64" s="470"/>
      <c r="AY64" s="470"/>
      <c r="AZ64" s="470"/>
      <c r="BB64" s="596">
        <v>9</v>
      </c>
      <c r="BC64" s="598" t="e">
        <f t="shared" si="277"/>
        <v>#VALUE!</v>
      </c>
      <c r="BD64" s="601">
        <f t="shared" si="307"/>
        <v>0</v>
      </c>
      <c r="BE64" s="643">
        <f t="shared" si="308"/>
        <v>0</v>
      </c>
      <c r="BF64" s="643">
        <f t="shared" si="309"/>
        <v>0</v>
      </c>
      <c r="BG64" s="643">
        <f t="shared" si="310"/>
        <v>0</v>
      </c>
      <c r="BH64" s="643">
        <f t="shared" si="311"/>
        <v>0</v>
      </c>
      <c r="BI64" s="643">
        <f t="shared" si="312"/>
        <v>0</v>
      </c>
      <c r="BJ64" s="643">
        <f t="shared" si="313"/>
        <v>0</v>
      </c>
      <c r="BK64" s="644">
        <f t="shared" si="314"/>
        <v>0</v>
      </c>
      <c r="BL64" s="645">
        <f t="shared" si="278"/>
        <v>0</v>
      </c>
      <c r="BN64" s="601">
        <f t="shared" si="279"/>
        <v>0</v>
      </c>
      <c r="BO64" s="643">
        <f t="shared" si="280"/>
        <v>0</v>
      </c>
      <c r="BP64" s="643">
        <f t="shared" si="281"/>
        <v>0</v>
      </c>
      <c r="BQ64" s="643">
        <f t="shared" si="282"/>
        <v>0</v>
      </c>
      <c r="BR64" s="643">
        <f t="shared" si="283"/>
        <v>0</v>
      </c>
      <c r="BS64" s="643">
        <f t="shared" si="284"/>
        <v>0</v>
      </c>
      <c r="BT64" s="643">
        <f t="shared" si="285"/>
        <v>0</v>
      </c>
      <c r="BU64" s="644">
        <f t="shared" si="286"/>
        <v>0</v>
      </c>
      <c r="BV64" s="645">
        <f t="shared" si="315"/>
        <v>0</v>
      </c>
      <c r="BX64" s="645">
        <f t="shared" si="316"/>
        <v>0</v>
      </c>
      <c r="BZ64" s="471"/>
      <c r="CA64" s="470"/>
      <c r="CB64" s="470"/>
      <c r="CC64" s="470"/>
      <c r="CD64" s="470"/>
      <c r="CE64" s="470"/>
      <c r="CF64" s="470"/>
      <c r="CG64" s="470"/>
      <c r="CH64" s="470"/>
      <c r="CI64" s="470"/>
      <c r="CJ64" s="470"/>
      <c r="CK64" s="470"/>
      <c r="CL64" s="470"/>
      <c r="CM64" s="470"/>
      <c r="CN64" s="470"/>
      <c r="CO64" s="470"/>
      <c r="CP64" s="470"/>
      <c r="CQ64" s="470"/>
      <c r="CR64" s="470"/>
      <c r="CS64" s="470"/>
      <c r="CU64" s="620">
        <v>9</v>
      </c>
      <c r="CV64" s="598" t="e">
        <f t="shared" si="288"/>
        <v>#VALUE!</v>
      </c>
      <c r="CW64" s="621">
        <f t="shared" si="323"/>
        <v>0</v>
      </c>
      <c r="CX64" s="649">
        <f t="shared" si="324"/>
        <v>0</v>
      </c>
      <c r="CY64" s="649">
        <f t="shared" si="325"/>
        <v>0</v>
      </c>
      <c r="CZ64" s="649">
        <f t="shared" si="326"/>
        <v>0</v>
      </c>
      <c r="DA64" s="649">
        <f t="shared" si="327"/>
        <v>0</v>
      </c>
      <c r="DB64" s="649">
        <f t="shared" si="328"/>
        <v>0</v>
      </c>
      <c r="DC64" s="649">
        <f t="shared" si="329"/>
        <v>0</v>
      </c>
      <c r="DD64" s="650">
        <f t="shared" si="330"/>
        <v>0</v>
      </c>
      <c r="DE64" s="645">
        <f t="shared" si="289"/>
        <v>0</v>
      </c>
      <c r="DG64" s="621">
        <f t="shared" si="290"/>
        <v>0</v>
      </c>
      <c r="DH64" s="649">
        <f t="shared" si="291"/>
        <v>0</v>
      </c>
      <c r="DI64" s="649">
        <f t="shared" si="292"/>
        <v>0</v>
      </c>
      <c r="DJ64" s="649">
        <f t="shared" si="293"/>
        <v>0</v>
      </c>
      <c r="DK64" s="649">
        <f t="shared" si="294"/>
        <v>0</v>
      </c>
      <c r="DL64" s="649">
        <f t="shared" si="295"/>
        <v>0</v>
      </c>
      <c r="DM64" s="649">
        <f t="shared" si="296"/>
        <v>0</v>
      </c>
      <c r="DN64" s="650">
        <f t="shared" si="297"/>
        <v>0</v>
      </c>
      <c r="DO64" s="645">
        <f t="shared" si="298"/>
        <v>0</v>
      </c>
      <c r="DQ64" s="645">
        <f t="shared" si="331"/>
        <v>0</v>
      </c>
      <c r="DS64" s="470"/>
      <c r="EC64" s="14">
        <v>45</v>
      </c>
      <c r="ED64" s="482">
        <f t="shared" si="102"/>
        <v>46997</v>
      </c>
      <c r="EE64" s="482">
        <f t="shared" si="103"/>
        <v>47026</v>
      </c>
      <c r="EF64" s="14" t="str">
        <f>IF(AND(EE64&gt;=EXPEDIENTE!$F$25,ED64&lt;=EXPEDIENTE!$F$29),"SI","NO")</f>
        <v>SI</v>
      </c>
      <c r="EG64" s="11">
        <f t="shared" si="174"/>
        <v>0</v>
      </c>
      <c r="EH64" s="11">
        <f t="shared" si="175"/>
        <v>0</v>
      </c>
      <c r="EI64" s="11">
        <f t="shared" si="176"/>
        <v>0</v>
      </c>
      <c r="EJ64" s="11">
        <f t="shared" si="177"/>
        <v>0</v>
      </c>
      <c r="EK64" s="11">
        <f t="shared" si="178"/>
        <v>0</v>
      </c>
      <c r="EL64" s="11">
        <f t="shared" si="179"/>
        <v>0</v>
      </c>
      <c r="EM64" s="11">
        <f t="shared" si="180"/>
        <v>0</v>
      </c>
      <c r="EN64" s="11">
        <f t="shared" si="181"/>
        <v>0</v>
      </c>
      <c r="EO64" s="11">
        <f t="shared" si="182"/>
        <v>0</v>
      </c>
      <c r="EP64" s="11">
        <f t="shared" si="183"/>
        <v>0</v>
      </c>
      <c r="EQ64" s="11">
        <f t="shared" si="184"/>
        <v>0</v>
      </c>
      <c r="ER64" s="11">
        <f t="shared" si="185"/>
        <v>0</v>
      </c>
      <c r="ES64" s="11">
        <f t="shared" si="186"/>
        <v>0</v>
      </c>
      <c r="ET64" s="11">
        <f t="shared" si="187"/>
        <v>0</v>
      </c>
      <c r="EU64" s="11">
        <f t="shared" si="188"/>
        <v>0</v>
      </c>
      <c r="EV64" s="11">
        <f t="shared" si="189"/>
        <v>0</v>
      </c>
      <c r="EW64" s="11">
        <f t="shared" si="190"/>
        <v>0</v>
      </c>
      <c r="EX64" s="11">
        <f t="shared" si="191"/>
        <v>0</v>
      </c>
      <c r="EY64" s="11">
        <f t="shared" si="192"/>
        <v>0</v>
      </c>
      <c r="EZ64" s="11">
        <f t="shared" si="193"/>
        <v>0</v>
      </c>
      <c r="FA64" s="11">
        <f t="shared" si="194"/>
        <v>0</v>
      </c>
      <c r="FB64" s="11">
        <f t="shared" si="195"/>
        <v>0</v>
      </c>
      <c r="FC64" s="11">
        <f t="shared" si="196"/>
        <v>0</v>
      </c>
      <c r="FD64" s="11">
        <f t="shared" si="197"/>
        <v>0</v>
      </c>
      <c r="FE64" s="11">
        <f t="shared" si="198"/>
        <v>0</v>
      </c>
      <c r="FF64" s="11">
        <f t="shared" si="199"/>
        <v>0</v>
      </c>
      <c r="FG64" s="11">
        <f t="shared" si="200"/>
        <v>0</v>
      </c>
      <c r="FH64" s="11">
        <f t="shared" si="201"/>
        <v>0</v>
      </c>
      <c r="FI64" s="11">
        <f t="shared" si="202"/>
        <v>0</v>
      </c>
      <c r="FJ64" s="11">
        <f t="shared" si="203"/>
        <v>0</v>
      </c>
      <c r="FK64" s="11">
        <f t="shared" si="204"/>
        <v>0</v>
      </c>
      <c r="FL64" s="11">
        <f t="shared" si="205"/>
        <v>0</v>
      </c>
      <c r="FM64" s="11">
        <f t="shared" si="65"/>
        <v>0</v>
      </c>
      <c r="FO64" s="85">
        <v>10</v>
      </c>
      <c r="FP64" s="520">
        <f>DATE(YEAR(EXPEDIENTE!$F$25)+2,FO64,1)</f>
        <v>46661</v>
      </c>
      <c r="FQ64" s="520" t="str">
        <f>IF('GASTOS EJER. 3'!I61="","",'GASTOS EJER. 3'!I61)</f>
        <v/>
      </c>
      <c r="FR64" s="527">
        <f>'GASTOS EJER. 3'!X29</f>
        <v>0</v>
      </c>
      <c r="FS64" s="527">
        <f>'GASTOS EJER. 3'!H61</f>
        <v>0</v>
      </c>
      <c r="FT64" s="11">
        <f t="shared" si="299"/>
        <v>0</v>
      </c>
      <c r="FU64" s="527">
        <f t="shared" si="271"/>
        <v>0</v>
      </c>
      <c r="FW64" s="470"/>
      <c r="GG64" s="14">
        <v>45</v>
      </c>
      <c r="GH64" s="482">
        <f t="shared" si="104"/>
        <v>46997</v>
      </c>
      <c r="GI64" s="482">
        <f t="shared" si="105"/>
        <v>47026</v>
      </c>
      <c r="GJ64" s="14" t="str">
        <f>IF(AND(GI64&gt;=EXPEDIENTE!$F$25,GH64&lt;=EXPEDIENTE!$F$29),"SI","NO")</f>
        <v>SI</v>
      </c>
      <c r="GK64" s="11">
        <f t="shared" si="66"/>
        <v>0</v>
      </c>
      <c r="GL64" s="11">
        <f t="shared" si="67"/>
        <v>0</v>
      </c>
      <c r="GM64" s="11">
        <f t="shared" si="68"/>
        <v>0</v>
      </c>
      <c r="GN64" s="11">
        <f t="shared" si="69"/>
        <v>0</v>
      </c>
      <c r="GO64" s="11">
        <f t="shared" si="70"/>
        <v>0</v>
      </c>
      <c r="GP64" s="11">
        <f t="shared" si="71"/>
        <v>0</v>
      </c>
      <c r="GQ64" s="11">
        <f t="shared" si="72"/>
        <v>0</v>
      </c>
      <c r="GR64" s="11">
        <f t="shared" si="73"/>
        <v>0</v>
      </c>
      <c r="GS64" s="11">
        <f t="shared" si="74"/>
        <v>0</v>
      </c>
      <c r="GT64" s="11">
        <f t="shared" si="75"/>
        <v>0</v>
      </c>
      <c r="GU64" s="11">
        <f t="shared" si="76"/>
        <v>0</v>
      </c>
      <c r="GV64" s="11">
        <f t="shared" si="77"/>
        <v>0</v>
      </c>
      <c r="GW64" s="11">
        <f t="shared" si="78"/>
        <v>0</v>
      </c>
      <c r="GX64" s="11">
        <f t="shared" si="79"/>
        <v>0</v>
      </c>
      <c r="GY64" s="11">
        <f t="shared" si="80"/>
        <v>0</v>
      </c>
      <c r="GZ64" s="11">
        <f t="shared" si="81"/>
        <v>0</v>
      </c>
      <c r="HA64" s="11">
        <f t="shared" si="82"/>
        <v>0</v>
      </c>
      <c r="HB64" s="11">
        <f t="shared" si="83"/>
        <v>0</v>
      </c>
      <c r="HC64" s="11">
        <f t="shared" si="84"/>
        <v>0</v>
      </c>
      <c r="HD64" s="11">
        <f t="shared" si="85"/>
        <v>0</v>
      </c>
      <c r="HE64" s="11">
        <f t="shared" si="86"/>
        <v>0</v>
      </c>
      <c r="HF64" s="11">
        <f t="shared" si="87"/>
        <v>0</v>
      </c>
      <c r="HG64" s="11">
        <f t="shared" si="88"/>
        <v>0</v>
      </c>
      <c r="HH64" s="11">
        <f t="shared" si="89"/>
        <v>0</v>
      </c>
      <c r="HI64" s="11">
        <f t="shared" si="90"/>
        <v>0</v>
      </c>
      <c r="HJ64" s="11">
        <f t="shared" si="91"/>
        <v>0</v>
      </c>
      <c r="HK64" s="11">
        <f t="shared" si="92"/>
        <v>0</v>
      </c>
      <c r="HL64" s="11">
        <f t="shared" si="93"/>
        <v>0</v>
      </c>
      <c r="HM64" s="11">
        <f t="shared" si="94"/>
        <v>0</v>
      </c>
      <c r="HN64" s="11">
        <f t="shared" si="95"/>
        <v>0</v>
      </c>
      <c r="HO64" s="11">
        <f t="shared" si="96"/>
        <v>0</v>
      </c>
      <c r="HP64" s="11">
        <f t="shared" si="97"/>
        <v>0</v>
      </c>
      <c r="HQ64" s="11">
        <f t="shared" si="98"/>
        <v>0</v>
      </c>
      <c r="HT64" s="85">
        <v>10</v>
      </c>
      <c r="HU64" s="520">
        <f>DATE(YEAR(EXPEDIENTE!$F$25)+2,HT64,1)</f>
        <v>46661</v>
      </c>
      <c r="HV64" s="520" t="str">
        <f>IF('GASTOS EJER. 3'!BF61="","",'GASTOS EJER. 3'!BF61)</f>
        <v/>
      </c>
      <c r="HW64" s="527">
        <f>'GASTOS EJER. 3'!CM29</f>
        <v>0</v>
      </c>
      <c r="HX64" s="527">
        <f>'GASTOS EJER. 3'!BA61</f>
        <v>0</v>
      </c>
      <c r="HY64" s="11">
        <f t="shared" si="300"/>
        <v>0</v>
      </c>
      <c r="HZ64" s="527">
        <f t="shared" si="275"/>
        <v>0</v>
      </c>
      <c r="JF64" s="485">
        <v>60</v>
      </c>
      <c r="JG64" s="474">
        <f t="shared" si="101"/>
        <v>22</v>
      </c>
    </row>
    <row r="65" spans="3:267" x14ac:dyDescent="0.3">
      <c r="C65" s="8">
        <v>59</v>
      </c>
      <c r="D65" s="12"/>
      <c r="E65" s="17"/>
      <c r="F65" s="18"/>
      <c r="G65" s="19"/>
      <c r="H65" s="19"/>
      <c r="I65" s="19"/>
      <c r="J65" s="12"/>
      <c r="K65" s="14">
        <f t="shared" si="43"/>
        <v>76</v>
      </c>
      <c r="L65" s="14">
        <f t="shared" si="44"/>
        <v>76</v>
      </c>
      <c r="M65" s="14" t="str">
        <f t="shared" si="45"/>
        <v>X</v>
      </c>
      <c r="AG65" s="471"/>
      <c r="AH65" s="470"/>
      <c r="AI65" s="470"/>
      <c r="AJ65" s="470"/>
      <c r="AK65" s="470"/>
      <c r="AL65" s="470"/>
      <c r="AM65" s="470"/>
      <c r="AN65" s="470"/>
      <c r="AO65" s="470"/>
      <c r="AP65" s="470"/>
      <c r="AQ65" s="470"/>
      <c r="AR65" s="470"/>
      <c r="AS65" s="470"/>
      <c r="AT65" s="470"/>
      <c r="AU65" s="470"/>
      <c r="AV65" s="470"/>
      <c r="AW65" s="470"/>
      <c r="AX65" s="470"/>
      <c r="AY65" s="470"/>
      <c r="AZ65" s="470"/>
      <c r="BB65" s="596">
        <v>10</v>
      </c>
      <c r="BC65" s="598" t="e">
        <f t="shared" si="277"/>
        <v>#VALUE!</v>
      </c>
      <c r="BD65" s="601">
        <f t="shared" si="307"/>
        <v>0</v>
      </c>
      <c r="BE65" s="643">
        <f t="shared" si="308"/>
        <v>0</v>
      </c>
      <c r="BF65" s="643">
        <f t="shared" si="309"/>
        <v>0</v>
      </c>
      <c r="BG65" s="643">
        <f t="shared" si="310"/>
        <v>0</v>
      </c>
      <c r="BH65" s="643">
        <f t="shared" si="311"/>
        <v>0</v>
      </c>
      <c r="BI65" s="643">
        <f t="shared" si="312"/>
        <v>0</v>
      </c>
      <c r="BJ65" s="643">
        <f t="shared" si="313"/>
        <v>0</v>
      </c>
      <c r="BK65" s="644">
        <f t="shared" si="314"/>
        <v>0</v>
      </c>
      <c r="BL65" s="645">
        <f>SUM(BD65:BK65)</f>
        <v>0</v>
      </c>
      <c r="BN65" s="601">
        <f t="shared" si="279"/>
        <v>0</v>
      </c>
      <c r="BO65" s="643">
        <f t="shared" si="280"/>
        <v>0</v>
      </c>
      <c r="BP65" s="643">
        <f t="shared" si="281"/>
        <v>0</v>
      </c>
      <c r="BQ65" s="643">
        <f t="shared" si="282"/>
        <v>0</v>
      </c>
      <c r="BR65" s="643">
        <f t="shared" si="283"/>
        <v>0</v>
      </c>
      <c r="BS65" s="643">
        <f t="shared" si="284"/>
        <v>0</v>
      </c>
      <c r="BT65" s="643">
        <f t="shared" si="285"/>
        <v>0</v>
      </c>
      <c r="BU65" s="644">
        <f t="shared" si="286"/>
        <v>0</v>
      </c>
      <c r="BV65" s="645">
        <f t="shared" si="315"/>
        <v>0</v>
      </c>
      <c r="BX65" s="645">
        <f t="shared" si="316"/>
        <v>0</v>
      </c>
      <c r="BZ65" s="471"/>
      <c r="CA65" s="470"/>
      <c r="CB65" s="470"/>
      <c r="CC65" s="470"/>
      <c r="CD65" s="470"/>
      <c r="CE65" s="470"/>
      <c r="CF65" s="470"/>
      <c r="CG65" s="470"/>
      <c r="CH65" s="470"/>
      <c r="CI65" s="470"/>
      <c r="CJ65" s="470"/>
      <c r="CK65" s="470"/>
      <c r="CL65" s="470"/>
      <c r="CM65" s="470"/>
      <c r="CN65" s="470"/>
      <c r="CO65" s="470"/>
      <c r="CP65" s="470"/>
      <c r="CQ65" s="470"/>
      <c r="CR65" s="470"/>
      <c r="CS65" s="470"/>
      <c r="CU65" s="620">
        <v>10</v>
      </c>
      <c r="CV65" s="598" t="e">
        <f t="shared" si="288"/>
        <v>#VALUE!</v>
      </c>
      <c r="CW65" s="621">
        <f t="shared" si="323"/>
        <v>0</v>
      </c>
      <c r="CX65" s="649">
        <f t="shared" si="324"/>
        <v>0</v>
      </c>
      <c r="CY65" s="649">
        <f t="shared" si="325"/>
        <v>0</v>
      </c>
      <c r="CZ65" s="649">
        <f t="shared" si="326"/>
        <v>0</v>
      </c>
      <c r="DA65" s="649">
        <f t="shared" si="327"/>
        <v>0</v>
      </c>
      <c r="DB65" s="649">
        <f t="shared" si="328"/>
        <v>0</v>
      </c>
      <c r="DC65" s="649">
        <f t="shared" si="329"/>
        <v>0</v>
      </c>
      <c r="DD65" s="650">
        <f t="shared" si="330"/>
        <v>0</v>
      </c>
      <c r="DE65" s="645">
        <f>SUM(CW65:DD65)</f>
        <v>0</v>
      </c>
      <c r="DG65" s="621">
        <f t="shared" si="290"/>
        <v>0</v>
      </c>
      <c r="DH65" s="649">
        <f t="shared" si="291"/>
        <v>0</v>
      </c>
      <c r="DI65" s="649">
        <f t="shared" si="292"/>
        <v>0</v>
      </c>
      <c r="DJ65" s="649">
        <f t="shared" si="293"/>
        <v>0</v>
      </c>
      <c r="DK65" s="649">
        <f t="shared" si="294"/>
        <v>0</v>
      </c>
      <c r="DL65" s="649">
        <f t="shared" si="295"/>
        <v>0</v>
      </c>
      <c r="DM65" s="649">
        <f t="shared" si="296"/>
        <v>0</v>
      </c>
      <c r="DN65" s="650">
        <f t="shared" si="297"/>
        <v>0</v>
      </c>
      <c r="DO65" s="645">
        <f>SUM(DG65:DN65)</f>
        <v>0</v>
      </c>
      <c r="DQ65" s="645">
        <f t="shared" si="331"/>
        <v>0</v>
      </c>
      <c r="DS65" s="470"/>
      <c r="EC65" s="14">
        <v>46</v>
      </c>
      <c r="ED65" s="482">
        <f t="shared" si="102"/>
        <v>47027</v>
      </c>
      <c r="EE65" s="482">
        <f t="shared" si="103"/>
        <v>47057</v>
      </c>
      <c r="EF65" s="14" t="str">
        <f>IF(AND(EE65&gt;=EXPEDIENTE!$F$25,ED65&lt;=EXPEDIENTE!$F$29),"SI","NO")</f>
        <v>SI</v>
      </c>
      <c r="EG65" s="11">
        <f t="shared" si="174"/>
        <v>0</v>
      </c>
      <c r="EH65" s="11">
        <f t="shared" si="175"/>
        <v>0</v>
      </c>
      <c r="EI65" s="11">
        <f t="shared" si="176"/>
        <v>0</v>
      </c>
      <c r="EJ65" s="11">
        <f t="shared" si="177"/>
        <v>0</v>
      </c>
      <c r="EK65" s="11">
        <f t="shared" si="178"/>
        <v>0</v>
      </c>
      <c r="EL65" s="11">
        <f t="shared" si="179"/>
        <v>0</v>
      </c>
      <c r="EM65" s="11">
        <f t="shared" si="180"/>
        <v>0</v>
      </c>
      <c r="EN65" s="11">
        <f t="shared" si="181"/>
        <v>0</v>
      </c>
      <c r="EO65" s="11">
        <f t="shared" si="182"/>
        <v>0</v>
      </c>
      <c r="EP65" s="11">
        <f t="shared" si="183"/>
        <v>0</v>
      </c>
      <c r="EQ65" s="11">
        <f t="shared" si="184"/>
        <v>0</v>
      </c>
      <c r="ER65" s="11">
        <f t="shared" si="185"/>
        <v>0</v>
      </c>
      <c r="ES65" s="11">
        <f t="shared" si="186"/>
        <v>0</v>
      </c>
      <c r="ET65" s="11">
        <f t="shared" si="187"/>
        <v>0</v>
      </c>
      <c r="EU65" s="11">
        <f t="shared" si="188"/>
        <v>0</v>
      </c>
      <c r="EV65" s="11">
        <f t="shared" si="189"/>
        <v>0</v>
      </c>
      <c r="EW65" s="11">
        <f t="shared" si="190"/>
        <v>0</v>
      </c>
      <c r="EX65" s="11">
        <f t="shared" si="191"/>
        <v>0</v>
      </c>
      <c r="EY65" s="11">
        <f t="shared" si="192"/>
        <v>0</v>
      </c>
      <c r="EZ65" s="11">
        <f t="shared" si="193"/>
        <v>0</v>
      </c>
      <c r="FA65" s="11">
        <f t="shared" si="194"/>
        <v>0</v>
      </c>
      <c r="FB65" s="11">
        <f t="shared" si="195"/>
        <v>0</v>
      </c>
      <c r="FC65" s="11">
        <f t="shared" si="196"/>
        <v>0</v>
      </c>
      <c r="FD65" s="11">
        <f t="shared" si="197"/>
        <v>0</v>
      </c>
      <c r="FE65" s="11">
        <f t="shared" si="198"/>
        <v>0</v>
      </c>
      <c r="FF65" s="11">
        <f t="shared" si="199"/>
        <v>0</v>
      </c>
      <c r="FG65" s="11">
        <f t="shared" si="200"/>
        <v>0</v>
      </c>
      <c r="FH65" s="11">
        <f t="shared" si="201"/>
        <v>0</v>
      </c>
      <c r="FI65" s="11">
        <f t="shared" si="202"/>
        <v>0</v>
      </c>
      <c r="FJ65" s="11">
        <f t="shared" si="203"/>
        <v>0</v>
      </c>
      <c r="FK65" s="11">
        <f t="shared" si="204"/>
        <v>0</v>
      </c>
      <c r="FL65" s="11">
        <f t="shared" si="205"/>
        <v>0</v>
      </c>
      <c r="FM65" s="11">
        <f t="shared" si="65"/>
        <v>0</v>
      </c>
      <c r="FO65" s="85">
        <v>11</v>
      </c>
      <c r="FP65" s="520">
        <f>DATE(YEAR(EXPEDIENTE!$F$25)+2,FO65,1)</f>
        <v>46692</v>
      </c>
      <c r="FQ65" s="520" t="str">
        <f>IF('GASTOS EJER. 3'!I62="","",'GASTOS EJER. 3'!I62)</f>
        <v/>
      </c>
      <c r="FR65" s="527">
        <f>'GASTOS EJER. 3'!X30</f>
        <v>0</v>
      </c>
      <c r="FS65" s="527">
        <f>'GASTOS EJER. 3'!H62</f>
        <v>0</v>
      </c>
      <c r="FT65" s="11">
        <f t="shared" si="299"/>
        <v>0</v>
      </c>
      <c r="FU65" s="527">
        <f t="shared" si="271"/>
        <v>0</v>
      </c>
      <c r="FW65" s="470"/>
      <c r="GG65" s="14">
        <v>46</v>
      </c>
      <c r="GH65" s="482">
        <f t="shared" si="104"/>
        <v>47027</v>
      </c>
      <c r="GI65" s="482">
        <f t="shared" si="105"/>
        <v>47057</v>
      </c>
      <c r="GJ65" s="14" t="str">
        <f>IF(AND(GI65&gt;=EXPEDIENTE!$F$25,GH65&lt;=EXPEDIENTE!$F$29),"SI","NO")</f>
        <v>SI</v>
      </c>
      <c r="GK65" s="11">
        <f t="shared" si="66"/>
        <v>0</v>
      </c>
      <c r="GL65" s="11">
        <f t="shared" si="67"/>
        <v>0</v>
      </c>
      <c r="GM65" s="11">
        <f t="shared" si="68"/>
        <v>0</v>
      </c>
      <c r="GN65" s="11">
        <f t="shared" si="69"/>
        <v>0</v>
      </c>
      <c r="GO65" s="11">
        <f t="shared" si="70"/>
        <v>0</v>
      </c>
      <c r="GP65" s="11">
        <f t="shared" si="71"/>
        <v>0</v>
      </c>
      <c r="GQ65" s="11">
        <f t="shared" si="72"/>
        <v>0</v>
      </c>
      <c r="GR65" s="11">
        <f t="shared" si="73"/>
        <v>0</v>
      </c>
      <c r="GS65" s="11">
        <f t="shared" si="74"/>
        <v>0</v>
      </c>
      <c r="GT65" s="11">
        <f t="shared" si="75"/>
        <v>0</v>
      </c>
      <c r="GU65" s="11">
        <f t="shared" si="76"/>
        <v>0</v>
      </c>
      <c r="GV65" s="11">
        <f t="shared" si="77"/>
        <v>0</v>
      </c>
      <c r="GW65" s="11">
        <f t="shared" si="78"/>
        <v>0</v>
      </c>
      <c r="GX65" s="11">
        <f t="shared" si="79"/>
        <v>0</v>
      </c>
      <c r="GY65" s="11">
        <f t="shared" si="80"/>
        <v>0</v>
      </c>
      <c r="GZ65" s="11">
        <f t="shared" si="81"/>
        <v>0</v>
      </c>
      <c r="HA65" s="11">
        <f t="shared" si="82"/>
        <v>0</v>
      </c>
      <c r="HB65" s="11">
        <f t="shared" si="83"/>
        <v>0</v>
      </c>
      <c r="HC65" s="11">
        <f t="shared" si="84"/>
        <v>0</v>
      </c>
      <c r="HD65" s="11">
        <f t="shared" si="85"/>
        <v>0</v>
      </c>
      <c r="HE65" s="11">
        <f t="shared" si="86"/>
        <v>0</v>
      </c>
      <c r="HF65" s="11">
        <f t="shared" si="87"/>
        <v>0</v>
      </c>
      <c r="HG65" s="11">
        <f t="shared" si="88"/>
        <v>0</v>
      </c>
      <c r="HH65" s="11">
        <f t="shared" si="89"/>
        <v>0</v>
      </c>
      <c r="HI65" s="11">
        <f t="shared" si="90"/>
        <v>0</v>
      </c>
      <c r="HJ65" s="11">
        <f t="shared" si="91"/>
        <v>0</v>
      </c>
      <c r="HK65" s="11">
        <f t="shared" si="92"/>
        <v>0</v>
      </c>
      <c r="HL65" s="11">
        <f t="shared" si="93"/>
        <v>0</v>
      </c>
      <c r="HM65" s="11">
        <f t="shared" si="94"/>
        <v>0</v>
      </c>
      <c r="HN65" s="11">
        <f t="shared" si="95"/>
        <v>0</v>
      </c>
      <c r="HO65" s="11">
        <f t="shared" si="96"/>
        <v>0</v>
      </c>
      <c r="HP65" s="11">
        <f t="shared" si="97"/>
        <v>0</v>
      </c>
      <c r="HQ65" s="11">
        <f t="shared" si="98"/>
        <v>0</v>
      </c>
      <c r="HT65" s="85">
        <v>11</v>
      </c>
      <c r="HU65" s="520">
        <f>DATE(YEAR(EXPEDIENTE!$F$25)+2,HT65,1)</f>
        <v>46692</v>
      </c>
      <c r="HV65" s="520" t="str">
        <f>IF('GASTOS EJER. 3'!BF62="","",'GASTOS EJER. 3'!BF62)</f>
        <v/>
      </c>
      <c r="HW65" s="527">
        <f>'GASTOS EJER. 3'!CM30</f>
        <v>0</v>
      </c>
      <c r="HX65" s="527">
        <f>'GASTOS EJER. 3'!BA62</f>
        <v>0</v>
      </c>
      <c r="HY65" s="11">
        <f t="shared" si="300"/>
        <v>0</v>
      </c>
      <c r="HZ65" s="527">
        <f t="shared" si="275"/>
        <v>0</v>
      </c>
      <c r="JF65" s="477">
        <v>61</v>
      </c>
      <c r="JG65" s="474">
        <f t="shared" si="101"/>
        <v>24</v>
      </c>
    </row>
    <row r="66" spans="3:267" ht="15.75" thickBot="1" x14ac:dyDescent="0.35">
      <c r="C66" s="8">
        <v>60</v>
      </c>
      <c r="D66" s="12"/>
      <c r="E66" s="17"/>
      <c r="F66" s="18"/>
      <c r="G66" s="19"/>
      <c r="H66" s="19"/>
      <c r="I66" s="19"/>
      <c r="J66" s="12"/>
      <c r="K66" s="14">
        <f t="shared" si="43"/>
        <v>76</v>
      </c>
      <c r="L66" s="14">
        <f t="shared" si="44"/>
        <v>76</v>
      </c>
      <c r="M66" s="14" t="str">
        <f t="shared" si="45"/>
        <v>X</v>
      </c>
      <c r="AG66" s="471"/>
      <c r="AH66" s="470"/>
      <c r="AI66" s="470"/>
      <c r="AJ66" s="470"/>
      <c r="AK66" s="470"/>
      <c r="AL66" s="470"/>
      <c r="AM66" s="470"/>
      <c r="AN66" s="470"/>
      <c r="AO66" s="470"/>
      <c r="AP66" s="470"/>
      <c r="AQ66" s="470"/>
      <c r="AR66" s="470"/>
      <c r="AS66" s="470"/>
      <c r="AT66" s="470"/>
      <c r="AU66" s="470"/>
      <c r="AV66" s="470"/>
      <c r="AW66" s="470"/>
      <c r="AX66" s="470"/>
      <c r="AY66" s="470"/>
      <c r="AZ66" s="470"/>
      <c r="BB66" s="596">
        <v>11</v>
      </c>
      <c r="BC66" s="598" t="e">
        <f t="shared" si="277"/>
        <v>#VALUE!</v>
      </c>
      <c r="BD66" s="601">
        <f t="shared" si="307"/>
        <v>0</v>
      </c>
      <c r="BE66" s="643">
        <f t="shared" si="308"/>
        <v>0</v>
      </c>
      <c r="BF66" s="643">
        <f t="shared" si="309"/>
        <v>0</v>
      </c>
      <c r="BG66" s="643">
        <f t="shared" si="310"/>
        <v>0</v>
      </c>
      <c r="BH66" s="643">
        <f t="shared" si="311"/>
        <v>0</v>
      </c>
      <c r="BI66" s="643">
        <f t="shared" si="312"/>
        <v>0</v>
      </c>
      <c r="BJ66" s="643">
        <f t="shared" si="313"/>
        <v>0</v>
      </c>
      <c r="BK66" s="644">
        <f t="shared" si="314"/>
        <v>0</v>
      </c>
      <c r="BL66" s="645">
        <f t="shared" si="278"/>
        <v>0</v>
      </c>
      <c r="BN66" s="601">
        <f t="shared" si="279"/>
        <v>0</v>
      </c>
      <c r="BO66" s="643">
        <f t="shared" si="280"/>
        <v>0</v>
      </c>
      <c r="BP66" s="643">
        <f t="shared" si="281"/>
        <v>0</v>
      </c>
      <c r="BQ66" s="643">
        <f t="shared" si="282"/>
        <v>0</v>
      </c>
      <c r="BR66" s="643">
        <f t="shared" si="283"/>
        <v>0</v>
      </c>
      <c r="BS66" s="643">
        <f t="shared" si="284"/>
        <v>0</v>
      </c>
      <c r="BT66" s="643">
        <f t="shared" si="285"/>
        <v>0</v>
      </c>
      <c r="BU66" s="644">
        <f t="shared" si="286"/>
        <v>0</v>
      </c>
      <c r="BV66" s="645">
        <f t="shared" si="315"/>
        <v>0</v>
      </c>
      <c r="BX66" s="645">
        <f t="shared" si="316"/>
        <v>0</v>
      </c>
      <c r="BZ66" s="471"/>
      <c r="CA66" s="470"/>
      <c r="CB66" s="470"/>
      <c r="CC66" s="470"/>
      <c r="CD66" s="470"/>
      <c r="CE66" s="470"/>
      <c r="CF66" s="470"/>
      <c r="CG66" s="470"/>
      <c r="CH66" s="470"/>
      <c r="CI66" s="470"/>
      <c r="CJ66" s="470"/>
      <c r="CK66" s="470"/>
      <c r="CL66" s="470"/>
      <c r="CM66" s="470"/>
      <c r="CN66" s="470"/>
      <c r="CO66" s="470"/>
      <c r="CP66" s="470"/>
      <c r="CQ66" s="470"/>
      <c r="CR66" s="470"/>
      <c r="CS66" s="470"/>
      <c r="CU66" s="620">
        <v>11</v>
      </c>
      <c r="CV66" s="598" t="e">
        <f t="shared" si="288"/>
        <v>#VALUE!</v>
      </c>
      <c r="CW66" s="621">
        <f t="shared" si="323"/>
        <v>0</v>
      </c>
      <c r="CX66" s="649">
        <f t="shared" si="324"/>
        <v>0</v>
      </c>
      <c r="CY66" s="649">
        <f t="shared" si="325"/>
        <v>0</v>
      </c>
      <c r="CZ66" s="649">
        <f t="shared" si="326"/>
        <v>0</v>
      </c>
      <c r="DA66" s="649">
        <f t="shared" si="327"/>
        <v>0</v>
      </c>
      <c r="DB66" s="649">
        <f t="shared" si="328"/>
        <v>0</v>
      </c>
      <c r="DC66" s="649">
        <f t="shared" si="329"/>
        <v>0</v>
      </c>
      <c r="DD66" s="650">
        <f t="shared" si="330"/>
        <v>0</v>
      </c>
      <c r="DE66" s="645">
        <f t="shared" ref="DE66:DE67" si="332">SUM(CW66:DD66)</f>
        <v>0</v>
      </c>
      <c r="DG66" s="621">
        <f t="shared" si="290"/>
        <v>0</v>
      </c>
      <c r="DH66" s="649">
        <f t="shared" si="291"/>
        <v>0</v>
      </c>
      <c r="DI66" s="649">
        <f t="shared" si="292"/>
        <v>0</v>
      </c>
      <c r="DJ66" s="649">
        <f t="shared" si="293"/>
        <v>0</v>
      </c>
      <c r="DK66" s="649">
        <f t="shared" si="294"/>
        <v>0</v>
      </c>
      <c r="DL66" s="649">
        <f t="shared" si="295"/>
        <v>0</v>
      </c>
      <c r="DM66" s="649">
        <f t="shared" si="296"/>
        <v>0</v>
      </c>
      <c r="DN66" s="650">
        <f t="shared" si="297"/>
        <v>0</v>
      </c>
      <c r="DO66" s="645">
        <f t="shared" ref="DO66:DO67" si="333">SUM(DG66:DN66)</f>
        <v>0</v>
      </c>
      <c r="DQ66" s="645">
        <f t="shared" si="331"/>
        <v>0</v>
      </c>
      <c r="DS66" s="470"/>
      <c r="EC66" s="14">
        <v>47</v>
      </c>
      <c r="ED66" s="482">
        <f t="shared" si="102"/>
        <v>47058</v>
      </c>
      <c r="EE66" s="482">
        <f t="shared" si="103"/>
        <v>47087</v>
      </c>
      <c r="EF66" s="14" t="str">
        <f>IF(AND(EE66&gt;=EXPEDIENTE!$F$25,ED66&lt;=EXPEDIENTE!$F$29),"SI","NO")</f>
        <v>SI</v>
      </c>
      <c r="EG66" s="11">
        <f t="shared" si="174"/>
        <v>0</v>
      </c>
      <c r="EH66" s="11">
        <f t="shared" si="175"/>
        <v>0</v>
      </c>
      <c r="EI66" s="11">
        <f t="shared" si="176"/>
        <v>0</v>
      </c>
      <c r="EJ66" s="11">
        <f t="shared" si="177"/>
        <v>0</v>
      </c>
      <c r="EK66" s="11">
        <f t="shared" si="178"/>
        <v>0</v>
      </c>
      <c r="EL66" s="11">
        <f t="shared" si="179"/>
        <v>0</v>
      </c>
      <c r="EM66" s="11">
        <f t="shared" si="180"/>
        <v>0</v>
      </c>
      <c r="EN66" s="11">
        <f t="shared" si="181"/>
        <v>0</v>
      </c>
      <c r="EO66" s="11">
        <f t="shared" si="182"/>
        <v>0</v>
      </c>
      <c r="EP66" s="11">
        <f t="shared" si="183"/>
        <v>0</v>
      </c>
      <c r="EQ66" s="11">
        <f t="shared" si="184"/>
        <v>0</v>
      </c>
      <c r="ER66" s="11">
        <f t="shared" si="185"/>
        <v>0</v>
      </c>
      <c r="ES66" s="11">
        <f t="shared" si="186"/>
        <v>0</v>
      </c>
      <c r="ET66" s="11">
        <f t="shared" si="187"/>
        <v>0</v>
      </c>
      <c r="EU66" s="11">
        <f t="shared" si="188"/>
        <v>0</v>
      </c>
      <c r="EV66" s="11">
        <f t="shared" si="189"/>
        <v>0</v>
      </c>
      <c r="EW66" s="11">
        <f t="shared" si="190"/>
        <v>0</v>
      </c>
      <c r="EX66" s="11">
        <f t="shared" si="191"/>
        <v>0</v>
      </c>
      <c r="EY66" s="11">
        <f t="shared" si="192"/>
        <v>0</v>
      </c>
      <c r="EZ66" s="11">
        <f t="shared" si="193"/>
        <v>0</v>
      </c>
      <c r="FA66" s="11">
        <f t="shared" si="194"/>
        <v>0</v>
      </c>
      <c r="FB66" s="11">
        <f t="shared" si="195"/>
        <v>0</v>
      </c>
      <c r="FC66" s="11">
        <f t="shared" si="196"/>
        <v>0</v>
      </c>
      <c r="FD66" s="11">
        <f t="shared" si="197"/>
        <v>0</v>
      </c>
      <c r="FE66" s="11">
        <f t="shared" si="198"/>
        <v>0</v>
      </c>
      <c r="FF66" s="11">
        <f t="shared" si="199"/>
        <v>0</v>
      </c>
      <c r="FG66" s="11">
        <f t="shared" si="200"/>
        <v>0</v>
      </c>
      <c r="FH66" s="11">
        <f t="shared" si="201"/>
        <v>0</v>
      </c>
      <c r="FI66" s="11">
        <f t="shared" si="202"/>
        <v>0</v>
      </c>
      <c r="FJ66" s="11">
        <f t="shared" si="203"/>
        <v>0</v>
      </c>
      <c r="FK66" s="11">
        <f t="shared" si="204"/>
        <v>0</v>
      </c>
      <c r="FL66" s="11">
        <f t="shared" si="205"/>
        <v>0</v>
      </c>
      <c r="FM66" s="11">
        <f t="shared" si="65"/>
        <v>0</v>
      </c>
      <c r="FO66" s="85">
        <v>12</v>
      </c>
      <c r="FP66" s="520">
        <f>DATE(YEAR(EXPEDIENTE!$F$25)+2,FO66,1)</f>
        <v>46722</v>
      </c>
      <c r="FQ66" s="520" t="str">
        <f>IF('GASTOS EJER. 3'!I63="","",'GASTOS EJER. 3'!I63)</f>
        <v/>
      </c>
      <c r="FR66" s="527">
        <f>'GASTOS EJER. 3'!X31</f>
        <v>0</v>
      </c>
      <c r="FS66" s="527">
        <f>'GASTOS EJER. 3'!H63</f>
        <v>0</v>
      </c>
      <c r="FT66" s="11">
        <f t="shared" si="299"/>
        <v>0</v>
      </c>
      <c r="FU66" s="527">
        <f t="shared" si="271"/>
        <v>0</v>
      </c>
      <c r="FW66" s="470"/>
      <c r="GG66" s="14">
        <v>47</v>
      </c>
      <c r="GH66" s="482">
        <f t="shared" si="104"/>
        <v>47058</v>
      </c>
      <c r="GI66" s="482">
        <f t="shared" si="105"/>
        <v>47087</v>
      </c>
      <c r="GJ66" s="14" t="str">
        <f>IF(AND(GI66&gt;=EXPEDIENTE!$F$25,GH66&lt;=EXPEDIENTE!$F$29),"SI","NO")</f>
        <v>SI</v>
      </c>
      <c r="GK66" s="11">
        <f t="shared" si="66"/>
        <v>0</v>
      </c>
      <c r="GL66" s="11">
        <f t="shared" si="67"/>
        <v>0</v>
      </c>
      <c r="GM66" s="11">
        <f t="shared" si="68"/>
        <v>0</v>
      </c>
      <c r="GN66" s="11">
        <f t="shared" si="69"/>
        <v>0</v>
      </c>
      <c r="GO66" s="11">
        <f t="shared" si="70"/>
        <v>0</v>
      </c>
      <c r="GP66" s="11">
        <f t="shared" si="71"/>
        <v>0</v>
      </c>
      <c r="GQ66" s="11">
        <f t="shared" si="72"/>
        <v>0</v>
      </c>
      <c r="GR66" s="11">
        <f t="shared" si="73"/>
        <v>0</v>
      </c>
      <c r="GS66" s="11">
        <f t="shared" si="74"/>
        <v>0</v>
      </c>
      <c r="GT66" s="11">
        <f t="shared" si="75"/>
        <v>0</v>
      </c>
      <c r="GU66" s="11">
        <f t="shared" si="76"/>
        <v>0</v>
      </c>
      <c r="GV66" s="11">
        <f t="shared" si="77"/>
        <v>0</v>
      </c>
      <c r="GW66" s="11">
        <f t="shared" si="78"/>
        <v>0</v>
      </c>
      <c r="GX66" s="11">
        <f t="shared" si="79"/>
        <v>0</v>
      </c>
      <c r="GY66" s="11">
        <f t="shared" si="80"/>
        <v>0</v>
      </c>
      <c r="GZ66" s="11">
        <f t="shared" si="81"/>
        <v>0</v>
      </c>
      <c r="HA66" s="11">
        <f t="shared" si="82"/>
        <v>0</v>
      </c>
      <c r="HB66" s="11">
        <f t="shared" si="83"/>
        <v>0</v>
      </c>
      <c r="HC66" s="11">
        <f t="shared" si="84"/>
        <v>0</v>
      </c>
      <c r="HD66" s="11">
        <f t="shared" si="85"/>
        <v>0</v>
      </c>
      <c r="HE66" s="11">
        <f t="shared" si="86"/>
        <v>0</v>
      </c>
      <c r="HF66" s="11">
        <f t="shared" si="87"/>
        <v>0</v>
      </c>
      <c r="HG66" s="11">
        <f t="shared" si="88"/>
        <v>0</v>
      </c>
      <c r="HH66" s="11">
        <f t="shared" si="89"/>
        <v>0</v>
      </c>
      <c r="HI66" s="11">
        <f t="shared" si="90"/>
        <v>0</v>
      </c>
      <c r="HJ66" s="11">
        <f t="shared" si="91"/>
        <v>0</v>
      </c>
      <c r="HK66" s="11">
        <f t="shared" si="92"/>
        <v>0</v>
      </c>
      <c r="HL66" s="11">
        <f t="shared" si="93"/>
        <v>0</v>
      </c>
      <c r="HM66" s="11">
        <f t="shared" si="94"/>
        <v>0</v>
      </c>
      <c r="HN66" s="11">
        <f t="shared" si="95"/>
        <v>0</v>
      </c>
      <c r="HO66" s="11">
        <f t="shared" si="96"/>
        <v>0</v>
      </c>
      <c r="HP66" s="11">
        <f t="shared" si="97"/>
        <v>0</v>
      </c>
      <c r="HQ66" s="11">
        <f t="shared" si="98"/>
        <v>0</v>
      </c>
      <c r="HT66" s="85">
        <v>12</v>
      </c>
      <c r="HU66" s="520">
        <f>DATE(YEAR(EXPEDIENTE!$F$25)+2,HT66,1)</f>
        <v>46722</v>
      </c>
      <c r="HV66" s="520" t="str">
        <f>IF('GASTOS EJER. 3'!BF63="","",'GASTOS EJER. 3'!BF63)</f>
        <v/>
      </c>
      <c r="HW66" s="527">
        <f>'GASTOS EJER. 3'!CM31</f>
        <v>0</v>
      </c>
      <c r="HX66" s="527">
        <f>'GASTOS EJER. 3'!BA63</f>
        <v>0</v>
      </c>
      <c r="HY66" s="11">
        <f t="shared" si="300"/>
        <v>0</v>
      </c>
      <c r="HZ66" s="527">
        <f t="shared" si="275"/>
        <v>0</v>
      </c>
      <c r="JF66" s="480">
        <v>62</v>
      </c>
      <c r="JG66" s="474">
        <f t="shared" si="101"/>
        <v>24</v>
      </c>
    </row>
    <row r="67" spans="3:267" ht="15.75" customHeight="1" thickBot="1" x14ac:dyDescent="0.35">
      <c r="C67" s="8">
        <v>61</v>
      </c>
      <c r="D67" s="12"/>
      <c r="E67" s="17"/>
      <c r="F67" s="18"/>
      <c r="G67" s="19"/>
      <c r="H67" s="19"/>
      <c r="I67" s="19"/>
      <c r="J67" s="12"/>
      <c r="K67" s="14">
        <f t="shared" si="43"/>
        <v>76</v>
      </c>
      <c r="L67" s="14">
        <f t="shared" si="44"/>
        <v>76</v>
      </c>
      <c r="M67" s="14" t="str">
        <f t="shared" si="45"/>
        <v>X</v>
      </c>
      <c r="AG67" s="471"/>
      <c r="AH67" s="470"/>
      <c r="AI67" s="470"/>
      <c r="AJ67" s="470"/>
      <c r="AK67" s="470"/>
      <c r="AL67" s="470"/>
      <c r="AM67" s="470"/>
      <c r="AN67" s="470"/>
      <c r="AO67" s="470"/>
      <c r="AP67" s="470"/>
      <c r="AQ67" s="470"/>
      <c r="AR67" s="470"/>
      <c r="AS67" s="470"/>
      <c r="AT67" s="470"/>
      <c r="AU67" s="470"/>
      <c r="AV67" s="470"/>
      <c r="AW67" s="470"/>
      <c r="AX67" s="470"/>
      <c r="AY67" s="470"/>
      <c r="AZ67" s="470"/>
      <c r="BB67" s="596">
        <v>12</v>
      </c>
      <c r="BC67" s="599" t="e">
        <f t="shared" si="277"/>
        <v>#VALUE!</v>
      </c>
      <c r="BD67" s="602">
        <f t="shared" si="307"/>
        <v>0</v>
      </c>
      <c r="BE67" s="646">
        <f t="shared" si="308"/>
        <v>0</v>
      </c>
      <c r="BF67" s="646">
        <f t="shared" si="309"/>
        <v>0</v>
      </c>
      <c r="BG67" s="646">
        <f t="shared" si="310"/>
        <v>0</v>
      </c>
      <c r="BH67" s="646">
        <f t="shared" si="311"/>
        <v>0</v>
      </c>
      <c r="BI67" s="646">
        <f t="shared" si="312"/>
        <v>0</v>
      </c>
      <c r="BJ67" s="646">
        <f t="shared" si="313"/>
        <v>0</v>
      </c>
      <c r="BK67" s="647">
        <f t="shared" si="314"/>
        <v>0</v>
      </c>
      <c r="BL67" s="648">
        <f t="shared" si="278"/>
        <v>0</v>
      </c>
      <c r="BN67" s="602">
        <f t="shared" si="279"/>
        <v>0</v>
      </c>
      <c r="BO67" s="646">
        <f t="shared" si="280"/>
        <v>0</v>
      </c>
      <c r="BP67" s="646">
        <f t="shared" si="281"/>
        <v>0</v>
      </c>
      <c r="BQ67" s="646">
        <f t="shared" si="282"/>
        <v>0</v>
      </c>
      <c r="BR67" s="646">
        <f t="shared" si="283"/>
        <v>0</v>
      </c>
      <c r="BS67" s="646">
        <f t="shared" si="284"/>
        <v>0</v>
      </c>
      <c r="BT67" s="646">
        <f t="shared" si="285"/>
        <v>0</v>
      </c>
      <c r="BU67" s="647">
        <f t="shared" si="286"/>
        <v>0</v>
      </c>
      <c r="BV67" s="648">
        <f t="shared" si="315"/>
        <v>0</v>
      </c>
      <c r="BX67" s="648">
        <f t="shared" si="316"/>
        <v>0</v>
      </c>
      <c r="BZ67" s="471"/>
      <c r="CA67" s="470"/>
      <c r="CB67" s="470"/>
      <c r="CC67" s="470"/>
      <c r="CD67" s="470"/>
      <c r="CE67" s="470"/>
      <c r="CF67" s="470"/>
      <c r="CG67" s="470"/>
      <c r="CH67" s="470"/>
      <c r="CI67" s="470"/>
      <c r="CJ67" s="470"/>
      <c r="CK67" s="470"/>
      <c r="CL67" s="470"/>
      <c r="CM67" s="470"/>
      <c r="CN67" s="470"/>
      <c r="CO67" s="470"/>
      <c r="CP67" s="470"/>
      <c r="CQ67" s="470"/>
      <c r="CR67" s="470"/>
      <c r="CS67" s="470"/>
      <c r="CU67" s="620">
        <v>12</v>
      </c>
      <c r="CV67" s="599" t="e">
        <f t="shared" si="288"/>
        <v>#VALUE!</v>
      </c>
      <c r="CW67" s="622">
        <f t="shared" si="323"/>
        <v>0</v>
      </c>
      <c r="CX67" s="651">
        <f t="shared" si="324"/>
        <v>0</v>
      </c>
      <c r="CY67" s="651">
        <f t="shared" si="325"/>
        <v>0</v>
      </c>
      <c r="CZ67" s="651">
        <f t="shared" si="326"/>
        <v>0</v>
      </c>
      <c r="DA67" s="651">
        <f t="shared" si="327"/>
        <v>0</v>
      </c>
      <c r="DB67" s="651">
        <f t="shared" si="328"/>
        <v>0</v>
      </c>
      <c r="DC67" s="651">
        <f t="shared" si="329"/>
        <v>0</v>
      </c>
      <c r="DD67" s="652">
        <f t="shared" si="330"/>
        <v>0</v>
      </c>
      <c r="DE67" s="648">
        <f t="shared" si="332"/>
        <v>0</v>
      </c>
      <c r="DG67" s="622">
        <f t="shared" si="290"/>
        <v>0</v>
      </c>
      <c r="DH67" s="651">
        <f t="shared" si="291"/>
        <v>0</v>
      </c>
      <c r="DI67" s="651">
        <f t="shared" si="292"/>
        <v>0</v>
      </c>
      <c r="DJ67" s="651">
        <f t="shared" si="293"/>
        <v>0</v>
      </c>
      <c r="DK67" s="651">
        <f t="shared" si="294"/>
        <v>0</v>
      </c>
      <c r="DL67" s="651">
        <f t="shared" si="295"/>
        <v>0</v>
      </c>
      <c r="DM67" s="651">
        <f t="shared" si="296"/>
        <v>0</v>
      </c>
      <c r="DN67" s="652">
        <f t="shared" si="297"/>
        <v>0</v>
      </c>
      <c r="DO67" s="648">
        <f t="shared" si="333"/>
        <v>0</v>
      </c>
      <c r="DQ67" s="648">
        <f t="shared" si="331"/>
        <v>0</v>
      </c>
      <c r="DS67" s="470"/>
      <c r="DT67" s="542" t="e">
        <f>AG68</f>
        <v>#VALUE!</v>
      </c>
      <c r="DU67" s="6"/>
      <c r="DV67" s="6"/>
      <c r="DW67" s="6"/>
      <c r="EC67" s="14">
        <v>48</v>
      </c>
      <c r="ED67" s="482">
        <f t="shared" si="102"/>
        <v>47088</v>
      </c>
      <c r="EE67" s="482">
        <f t="shared" si="103"/>
        <v>47118</v>
      </c>
      <c r="EF67" s="14" t="str">
        <f>IF(AND(EE67&gt;=EXPEDIENTE!$F$25,ED67&lt;=EXPEDIENTE!$F$29),"SI","NO")</f>
        <v>SI</v>
      </c>
      <c r="EG67" s="11">
        <f t="shared" si="174"/>
        <v>0</v>
      </c>
      <c r="EH67" s="11">
        <f t="shared" si="175"/>
        <v>0</v>
      </c>
      <c r="EI67" s="11">
        <f t="shared" si="176"/>
        <v>0</v>
      </c>
      <c r="EJ67" s="11">
        <f t="shared" si="177"/>
        <v>0</v>
      </c>
      <c r="EK67" s="11">
        <f t="shared" si="178"/>
        <v>0</v>
      </c>
      <c r="EL67" s="11">
        <f t="shared" si="179"/>
        <v>0</v>
      </c>
      <c r="EM67" s="11">
        <f t="shared" si="180"/>
        <v>0</v>
      </c>
      <c r="EN67" s="11">
        <f t="shared" si="181"/>
        <v>0</v>
      </c>
      <c r="EO67" s="11">
        <f t="shared" si="182"/>
        <v>0</v>
      </c>
      <c r="EP67" s="11">
        <f t="shared" si="183"/>
        <v>0</v>
      </c>
      <c r="EQ67" s="11">
        <f t="shared" si="184"/>
        <v>0</v>
      </c>
      <c r="ER67" s="11">
        <f t="shared" si="185"/>
        <v>0</v>
      </c>
      <c r="ES67" s="11">
        <f t="shared" si="186"/>
        <v>0</v>
      </c>
      <c r="ET67" s="11">
        <f t="shared" si="187"/>
        <v>0</v>
      </c>
      <c r="EU67" s="11">
        <f t="shared" si="188"/>
        <v>0</v>
      </c>
      <c r="EV67" s="11">
        <f t="shared" si="189"/>
        <v>0</v>
      </c>
      <c r="EW67" s="11">
        <f t="shared" si="190"/>
        <v>0</v>
      </c>
      <c r="EX67" s="11">
        <f t="shared" si="191"/>
        <v>0</v>
      </c>
      <c r="EY67" s="11">
        <f t="shared" si="192"/>
        <v>0</v>
      </c>
      <c r="EZ67" s="11">
        <f t="shared" si="193"/>
        <v>0</v>
      </c>
      <c r="FA67" s="11">
        <f t="shared" si="194"/>
        <v>0</v>
      </c>
      <c r="FB67" s="11">
        <f t="shared" si="195"/>
        <v>0</v>
      </c>
      <c r="FC67" s="11">
        <f t="shared" si="196"/>
        <v>0</v>
      </c>
      <c r="FD67" s="11">
        <f t="shared" si="197"/>
        <v>0</v>
      </c>
      <c r="FE67" s="11">
        <f t="shared" si="198"/>
        <v>0</v>
      </c>
      <c r="FF67" s="11">
        <f t="shared" si="199"/>
        <v>0</v>
      </c>
      <c r="FG67" s="11">
        <f t="shared" si="200"/>
        <v>0</v>
      </c>
      <c r="FH67" s="11">
        <f t="shared" si="201"/>
        <v>0</v>
      </c>
      <c r="FI67" s="11">
        <f t="shared" si="202"/>
        <v>0</v>
      </c>
      <c r="FJ67" s="11">
        <f t="shared" si="203"/>
        <v>0</v>
      </c>
      <c r="FK67" s="11">
        <f t="shared" si="204"/>
        <v>0</v>
      </c>
      <c r="FL67" s="11">
        <f t="shared" si="205"/>
        <v>0</v>
      </c>
      <c r="FM67" s="11">
        <f t="shared" si="65"/>
        <v>0</v>
      </c>
      <c r="FO67" s="81"/>
      <c r="FP67" s="543"/>
      <c r="FQ67" s="543"/>
      <c r="FR67" s="544"/>
      <c r="FS67" s="544"/>
      <c r="FU67" s="544"/>
      <c r="FW67" s="470"/>
      <c r="FX67" s="491" t="e">
        <f>BZ68</f>
        <v>#VALUE!</v>
      </c>
      <c r="FY67" s="6"/>
      <c r="FZ67" s="6"/>
      <c r="GA67" s="6"/>
      <c r="GG67" s="14">
        <v>48</v>
      </c>
      <c r="GH67" s="482">
        <f t="shared" si="104"/>
        <v>47088</v>
      </c>
      <c r="GI67" s="482">
        <f t="shared" si="105"/>
        <v>47118</v>
      </c>
      <c r="GJ67" s="14" t="str">
        <f>IF(AND(GI67&gt;=EXPEDIENTE!$F$25,GH67&lt;=EXPEDIENTE!$F$29),"SI","NO")</f>
        <v>SI</v>
      </c>
      <c r="GK67" s="11">
        <f t="shared" si="66"/>
        <v>0</v>
      </c>
      <c r="GL67" s="11">
        <f t="shared" si="67"/>
        <v>0</v>
      </c>
      <c r="GM67" s="11">
        <f t="shared" si="68"/>
        <v>0</v>
      </c>
      <c r="GN67" s="11">
        <f t="shared" si="69"/>
        <v>0</v>
      </c>
      <c r="GO67" s="11">
        <f t="shared" si="70"/>
        <v>0</v>
      </c>
      <c r="GP67" s="11">
        <f t="shared" si="71"/>
        <v>0</v>
      </c>
      <c r="GQ67" s="11">
        <f t="shared" si="72"/>
        <v>0</v>
      </c>
      <c r="GR67" s="11">
        <f t="shared" si="73"/>
        <v>0</v>
      </c>
      <c r="GS67" s="11">
        <f t="shared" si="74"/>
        <v>0</v>
      </c>
      <c r="GT67" s="11">
        <f t="shared" si="75"/>
        <v>0</v>
      </c>
      <c r="GU67" s="11">
        <f t="shared" si="76"/>
        <v>0</v>
      </c>
      <c r="GV67" s="11">
        <f t="shared" si="77"/>
        <v>0</v>
      </c>
      <c r="GW67" s="11">
        <f t="shared" si="78"/>
        <v>0</v>
      </c>
      <c r="GX67" s="11">
        <f t="shared" si="79"/>
        <v>0</v>
      </c>
      <c r="GY67" s="11">
        <f t="shared" si="80"/>
        <v>0</v>
      </c>
      <c r="GZ67" s="11">
        <f t="shared" si="81"/>
        <v>0</v>
      </c>
      <c r="HA67" s="11">
        <f t="shared" si="82"/>
        <v>0</v>
      </c>
      <c r="HB67" s="11">
        <f t="shared" si="83"/>
        <v>0</v>
      </c>
      <c r="HC67" s="11">
        <f t="shared" si="84"/>
        <v>0</v>
      </c>
      <c r="HD67" s="11">
        <f t="shared" si="85"/>
        <v>0</v>
      </c>
      <c r="HE67" s="11">
        <f t="shared" si="86"/>
        <v>0</v>
      </c>
      <c r="HF67" s="11">
        <f t="shared" si="87"/>
        <v>0</v>
      </c>
      <c r="HG67" s="11">
        <f t="shared" si="88"/>
        <v>0</v>
      </c>
      <c r="HH67" s="11">
        <f t="shared" si="89"/>
        <v>0</v>
      </c>
      <c r="HI67" s="11">
        <f t="shared" si="90"/>
        <v>0</v>
      </c>
      <c r="HJ67" s="11">
        <f t="shared" si="91"/>
        <v>0</v>
      </c>
      <c r="HK67" s="11">
        <f t="shared" si="92"/>
        <v>0</v>
      </c>
      <c r="HL67" s="11">
        <f t="shared" si="93"/>
        <v>0</v>
      </c>
      <c r="HM67" s="11">
        <f t="shared" si="94"/>
        <v>0</v>
      </c>
      <c r="HN67" s="11">
        <f t="shared" si="95"/>
        <v>0</v>
      </c>
      <c r="HO67" s="11">
        <f t="shared" si="96"/>
        <v>0</v>
      </c>
      <c r="HP67" s="11">
        <f t="shared" si="97"/>
        <v>0</v>
      </c>
      <c r="HQ67" s="11">
        <f t="shared" si="98"/>
        <v>0</v>
      </c>
      <c r="HT67" s="81"/>
      <c r="HU67" s="543"/>
      <c r="HV67" s="543"/>
      <c r="HW67" s="544"/>
      <c r="HX67" s="544"/>
      <c r="HZ67" s="544"/>
      <c r="JF67" s="480">
        <v>63</v>
      </c>
      <c r="JG67" s="474">
        <f t="shared" si="101"/>
        <v>24</v>
      </c>
    </row>
    <row r="68" spans="3:267" ht="15.75" thickBot="1" x14ac:dyDescent="0.35">
      <c r="C68" s="8">
        <v>62</v>
      </c>
      <c r="D68" s="12"/>
      <c r="E68" s="17"/>
      <c r="F68" s="18"/>
      <c r="G68" s="19"/>
      <c r="H68" s="19"/>
      <c r="I68" s="19"/>
      <c r="J68" s="12"/>
      <c r="K68" s="14">
        <f t="shared" si="43"/>
        <v>76</v>
      </c>
      <c r="L68" s="14">
        <f t="shared" si="44"/>
        <v>76</v>
      </c>
      <c r="M68" s="14" t="str">
        <f t="shared" si="45"/>
        <v>X</v>
      </c>
      <c r="AG68" s="1114" t="e">
        <f>IF(YEAR(EXPEDIENTE!$F$29)&gt;=$AG$20+3,$AG$20+3,"")</f>
        <v>#VALUE!</v>
      </c>
      <c r="AH68" s="1202" t="s">
        <v>432</v>
      </c>
      <c r="AI68" s="1205" t="s">
        <v>433</v>
      </c>
      <c r="AJ68" s="1205" t="s">
        <v>198</v>
      </c>
      <c r="AK68" s="1208" t="s">
        <v>434</v>
      </c>
      <c r="AM68" s="1184" t="s">
        <v>435</v>
      </c>
      <c r="AN68" s="1187" t="s">
        <v>200</v>
      </c>
      <c r="AO68" s="1190" t="s">
        <v>206</v>
      </c>
      <c r="AP68" s="1196" t="s">
        <v>436</v>
      </c>
      <c r="AQ68" s="1193" t="s">
        <v>437</v>
      </c>
      <c r="AR68" s="1194"/>
      <c r="AS68" s="1195"/>
      <c r="AT68" s="1056" t="s">
        <v>438</v>
      </c>
      <c r="AU68" s="1057"/>
      <c r="AV68" s="1192"/>
      <c r="AW68" s="1058"/>
      <c r="AX68" s="1129" t="s">
        <v>439</v>
      </c>
      <c r="AY68" s="1141" t="s">
        <v>440</v>
      </c>
      <c r="AZ68" s="1141" t="s">
        <v>441</v>
      </c>
      <c r="BC68" s="489"/>
      <c r="BZ68" s="1213" t="e">
        <f>IF(YEAR(EXPEDIENTE!$I$29)&gt;=$BZ$20+3,$BZ$20+3,"")</f>
        <v>#VALUE!</v>
      </c>
      <c r="CA68" s="1222" t="s">
        <v>432</v>
      </c>
      <c r="CB68" s="1225" t="s">
        <v>433</v>
      </c>
      <c r="CC68" s="1225" t="s">
        <v>198</v>
      </c>
      <c r="CD68" s="1228" t="s">
        <v>434</v>
      </c>
      <c r="CF68" s="1161" t="s">
        <v>435</v>
      </c>
      <c r="CG68" s="1164" t="s">
        <v>200</v>
      </c>
      <c r="CH68" s="1167" t="s">
        <v>206</v>
      </c>
      <c r="CI68" s="1170" t="s">
        <v>436</v>
      </c>
      <c r="CJ68" s="1062" t="s">
        <v>460</v>
      </c>
      <c r="CK68" s="1063"/>
      <c r="CL68" s="1064"/>
      <c r="CM68" s="1062" t="s">
        <v>438</v>
      </c>
      <c r="CN68" s="1063"/>
      <c r="CO68" s="1178"/>
      <c r="CP68" s="1064"/>
      <c r="CQ68" s="1211" t="s">
        <v>439</v>
      </c>
      <c r="CR68" s="1090" t="s">
        <v>440</v>
      </c>
      <c r="CS68" s="1090" t="s">
        <v>441</v>
      </c>
      <c r="CV68" s="489"/>
      <c r="DS68" s="470"/>
      <c r="DT68" s="1097" t="s">
        <v>283</v>
      </c>
      <c r="DU68" s="1083" t="s">
        <v>438</v>
      </c>
      <c r="DV68" s="1083"/>
      <c r="DW68" s="1083"/>
      <c r="DX68" s="1100" t="s">
        <v>333</v>
      </c>
      <c r="DY68" s="1100" t="s">
        <v>442</v>
      </c>
      <c r="DZ68" s="1084" t="s">
        <v>443</v>
      </c>
      <c r="EA68" s="1087" t="s">
        <v>441</v>
      </c>
      <c r="EC68" s="14">
        <v>49</v>
      </c>
      <c r="ED68" s="482">
        <f t="shared" si="102"/>
        <v>47119</v>
      </c>
      <c r="EE68" s="482">
        <f t="shared" si="103"/>
        <v>47149</v>
      </c>
      <c r="EF68" s="14" t="str">
        <f>IF(AND(EE68&gt;=EXPEDIENTE!$F$25,ED68&lt;=EXPEDIENTE!$F$29),"SI","NO")</f>
        <v>SI</v>
      </c>
      <c r="EG68" s="11">
        <f t="shared" si="174"/>
        <v>0</v>
      </c>
      <c r="EH68" s="11">
        <f t="shared" si="175"/>
        <v>0</v>
      </c>
      <c r="EI68" s="11">
        <f t="shared" si="176"/>
        <v>0</v>
      </c>
      <c r="EJ68" s="11">
        <f t="shared" si="177"/>
        <v>0</v>
      </c>
      <c r="EK68" s="11">
        <f t="shared" si="178"/>
        <v>0</v>
      </c>
      <c r="EL68" s="11">
        <f t="shared" si="179"/>
        <v>0</v>
      </c>
      <c r="EM68" s="11">
        <f t="shared" si="180"/>
        <v>0</v>
      </c>
      <c r="EN68" s="11">
        <f t="shared" si="181"/>
        <v>0</v>
      </c>
      <c r="EO68" s="11">
        <f t="shared" si="182"/>
        <v>0</v>
      </c>
      <c r="EP68" s="11">
        <f t="shared" si="183"/>
        <v>0</v>
      </c>
      <c r="EQ68" s="11">
        <f t="shared" si="184"/>
        <v>0</v>
      </c>
      <c r="ER68" s="11">
        <f t="shared" si="185"/>
        <v>0</v>
      </c>
      <c r="ES68" s="11">
        <f t="shared" si="186"/>
        <v>0</v>
      </c>
      <c r="ET68" s="11">
        <f t="shared" si="187"/>
        <v>0</v>
      </c>
      <c r="EU68" s="11">
        <f t="shared" si="188"/>
        <v>0</v>
      </c>
      <c r="EV68" s="11">
        <f t="shared" si="189"/>
        <v>0</v>
      </c>
      <c r="EW68" s="11">
        <f t="shared" si="190"/>
        <v>0</v>
      </c>
      <c r="EX68" s="11">
        <f t="shared" si="191"/>
        <v>0</v>
      </c>
      <c r="EY68" s="11">
        <f t="shared" si="192"/>
        <v>0</v>
      </c>
      <c r="EZ68" s="11">
        <f t="shared" si="193"/>
        <v>0</v>
      </c>
      <c r="FA68" s="11">
        <f t="shared" si="194"/>
        <v>0</v>
      </c>
      <c r="FB68" s="11">
        <f t="shared" si="195"/>
        <v>0</v>
      </c>
      <c r="FC68" s="11">
        <f t="shared" si="196"/>
        <v>0</v>
      </c>
      <c r="FD68" s="11">
        <f t="shared" si="197"/>
        <v>0</v>
      </c>
      <c r="FE68" s="11">
        <f t="shared" si="198"/>
        <v>0</v>
      </c>
      <c r="FF68" s="11">
        <f t="shared" si="199"/>
        <v>0</v>
      </c>
      <c r="FG68" s="11">
        <f t="shared" si="200"/>
        <v>0</v>
      </c>
      <c r="FH68" s="11">
        <f t="shared" si="201"/>
        <v>0</v>
      </c>
      <c r="FI68" s="11">
        <f t="shared" si="202"/>
        <v>0</v>
      </c>
      <c r="FJ68" s="11">
        <f t="shared" si="203"/>
        <v>0</v>
      </c>
      <c r="FK68" s="11">
        <f t="shared" si="204"/>
        <v>0</v>
      </c>
      <c r="FL68" s="11">
        <f t="shared" si="205"/>
        <v>0</v>
      </c>
      <c r="FM68" s="11">
        <f t="shared" si="65"/>
        <v>0</v>
      </c>
      <c r="FO68" s="81"/>
      <c r="FP68" s="543"/>
      <c r="FQ68" s="543"/>
      <c r="FR68" s="544"/>
      <c r="FS68" s="544"/>
      <c r="FU68" s="544"/>
      <c r="FW68" s="470"/>
      <c r="FX68" s="1097" t="s">
        <v>283</v>
      </c>
      <c r="FY68" s="1083" t="s">
        <v>438</v>
      </c>
      <c r="FZ68" s="1083"/>
      <c r="GA68" s="1083"/>
      <c r="GB68" s="1100" t="s">
        <v>333</v>
      </c>
      <c r="GC68" s="1100" t="s">
        <v>442</v>
      </c>
      <c r="GD68" s="1084" t="s">
        <v>443</v>
      </c>
      <c r="GE68" s="1087" t="s">
        <v>441</v>
      </c>
      <c r="GG68" s="14">
        <v>49</v>
      </c>
      <c r="GH68" s="482">
        <f t="shared" si="104"/>
        <v>47119</v>
      </c>
      <c r="GI68" s="482">
        <f t="shared" si="105"/>
        <v>47149</v>
      </c>
      <c r="GJ68" s="14" t="str">
        <f>IF(AND(GI68&gt;=EXPEDIENTE!$F$25,GH68&lt;=EXPEDIENTE!$F$29),"SI","NO")</f>
        <v>SI</v>
      </c>
      <c r="GK68" s="11">
        <f t="shared" si="66"/>
        <v>0</v>
      </c>
      <c r="GL68" s="11">
        <f t="shared" si="67"/>
        <v>0</v>
      </c>
      <c r="GM68" s="11">
        <f t="shared" si="68"/>
        <v>0</v>
      </c>
      <c r="GN68" s="11">
        <f t="shared" si="69"/>
        <v>0</v>
      </c>
      <c r="GO68" s="11">
        <f t="shared" si="70"/>
        <v>0</v>
      </c>
      <c r="GP68" s="11">
        <f t="shared" si="71"/>
        <v>0</v>
      </c>
      <c r="GQ68" s="11">
        <f t="shared" si="72"/>
        <v>0</v>
      </c>
      <c r="GR68" s="11">
        <f t="shared" si="73"/>
        <v>0</v>
      </c>
      <c r="GS68" s="11">
        <f t="shared" si="74"/>
        <v>0</v>
      </c>
      <c r="GT68" s="11">
        <f t="shared" si="75"/>
        <v>0</v>
      </c>
      <c r="GU68" s="11">
        <f t="shared" si="76"/>
        <v>0</v>
      </c>
      <c r="GV68" s="11">
        <f t="shared" si="77"/>
        <v>0</v>
      </c>
      <c r="GW68" s="11">
        <f t="shared" si="78"/>
        <v>0</v>
      </c>
      <c r="GX68" s="11">
        <f t="shared" si="79"/>
        <v>0</v>
      </c>
      <c r="GY68" s="11">
        <f t="shared" si="80"/>
        <v>0</v>
      </c>
      <c r="GZ68" s="11">
        <f t="shared" si="81"/>
        <v>0</v>
      </c>
      <c r="HA68" s="11">
        <f t="shared" si="82"/>
        <v>0</v>
      </c>
      <c r="HB68" s="11">
        <f t="shared" si="83"/>
        <v>0</v>
      </c>
      <c r="HC68" s="11">
        <f t="shared" si="84"/>
        <v>0</v>
      </c>
      <c r="HD68" s="11">
        <f t="shared" si="85"/>
        <v>0</v>
      </c>
      <c r="HE68" s="11">
        <f t="shared" si="86"/>
        <v>0</v>
      </c>
      <c r="HF68" s="11">
        <f t="shared" si="87"/>
        <v>0</v>
      </c>
      <c r="HG68" s="11">
        <f t="shared" si="88"/>
        <v>0</v>
      </c>
      <c r="HH68" s="11">
        <f t="shared" si="89"/>
        <v>0</v>
      </c>
      <c r="HI68" s="11">
        <f t="shared" si="90"/>
        <v>0</v>
      </c>
      <c r="HJ68" s="11">
        <f t="shared" si="91"/>
        <v>0</v>
      </c>
      <c r="HK68" s="11">
        <f t="shared" si="92"/>
        <v>0</v>
      </c>
      <c r="HL68" s="11">
        <f t="shared" si="93"/>
        <v>0</v>
      </c>
      <c r="HM68" s="11">
        <f t="shared" si="94"/>
        <v>0</v>
      </c>
      <c r="HN68" s="11">
        <f t="shared" si="95"/>
        <v>0</v>
      </c>
      <c r="HO68" s="11">
        <f t="shared" si="96"/>
        <v>0</v>
      </c>
      <c r="HP68" s="11">
        <f t="shared" si="97"/>
        <v>0</v>
      </c>
      <c r="HQ68" s="11">
        <f t="shared" si="98"/>
        <v>0</v>
      </c>
      <c r="HT68" s="81"/>
      <c r="HU68" s="543"/>
      <c r="HV68" s="543"/>
      <c r="HW68" s="544"/>
      <c r="HX68" s="544"/>
      <c r="HZ68" s="544"/>
      <c r="JF68" s="480">
        <v>64</v>
      </c>
      <c r="JG68" s="474">
        <f t="shared" si="101"/>
        <v>24</v>
      </c>
    </row>
    <row r="69" spans="3:267" ht="15" customHeight="1" thickBot="1" x14ac:dyDescent="0.35">
      <c r="C69" s="8">
        <v>63</v>
      </c>
      <c r="D69" s="12"/>
      <c r="E69" s="17"/>
      <c r="F69" s="18"/>
      <c r="G69" s="19"/>
      <c r="H69" s="19"/>
      <c r="I69" s="19"/>
      <c r="J69" s="12"/>
      <c r="K69" s="14">
        <f t="shared" si="43"/>
        <v>76</v>
      </c>
      <c r="L69" s="14">
        <f t="shared" si="44"/>
        <v>76</v>
      </c>
      <c r="M69" s="14" t="str">
        <f t="shared" si="45"/>
        <v>X</v>
      </c>
      <c r="AG69" s="1115"/>
      <c r="AH69" s="1203"/>
      <c r="AI69" s="1206"/>
      <c r="AJ69" s="1206"/>
      <c r="AK69" s="1209"/>
      <c r="AM69" s="1185"/>
      <c r="AN69" s="1188"/>
      <c r="AO69" s="1125"/>
      <c r="AP69" s="1197"/>
      <c r="AQ69" s="1185" t="s">
        <v>444</v>
      </c>
      <c r="AR69" s="1188" t="s">
        <v>445</v>
      </c>
      <c r="AS69" s="1127" t="s">
        <v>446</v>
      </c>
      <c r="AT69" s="1123" t="s">
        <v>285</v>
      </c>
      <c r="AU69" s="1125" t="s">
        <v>286</v>
      </c>
      <c r="AV69" s="1126" t="s">
        <v>447</v>
      </c>
      <c r="AW69" s="1127" t="s">
        <v>448</v>
      </c>
      <c r="AX69" s="1130"/>
      <c r="AY69" s="1142"/>
      <c r="AZ69" s="1142"/>
      <c r="BC69" s="1114" t="e">
        <f>AG68</f>
        <v>#VALUE!</v>
      </c>
      <c r="BD69" s="1103" t="e">
        <f>CONCATENATE("P.P. OTRAS NÓMINAS ABONADAS EN ",BC69)</f>
        <v>#VALUE!</v>
      </c>
      <c r="BE69" s="1104"/>
      <c r="BF69" s="1104"/>
      <c r="BG69" s="1104"/>
      <c r="BH69" s="1104"/>
      <c r="BI69" s="1104"/>
      <c r="BJ69" s="1104"/>
      <c r="BK69" s="1104"/>
      <c r="BL69" s="1105"/>
      <c r="BX69" s="1114" t="s">
        <v>382</v>
      </c>
      <c r="BZ69" s="1214"/>
      <c r="CA69" s="1223"/>
      <c r="CB69" s="1226"/>
      <c r="CC69" s="1226"/>
      <c r="CD69" s="1229"/>
      <c r="CF69" s="1162"/>
      <c r="CG69" s="1165"/>
      <c r="CH69" s="1168"/>
      <c r="CI69" s="1171"/>
      <c r="CJ69" s="1162" t="s">
        <v>444</v>
      </c>
      <c r="CK69" s="1165" t="s">
        <v>445</v>
      </c>
      <c r="CL69" s="1181" t="s">
        <v>446</v>
      </c>
      <c r="CM69" s="1179" t="s">
        <v>285</v>
      </c>
      <c r="CN69" s="1168" t="s">
        <v>286</v>
      </c>
      <c r="CO69" s="1093" t="s">
        <v>447</v>
      </c>
      <c r="CP69" s="1181" t="s">
        <v>448</v>
      </c>
      <c r="CQ69" s="1212"/>
      <c r="CR69" s="1091"/>
      <c r="CS69" s="1091"/>
      <c r="CV69" s="1213" t="e">
        <f>BZ68</f>
        <v>#VALUE!</v>
      </c>
      <c r="CW69" s="1147" t="e">
        <f>CONCATENATE("P.P. OTRAS NÓMINAS ABONADAS EN ",CV69)</f>
        <v>#VALUE!</v>
      </c>
      <c r="CX69" s="1148"/>
      <c r="CY69" s="1148"/>
      <c r="CZ69" s="1148"/>
      <c r="DA69" s="1148"/>
      <c r="DB69" s="1148"/>
      <c r="DC69" s="1148"/>
      <c r="DD69" s="1148"/>
      <c r="DE69" s="1149"/>
      <c r="DQ69" s="1213" t="s">
        <v>382</v>
      </c>
      <c r="DS69" s="470"/>
      <c r="DT69" s="1098"/>
      <c r="DU69" s="1081" t="s">
        <v>285</v>
      </c>
      <c r="DV69" s="1081" t="s">
        <v>286</v>
      </c>
      <c r="DW69" s="1081" t="s">
        <v>448</v>
      </c>
      <c r="DX69" s="1101"/>
      <c r="DY69" s="1101"/>
      <c r="DZ69" s="1085"/>
      <c r="EA69" s="1088"/>
      <c r="EC69" s="14">
        <v>50</v>
      </c>
      <c r="ED69" s="482">
        <f t="shared" si="102"/>
        <v>47150</v>
      </c>
      <c r="EE69" s="482">
        <f t="shared" si="103"/>
        <v>47177</v>
      </c>
      <c r="EF69" s="14" t="str">
        <f>IF(AND(EE69&gt;=EXPEDIENTE!$F$25,ED69&lt;=EXPEDIENTE!$F$29),"SI","NO")</f>
        <v>SI</v>
      </c>
      <c r="EG69" s="11">
        <f t="shared" si="174"/>
        <v>0</v>
      </c>
      <c r="EH69" s="11">
        <f t="shared" si="175"/>
        <v>0</v>
      </c>
      <c r="EI69" s="11">
        <f t="shared" si="176"/>
        <v>0</v>
      </c>
      <c r="EJ69" s="11">
        <f t="shared" si="177"/>
        <v>0</v>
      </c>
      <c r="EK69" s="11">
        <f t="shared" si="178"/>
        <v>0</v>
      </c>
      <c r="EL69" s="11">
        <f t="shared" si="179"/>
        <v>0</v>
      </c>
      <c r="EM69" s="11">
        <f t="shared" si="180"/>
        <v>0</v>
      </c>
      <c r="EN69" s="11">
        <f t="shared" si="181"/>
        <v>0</v>
      </c>
      <c r="EO69" s="11">
        <f t="shared" si="182"/>
        <v>0</v>
      </c>
      <c r="EP69" s="11">
        <f t="shared" si="183"/>
        <v>0</v>
      </c>
      <c r="EQ69" s="11">
        <f t="shared" si="184"/>
        <v>0</v>
      </c>
      <c r="ER69" s="11">
        <f t="shared" si="185"/>
        <v>0</v>
      </c>
      <c r="ES69" s="11">
        <f t="shared" si="186"/>
        <v>0</v>
      </c>
      <c r="ET69" s="11">
        <f t="shared" si="187"/>
        <v>0</v>
      </c>
      <c r="EU69" s="11">
        <f t="shared" si="188"/>
        <v>0</v>
      </c>
      <c r="EV69" s="11">
        <f t="shared" si="189"/>
        <v>0</v>
      </c>
      <c r="EW69" s="11">
        <f t="shared" si="190"/>
        <v>0</v>
      </c>
      <c r="EX69" s="11">
        <f t="shared" si="191"/>
        <v>0</v>
      </c>
      <c r="EY69" s="11">
        <f t="shared" si="192"/>
        <v>0</v>
      </c>
      <c r="EZ69" s="11">
        <f t="shared" si="193"/>
        <v>0</v>
      </c>
      <c r="FA69" s="11">
        <f t="shared" si="194"/>
        <v>0</v>
      </c>
      <c r="FB69" s="11">
        <f t="shared" si="195"/>
        <v>0</v>
      </c>
      <c r="FC69" s="11">
        <f t="shared" si="196"/>
        <v>0</v>
      </c>
      <c r="FD69" s="11">
        <f t="shared" si="197"/>
        <v>0</v>
      </c>
      <c r="FE69" s="11">
        <f t="shared" si="198"/>
        <v>0</v>
      </c>
      <c r="FF69" s="11">
        <f t="shared" si="199"/>
        <v>0</v>
      </c>
      <c r="FG69" s="11">
        <f t="shared" si="200"/>
        <v>0</v>
      </c>
      <c r="FH69" s="11">
        <f t="shared" si="201"/>
        <v>0</v>
      </c>
      <c r="FI69" s="11">
        <f t="shared" si="202"/>
        <v>0</v>
      </c>
      <c r="FJ69" s="11">
        <f t="shared" si="203"/>
        <v>0</v>
      </c>
      <c r="FK69" s="11">
        <f t="shared" si="204"/>
        <v>0</v>
      </c>
      <c r="FL69" s="11">
        <f t="shared" si="205"/>
        <v>0</v>
      </c>
      <c r="FM69" s="11">
        <f t="shared" si="65"/>
        <v>0</v>
      </c>
      <c r="FW69" s="470"/>
      <c r="FX69" s="1098"/>
      <c r="FY69" s="1081" t="s">
        <v>285</v>
      </c>
      <c r="FZ69" s="1081" t="s">
        <v>286</v>
      </c>
      <c r="GA69" s="1081" t="s">
        <v>448</v>
      </c>
      <c r="GB69" s="1101"/>
      <c r="GC69" s="1101"/>
      <c r="GD69" s="1085"/>
      <c r="GE69" s="1088"/>
      <c r="GG69" s="14">
        <v>50</v>
      </c>
      <c r="GH69" s="482">
        <f t="shared" si="104"/>
        <v>47150</v>
      </c>
      <c r="GI69" s="482">
        <f t="shared" si="105"/>
        <v>47177</v>
      </c>
      <c r="GJ69" s="14" t="str">
        <f>IF(AND(GI69&gt;=EXPEDIENTE!$F$25,GH69&lt;=EXPEDIENTE!$F$29),"SI","NO")</f>
        <v>SI</v>
      </c>
      <c r="GK69" s="11">
        <f t="shared" si="66"/>
        <v>0</v>
      </c>
      <c r="GL69" s="11">
        <f t="shared" si="67"/>
        <v>0</v>
      </c>
      <c r="GM69" s="11">
        <f t="shared" si="68"/>
        <v>0</v>
      </c>
      <c r="GN69" s="11">
        <f t="shared" si="69"/>
        <v>0</v>
      </c>
      <c r="GO69" s="11">
        <f t="shared" si="70"/>
        <v>0</v>
      </c>
      <c r="GP69" s="11">
        <f t="shared" si="71"/>
        <v>0</v>
      </c>
      <c r="GQ69" s="11">
        <f t="shared" si="72"/>
        <v>0</v>
      </c>
      <c r="GR69" s="11">
        <f t="shared" si="73"/>
        <v>0</v>
      </c>
      <c r="GS69" s="11">
        <f t="shared" si="74"/>
        <v>0</v>
      </c>
      <c r="GT69" s="11">
        <f t="shared" si="75"/>
        <v>0</v>
      </c>
      <c r="GU69" s="11">
        <f t="shared" si="76"/>
        <v>0</v>
      </c>
      <c r="GV69" s="11">
        <f t="shared" si="77"/>
        <v>0</v>
      </c>
      <c r="GW69" s="11">
        <f t="shared" si="78"/>
        <v>0</v>
      </c>
      <c r="GX69" s="11">
        <f t="shared" si="79"/>
        <v>0</v>
      </c>
      <c r="GY69" s="11">
        <f t="shared" si="80"/>
        <v>0</v>
      </c>
      <c r="GZ69" s="11">
        <f t="shared" si="81"/>
        <v>0</v>
      </c>
      <c r="HA69" s="11">
        <f t="shared" si="82"/>
        <v>0</v>
      </c>
      <c r="HB69" s="11">
        <f t="shared" si="83"/>
        <v>0</v>
      </c>
      <c r="HC69" s="11">
        <f t="shared" si="84"/>
        <v>0</v>
      </c>
      <c r="HD69" s="11">
        <f t="shared" si="85"/>
        <v>0</v>
      </c>
      <c r="HE69" s="11">
        <f t="shared" si="86"/>
        <v>0</v>
      </c>
      <c r="HF69" s="11">
        <f t="shared" si="87"/>
        <v>0</v>
      </c>
      <c r="HG69" s="11">
        <f t="shared" si="88"/>
        <v>0</v>
      </c>
      <c r="HH69" s="11">
        <f t="shared" si="89"/>
        <v>0</v>
      </c>
      <c r="HI69" s="11">
        <f t="shared" si="90"/>
        <v>0</v>
      </c>
      <c r="HJ69" s="11">
        <f t="shared" si="91"/>
        <v>0</v>
      </c>
      <c r="HK69" s="11">
        <f t="shared" si="92"/>
        <v>0</v>
      </c>
      <c r="HL69" s="11">
        <f t="shared" si="93"/>
        <v>0</v>
      </c>
      <c r="HM69" s="11">
        <f t="shared" si="94"/>
        <v>0</v>
      </c>
      <c r="HN69" s="11">
        <f t="shared" si="95"/>
        <v>0</v>
      </c>
      <c r="HO69" s="11">
        <f t="shared" si="96"/>
        <v>0</v>
      </c>
      <c r="HP69" s="11">
        <f t="shared" si="97"/>
        <v>0</v>
      </c>
      <c r="HQ69" s="11">
        <f t="shared" si="98"/>
        <v>0</v>
      </c>
      <c r="HT69" s="81"/>
      <c r="HU69" s="543"/>
      <c r="HV69" s="543"/>
      <c r="HW69" s="544"/>
      <c r="HX69" s="544"/>
      <c r="HZ69" s="544"/>
      <c r="JF69" s="485">
        <v>65</v>
      </c>
      <c r="JG69" s="474">
        <f t="shared" si="101"/>
        <v>24</v>
      </c>
    </row>
    <row r="70" spans="3:267" ht="15.75" thickBot="1" x14ac:dyDescent="0.35">
      <c r="C70" s="8">
        <v>64</v>
      </c>
      <c r="D70" s="12"/>
      <c r="E70" s="17"/>
      <c r="F70" s="18"/>
      <c r="G70" s="19"/>
      <c r="H70" s="19"/>
      <c r="I70" s="19"/>
      <c r="J70" s="12"/>
      <c r="K70" s="14">
        <f t="shared" si="43"/>
        <v>76</v>
      </c>
      <c r="L70" s="14">
        <f t="shared" si="44"/>
        <v>76</v>
      </c>
      <c r="M70" s="14" t="str">
        <f t="shared" si="45"/>
        <v>X</v>
      </c>
      <c r="AG70" s="1115"/>
      <c r="AH70" s="1203"/>
      <c r="AI70" s="1206"/>
      <c r="AJ70" s="1206"/>
      <c r="AK70" s="1209"/>
      <c r="AM70" s="1185"/>
      <c r="AN70" s="1188"/>
      <c r="AO70" s="1125"/>
      <c r="AP70" s="1197"/>
      <c r="AQ70" s="1185"/>
      <c r="AR70" s="1188"/>
      <c r="AS70" s="1127"/>
      <c r="AT70" s="1123"/>
      <c r="AU70" s="1125"/>
      <c r="AV70" s="1200"/>
      <c r="AW70" s="1127"/>
      <c r="AX70" s="1130"/>
      <c r="AY70" s="1142"/>
      <c r="AZ70" s="1142"/>
      <c r="BC70" s="1115"/>
      <c r="BD70" s="1106">
        <f>'GASTOS EJER. 4'!$C$38</f>
        <v>0</v>
      </c>
      <c r="BE70" s="1108">
        <f>'GASTOS EJER. 4'!$C$39</f>
        <v>0</v>
      </c>
      <c r="BF70" s="1108">
        <f>'GASTOS EJER. 4'!$C$40</f>
        <v>0</v>
      </c>
      <c r="BG70" s="1108">
        <f>'GASTOS EJER. 4'!$C$41</f>
        <v>0</v>
      </c>
      <c r="BH70" s="1108">
        <f>'GASTOS EJER. 4'!$C$42</f>
        <v>0</v>
      </c>
      <c r="BI70" s="1108">
        <f>'GASTOS EJER. 4'!$C$43</f>
        <v>0</v>
      </c>
      <c r="BJ70" s="1108">
        <f>'GASTOS EJER. 4'!$C$44</f>
        <v>0</v>
      </c>
      <c r="BK70" s="1136">
        <f>'GASTOS EJER. 4'!$C$45</f>
        <v>0</v>
      </c>
      <c r="BL70" s="1131" t="s">
        <v>382</v>
      </c>
      <c r="BX70" s="1115"/>
      <c r="BZ70" s="1214"/>
      <c r="CA70" s="1223"/>
      <c r="CB70" s="1226"/>
      <c r="CC70" s="1226"/>
      <c r="CD70" s="1229"/>
      <c r="CF70" s="1162"/>
      <c r="CG70" s="1165"/>
      <c r="CH70" s="1168"/>
      <c r="CI70" s="1171"/>
      <c r="CJ70" s="1162"/>
      <c r="CK70" s="1165"/>
      <c r="CL70" s="1181"/>
      <c r="CM70" s="1179"/>
      <c r="CN70" s="1168"/>
      <c r="CO70" s="1094"/>
      <c r="CP70" s="1181"/>
      <c r="CQ70" s="1212"/>
      <c r="CR70" s="1091"/>
      <c r="CS70" s="1091"/>
      <c r="CV70" s="1214"/>
      <c r="CW70" s="1155">
        <f>'GASTOS EJER. 4'!$C$38</f>
        <v>0</v>
      </c>
      <c r="CX70" s="1157">
        <f>'GASTOS EJER. 4'!$C$39</f>
        <v>0</v>
      </c>
      <c r="CY70" s="1157">
        <f>'GASTOS EJER. 4'!$C$40</f>
        <v>0</v>
      </c>
      <c r="CZ70" s="1157">
        <f>'GASTOS EJER. 4'!$C$41</f>
        <v>0</v>
      </c>
      <c r="DA70" s="1157">
        <f>'GASTOS EJER. 4'!$C$42</f>
        <v>0</v>
      </c>
      <c r="DB70" s="1157">
        <f>'GASTOS EJER. 4'!$C$43</f>
        <v>0</v>
      </c>
      <c r="DC70" s="1157">
        <f>'GASTOS EJER. 4'!$C$44</f>
        <v>0</v>
      </c>
      <c r="DD70" s="1173">
        <f>'GASTOS EJER. 4'!$C$45</f>
        <v>0</v>
      </c>
      <c r="DE70" s="1159" t="s">
        <v>382</v>
      </c>
      <c r="DQ70" s="1214"/>
      <c r="DS70" s="470"/>
      <c r="DT70" s="1099"/>
      <c r="DU70" s="1082"/>
      <c r="DV70" s="1082"/>
      <c r="DW70" s="1082"/>
      <c r="DX70" s="1102"/>
      <c r="DY70" s="1102"/>
      <c r="DZ70" s="1086"/>
      <c r="EA70" s="1089"/>
      <c r="ED70" s="6"/>
      <c r="EE70" s="6"/>
      <c r="EF70" s="6"/>
      <c r="FO70" s="493" t="e">
        <f>BC69</f>
        <v>#VALUE!</v>
      </c>
      <c r="FP70" s="494" t="s">
        <v>91</v>
      </c>
      <c r="FQ70" s="495" t="s">
        <v>450</v>
      </c>
      <c r="FR70" s="495" t="s">
        <v>332</v>
      </c>
      <c r="FS70" s="495" t="s">
        <v>451</v>
      </c>
      <c r="FT70" s="495" t="s">
        <v>452</v>
      </c>
      <c r="FU70" s="496" t="s">
        <v>382</v>
      </c>
      <c r="FW70" s="470"/>
      <c r="FX70" s="1099"/>
      <c r="FY70" s="1082"/>
      <c r="FZ70" s="1082"/>
      <c r="GA70" s="1082"/>
      <c r="GB70" s="1102"/>
      <c r="GC70" s="1102"/>
      <c r="GD70" s="1086"/>
      <c r="GE70" s="1089"/>
      <c r="GH70" s="6"/>
      <c r="GI70" s="6"/>
      <c r="GJ70" s="6"/>
      <c r="HT70" s="497" t="e">
        <f>BZ68</f>
        <v>#VALUE!</v>
      </c>
      <c r="HU70" s="494" t="s">
        <v>91</v>
      </c>
      <c r="HV70" s="495" t="s">
        <v>450</v>
      </c>
      <c r="HW70" s="495" t="s">
        <v>332</v>
      </c>
      <c r="HX70" s="495" t="s">
        <v>451</v>
      </c>
      <c r="HY70" s="495" t="s">
        <v>452</v>
      </c>
      <c r="HZ70" s="496" t="s">
        <v>382</v>
      </c>
      <c r="JF70" s="477">
        <v>66</v>
      </c>
      <c r="JG70" s="474">
        <f t="shared" si="101"/>
        <v>26</v>
      </c>
    </row>
    <row r="71" spans="3:267" ht="15.75" thickBot="1" x14ac:dyDescent="0.35">
      <c r="C71" s="8">
        <v>65</v>
      </c>
      <c r="D71" s="12"/>
      <c r="E71" s="17"/>
      <c r="F71" s="18"/>
      <c r="G71" s="19"/>
      <c r="H71" s="19"/>
      <c r="I71" s="19"/>
      <c r="J71" s="12"/>
      <c r="K71" s="14">
        <f t="shared" si="43"/>
        <v>76</v>
      </c>
      <c r="L71" s="14">
        <f t="shared" si="44"/>
        <v>76</v>
      </c>
      <c r="M71" s="14" t="str">
        <f t="shared" si="45"/>
        <v>X</v>
      </c>
      <c r="AG71" s="1116"/>
      <c r="AH71" s="1204"/>
      <c r="AI71" s="1207"/>
      <c r="AJ71" s="1207"/>
      <c r="AK71" s="1210"/>
      <c r="AM71" s="1186"/>
      <c r="AN71" s="1189"/>
      <c r="AO71" s="1191"/>
      <c r="AP71" s="1198"/>
      <c r="AQ71" s="1186"/>
      <c r="AR71" s="1189"/>
      <c r="AS71" s="1199"/>
      <c r="AT71" s="1124"/>
      <c r="AU71" s="1126"/>
      <c r="AV71" s="1201"/>
      <c r="AW71" s="1128"/>
      <c r="AX71" s="467" t="e">
        <f>AG68</f>
        <v>#VALUE!</v>
      </c>
      <c r="AY71" s="1143"/>
      <c r="AZ71" s="1143"/>
      <c r="BC71" s="1116"/>
      <c r="BD71" s="1107"/>
      <c r="BE71" s="1109"/>
      <c r="BF71" s="1109"/>
      <c r="BG71" s="1109"/>
      <c r="BH71" s="1109"/>
      <c r="BI71" s="1109"/>
      <c r="BJ71" s="1109"/>
      <c r="BK71" s="1137"/>
      <c r="BL71" s="1132"/>
      <c r="BX71" s="592" t="e">
        <f>AG68</f>
        <v>#VALUE!</v>
      </c>
      <c r="BZ71" s="1218"/>
      <c r="CA71" s="1224"/>
      <c r="CB71" s="1227"/>
      <c r="CC71" s="1227"/>
      <c r="CD71" s="1230"/>
      <c r="CF71" s="1163"/>
      <c r="CG71" s="1166"/>
      <c r="CH71" s="1169"/>
      <c r="CI71" s="1172"/>
      <c r="CJ71" s="1163"/>
      <c r="CK71" s="1166"/>
      <c r="CL71" s="1183"/>
      <c r="CM71" s="1180"/>
      <c r="CN71" s="1093"/>
      <c r="CO71" s="1095"/>
      <c r="CP71" s="1182"/>
      <c r="CQ71" s="575" t="e">
        <f>BZ68</f>
        <v>#VALUE!</v>
      </c>
      <c r="CR71" s="1092"/>
      <c r="CS71" s="1092"/>
      <c r="CV71" s="1218"/>
      <c r="CW71" s="1156"/>
      <c r="CX71" s="1158"/>
      <c r="CY71" s="1158"/>
      <c r="CZ71" s="1158"/>
      <c r="DA71" s="1158"/>
      <c r="DB71" s="1158"/>
      <c r="DC71" s="1158"/>
      <c r="DD71" s="1174"/>
      <c r="DE71" s="1160"/>
      <c r="DQ71" s="614" t="e">
        <f>BZ68</f>
        <v>#VALUE!</v>
      </c>
      <c r="DS71" s="498">
        <v>25</v>
      </c>
      <c r="DT71" s="510">
        <f>'GASTOS EJER. 4'!$C38</f>
        <v>0</v>
      </c>
      <c r="DU71" s="507" t="str">
        <f t="shared" ref="DU71:DV78" si="334">AT72</f>
        <v/>
      </c>
      <c r="DV71" s="507" t="str">
        <f t="shared" si="334"/>
        <v/>
      </c>
      <c r="DW71" s="511">
        <f t="shared" ref="DW71:DW78" si="335">AW72</f>
        <v>0</v>
      </c>
      <c r="DX71" s="512">
        <f>'GASTOS EJER. 4'!X38</f>
        <v>0</v>
      </c>
      <c r="DY71" s="503" t="str">
        <f>IF(DX71=0,"",'GASTOS EJER. 4'!AA38)</f>
        <v/>
      </c>
      <c r="DZ71" s="503" t="str">
        <f t="shared" ref="DZ71:DZ78" si="336">IF(DY55="","",EOMONTH(DATE(YEAR(DY55),MONTH(DY55)+1,1),0))</f>
        <v/>
      </c>
      <c r="EA71" s="501" t="e">
        <f>IF(AND(DZ71&gt;=EXPEDIENTE!$F$25,DZ71&lt;=EXPEDIENTE!$F$29),ROUNDDOWN(DX71/DW71,2),0)</f>
        <v>#DIV/0!</v>
      </c>
      <c r="FO71" s="85">
        <v>1</v>
      </c>
      <c r="FP71" s="513">
        <f>DATE(YEAR(EXPEDIENTE!$F$25)+3,FO71,1)</f>
        <v>46753</v>
      </c>
      <c r="FQ71" s="513" t="str">
        <f>IF('GASTOS EJER. 4'!I52="","",'GASTOS EJER. 4'!I52)</f>
        <v/>
      </c>
      <c r="FR71" s="514">
        <f>'GASTOS EJER. 4'!X20</f>
        <v>0</v>
      </c>
      <c r="FS71" s="514">
        <f>'GASTOS EJER. 4'!H52</f>
        <v>0</v>
      </c>
      <c r="FT71" s="483">
        <f>VLOOKUP(FP71,$ED$7:$FM$69,36,FALSE)</f>
        <v>0</v>
      </c>
      <c r="FU71" s="514">
        <f t="shared" ref="FU71:FU82" si="337">SUM(FR71:FT71)</f>
        <v>0</v>
      </c>
      <c r="FW71" s="498">
        <v>25</v>
      </c>
      <c r="FX71" s="510">
        <f>'GASTOS EJER. 4'!$C38</f>
        <v>0</v>
      </c>
      <c r="FY71" s="507" t="str">
        <f t="shared" ref="FY71:FZ78" si="338">CM72</f>
        <v/>
      </c>
      <c r="FZ71" s="507" t="str">
        <f t="shared" si="338"/>
        <v/>
      </c>
      <c r="GA71" s="511">
        <f t="shared" ref="GA71:GA78" si="339">CP72</f>
        <v>0</v>
      </c>
      <c r="GB71" s="512">
        <f>'GASTOS EJER. 4'!CM38</f>
        <v>0</v>
      </c>
      <c r="GC71" s="503" t="str">
        <f>IF(GB71=0,"",'GASTOS EJER. 4'!CT38)</f>
        <v/>
      </c>
      <c r="GD71" s="503" t="str">
        <f t="shared" ref="GD71:GD78" si="340">IF(GC55="","",EOMONTH(DATE(YEAR(GC55),MONTH(GC55)+1,1),0))</f>
        <v/>
      </c>
      <c r="GE71" s="501" t="e">
        <f>IF(AND(GD71&gt;=EXPEDIENTE!$F$25,GD71&lt;=EXPEDIENTE!$F$29),ROUNDDOWN(GB71/GA71,2),0)</f>
        <v>#DIV/0!</v>
      </c>
      <c r="HT71" s="85">
        <v>1</v>
      </c>
      <c r="HU71" s="513">
        <f>DATE(YEAR(EXPEDIENTE!$F$25)+3,HT71,1)</f>
        <v>46753</v>
      </c>
      <c r="HV71" s="513" t="str">
        <f>IF('GASTOS EJER. 4'!BF52="","",'GASTOS EJER. 4'!BF52)</f>
        <v/>
      </c>
      <c r="HW71" s="514">
        <f>'GASTOS EJER. 4'!CM20</f>
        <v>0</v>
      </c>
      <c r="HX71" s="514">
        <f>'GASTOS EJER. 4'!BA52</f>
        <v>0</v>
      </c>
      <c r="HY71" s="483">
        <f>VLOOKUP(HU71,$GH$7:$HQ$69,36,FALSE)</f>
        <v>0</v>
      </c>
      <c r="HZ71" s="514">
        <f t="shared" ref="HZ71:HZ82" si="341">SUM(HW71:HY71)</f>
        <v>0</v>
      </c>
      <c r="JF71" s="480">
        <v>67</v>
      </c>
      <c r="JG71" s="474">
        <f t="shared" si="101"/>
        <v>26</v>
      </c>
    </row>
    <row r="72" spans="3:267" x14ac:dyDescent="0.3">
      <c r="C72" s="8">
        <v>66</v>
      </c>
      <c r="D72" s="12"/>
      <c r="E72" s="17"/>
      <c r="F72" s="18"/>
      <c r="G72" s="19"/>
      <c r="H72" s="19"/>
      <c r="I72" s="19"/>
      <c r="J72" s="12"/>
      <c r="K72" s="14">
        <f t="shared" ref="K72:K81" si="342">IF(J72="",76,C72)</f>
        <v>76</v>
      </c>
      <c r="L72" s="14">
        <f t="shared" ref="L72:L81" si="343">IF(K72&lt;&gt;76,C72,76)</f>
        <v>76</v>
      </c>
      <c r="M72" s="14" t="str">
        <f t="shared" ref="M72:M81" si="344">IFERROR(VLOOKUP(SMALL($L$7:$L$81,C72),$C$7:$D$81,2,FALSE),"X")</f>
        <v>X</v>
      </c>
      <c r="AG72" s="583">
        <v>25</v>
      </c>
      <c r="AH72" s="512">
        <f>'GASTOS EJER. 4'!M38</f>
        <v>0</v>
      </c>
      <c r="AI72" s="512">
        <f>'GASTOS EJER. 4'!X38</f>
        <v>0</v>
      </c>
      <c r="AJ72" s="589">
        <f>'GASTOS EJER. 4'!Y38</f>
        <v>0</v>
      </c>
      <c r="AK72" s="501">
        <f>AH72-AI72</f>
        <v>0</v>
      </c>
      <c r="AM72" s="502">
        <f>'GASTOS EJER. 4'!F38+'GASTOS EJER. 4'!L38-'GASTOS EJER. 4'!X38-'GASTOS EJER. 4'!Y38</f>
        <v>0</v>
      </c>
      <c r="AN72" s="503" t="str">
        <f>IF('GASTOS EJER. 4'!AA38="","",'GASTOS EJER. 4'!AA38)</f>
        <v/>
      </c>
      <c r="AO72" s="500">
        <f>'GASTOS EJER. 4'!Y38</f>
        <v>0</v>
      </c>
      <c r="AP72" s="504" t="str">
        <f>IF('GASTOS EJER. 4'!AB38="","",'GASTOS EJER. 4'!AB38)</f>
        <v/>
      </c>
      <c r="AQ72" s="505">
        <f>IF(AND(AN72&gt;=EXPEDIENTE!$I$25,AN72&lt;=EXPEDIENTE!$I$29),AM72,0)</f>
        <v>0</v>
      </c>
      <c r="AR72" s="481">
        <f>IF(AND(AP72&gt;=EXPEDIENTE!$I$25,AP72&lt;=EXPEDIENTE!$I$29),AO72,0)</f>
        <v>0</v>
      </c>
      <c r="AS72" s="501">
        <f>AQ72+AR72</f>
        <v>0</v>
      </c>
      <c r="AT72" s="506" t="str">
        <f>IF('GASTOS EJER. 4'!D38="","",'GASTOS EJER. 4'!D38)</f>
        <v/>
      </c>
      <c r="AU72" s="507" t="str">
        <f>IF('GASTOS EJER. 4'!E38="","",'GASTOS EJER. 4'!E38)</f>
        <v/>
      </c>
      <c r="AV72" s="593">
        <f>IF(OR(AT72="",AU72=""),0,DAYS360(AT72,AU72,TRUE)+1)</f>
        <v>0</v>
      </c>
      <c r="AW72" s="508">
        <f>IF(OR(AT72="",AU72=""),0,DATEDIF(AT72,AU72,"M")+1)</f>
        <v>0</v>
      </c>
      <c r="AX72" s="16">
        <f t="shared" ref="AX72:AX79" si="345">IF(OR(AT72="",AU72=""),0,IF(YEAR(AT72)&lt;$AX$23,DATEDIF(DATE($AX$23,1,1),AU72,"M")+1,AW72))</f>
        <v>0</v>
      </c>
      <c r="AY72" s="603">
        <f>IF(OR(AT72="",AU72=""),0,ROUNDDOWN(AS72/AV72,2))</f>
        <v>0</v>
      </c>
      <c r="AZ72" s="606">
        <f>IF(OR(AT72="",AU72=""),0,ROUND(AS72/AW72,2))</f>
        <v>0</v>
      </c>
      <c r="BB72" s="596">
        <v>1</v>
      </c>
      <c r="BC72" s="597" t="e">
        <f t="shared" ref="BC72:BC83" si="346">IF($BC$69="","",DATE($BC$69,BB72,1))</f>
        <v>#VALUE!</v>
      </c>
      <c r="BD72" s="600">
        <f>IF($AH$72="",0,IF($BD$70=0,0,IF(EOMONTH($BC72,0)&lt;$AT$72,0,IF($AU$72&lt;$BC72,0,IF(AND($AT$72&lt;=$BC72,$AU$72&gt;= EOMONTH($BC72,0)),ROUND(30*$AY$72,2),IF(AND($BC72&lt;=$AT$72, EOMONTH($BC72,0)&gt;$AT$72, EOMONTH($BC72,0)&lt;=$AU$72),ROUND($AY$72*DAYS360($AT$72, EOMONTH($BC72,0),TRUE),2),IF(AND($BC72&gt;=$AT$72,$BC72&lt;=$AU$72, EOMONTH($BC72,0)&gt;$AU$72),ROUND($AY$72*(DAYS360($BC72,$AU$72,TRUE)+1),2))))))))</f>
        <v>0</v>
      </c>
      <c r="BE72" s="640">
        <f>IF($AH$73="",0,IF($BE$70=0,0,IF(EOMONTH($BC72,0)&lt;$AT$73,0,IF($AU$73&lt;$BC72,0,IF(AND($AT$73&lt;=$BC72,$AU$73&gt;= EOMONTH($BC72,0)),ROUND(30*$AY$73,2),IF(AND($BC72&lt;=$AT$73, EOMONTH($BC72,0)&gt;$AT$73, EOMONTH($BC72,0)&lt;=$AU$73),ROUND($AY$73*DAYS360($AT$73, EOMONTH($BC72,0),TRUE),2),IF(AND($BC72&gt;=$AT$73,$BC72&lt;=$AU$73, EOMONTH($BC72,0)&gt;$AU$73),ROUND($AY$73*(DAYS360($BC72,$AU$73,TRUE)+1),2))))))))</f>
        <v>0</v>
      </c>
      <c r="BF72" s="640">
        <f>IF($AH$74="",0,IF($BF$70=0,0,IF(EOMONTH($BC72,0)&lt;$AT$74,0,IF($AU$74&lt;$BC72,0,IF(AND($AT$74&lt;=$BC72,$AU$74&gt;= EOMONTH($BC72,0)),ROUND(30*$AY$74,2),IF(AND($BC72&lt;=$AT$74, EOMONTH($BC72,0)&gt;$AT$74, EOMONTH($BC72,0)&lt;=$AU$74),ROUND($AY$74*DAYS360($AT$74, EOMONTH($BC72,0),TRUE),2),IF(AND($BC72&gt;=$AT$74,$BC72&lt;=$AU$74, EOMONTH($BC72,0)&gt;$AU$74),ROUND($AY$74*(DAYS360($BC72,$AU$74,TRUE)+1),2))))))))</f>
        <v>0</v>
      </c>
      <c r="BG72" s="640">
        <f>IF($AH$75="",0,IF($BG$70=0,0,IF(EOMONTH($BC72,0)&lt;$AT$75,0,IF($AU$75&lt;$BC72,0,IF(AND($AT$75&lt;=$BC72,$AU$75&gt;= EOMONTH($BC72,0)),ROUND(30*$AY$75,2),IF(AND($BC72&lt;=$AT$75, EOMONTH($BC72,0)&gt;$AT$75, EOMONTH($BC72,0)&lt;=$AU$75),ROUND($AY$75*DAYS360($AT$75, EOMONTH($BC72,0),TRUE),2),IF(AND($BC72&gt;=$AT$75,$BC72&lt;=$AU$75, EOMONTH($BC72,0)&gt;$AU$75),ROUND($AY$75*(DAYS360($BC72,$AU$75,TRUE)+1),2))))))))</f>
        <v>0</v>
      </c>
      <c r="BH72" s="640">
        <f>IF($AH$76="",0,IF($BH$70=0,0,IF(EOMONTH($BC72,0)&lt;$AT$76,0,IF($AU$76&lt;$BC72,0,IF(AND($AT$76&lt;=$BC72,$AU$76&gt;= EOMONTH($BC72,0)),ROUND(30*$AY$76,2),IF(AND($BC72&lt;=$AT$76, EOMONTH($BC72,0)&gt;$AT$76, EOMONTH($BC72,0)&lt;=$AU$76),ROUND($AY$76*DAYS360($AT$76, EOMONTH($BC72,0),TRUE),2),IF(AND($BC72&gt;=$AT$76,$BC72&lt;=$AU$76, EOMONTH($BC72,0)&gt;$AU$76),ROUND($AY$76*(DAYS360($BC72,$AU$76,TRUE)+1),2))))))))</f>
        <v>0</v>
      </c>
      <c r="BI72" s="640">
        <f>IF($AH$77="",0,IF($BI$70=0,0,IF(EOMONTH($BC72,0)&lt;$AT$77,0,IF($AU$77&lt;$BC72,0,IF(AND($AT$77&lt;=$BC72,$AU$77&gt;= EOMONTH($BC72,0)),ROUND(30*$AY$77,2),IF(AND($BC72&lt;=$AT$77, EOMONTH($BC72,0)&gt;$AT$77, EOMONTH($BC72,0)&lt;=$AU$77),ROUND($AY$77*DAYS360($AT$77, EOMONTH($BC72,0),TRUE),2),IF(AND($BC72&gt;=$AT$77,$BC72&lt;=$AU$77, EOMONTH($BC72,0)&gt;$AU$77),ROUND($AY$77*(DAYS360($BC72,$AU$77,TRUE)+1),2))))))))</f>
        <v>0</v>
      </c>
      <c r="BJ72" s="640">
        <f>IF($AH$78="",0,IF($BJ$70=0,0,IF(EOMONTH($BC72,0)&lt;$AT$78,0,IF($AU$78&lt;$BC72,0,IF(AND($AT$78&lt;=$BC72,$AU$78&gt;= EOMONTH($BC72,0)),ROUND(30*$AY$78,2),IF(AND($BC72&lt;=$AT$78, EOMONTH($BC72,0)&gt;$AT$78, EOMONTH($BC72,0)&lt;=$AU$78),ROUND($AY$78*DAYS360($AT$78, EOMONTH($BC72,0),TRUE),2),IF(AND($BC72&gt;=$AT$78,$BC72&lt;=$AU$78, EOMONTH($BC72,0)&gt;$AU$78),ROUND($AY$78*(DAYS360($BC72,$AU$78,TRUE)+1),2))))))))</f>
        <v>0</v>
      </c>
      <c r="BK72" s="641">
        <f>IF($AH$79="",0,IF($BK$70=0,0,IF(EOMONTH($BC72,0)&lt;$AT$79,0,IF($AU$79&lt;$BC72,0,IF(AND($AT$79&lt;=$BC72,$AU$79&gt;= EOMONTH($BC72,0)),ROUND(30*$AY$79,2),IF(AND($BC72&lt;=$AT$79, EOMONTH($BC72,0)&gt;$AT$79, EOMONTH($BC72,0)&lt;=$AU$79),ROUND($AY$79*DAYS360($AT$79, EOMONTH($BC72,0),TRUE),2),IF(AND($BC72&gt;=$AT$79,$BC72&lt;=$AU$79, EOMONTH($BC72,0)&gt;$AU$79),ROUND($AY$79*(DAYS360($BC72,$AU$79,TRUE)+1),2))))))))</f>
        <v>0</v>
      </c>
      <c r="BL72" s="642">
        <f t="shared" ref="BL72:BL83" si="347">SUM(BD72:BK72)</f>
        <v>0</v>
      </c>
      <c r="BX72" s="653">
        <f>BL72</f>
        <v>0</v>
      </c>
      <c r="BZ72" s="615">
        <v>25</v>
      </c>
      <c r="CA72" s="512">
        <f>'GASTOS EJER. 4'!BN38</f>
        <v>0</v>
      </c>
      <c r="CB72" s="512">
        <f>'GASTOS EJER. 4'!CM38</f>
        <v>0</v>
      </c>
      <c r="CC72" s="589">
        <f>'GASTOS EJER. 4'!CP38</f>
        <v>0</v>
      </c>
      <c r="CD72" s="501">
        <f>CA72-CB72</f>
        <v>0</v>
      </c>
      <c r="CF72" s="502">
        <f>'GASTOS EJER. 4'!AW38+'GASTOS EJER. 4'!BM38-'GASTOS EJER. 4'!CM38-'GASTOS EJER. 4'!CP38</f>
        <v>0</v>
      </c>
      <c r="CG72" s="503" t="str">
        <f>IF('GASTOS EJER. 4'!CT38="","",'GASTOS EJER. 4'!CT38)</f>
        <v/>
      </c>
      <c r="CH72" s="500">
        <f>'GASTOS EJER. 4'!CP38</f>
        <v>0</v>
      </c>
      <c r="CI72" s="504" t="str">
        <f>IF('GASTOS EJER. 4'!CW38="","",'GASTOS EJER. 4'!CW38)</f>
        <v/>
      </c>
      <c r="CJ72" s="505">
        <f>IF(AND(CG72&gt;=EXPEDIENTE!$I$25,CG72&lt;=EXPEDIENTE!$I$29),CF72,0)</f>
        <v>0</v>
      </c>
      <c r="CK72" s="481">
        <f>IF(AND(CI72&gt;=EXPEDIENTE!$I$25,CI72&lt;=EXPEDIENTE!$I$29),CH72,0)</f>
        <v>0</v>
      </c>
      <c r="CL72" s="501">
        <f>CJ72+CK72</f>
        <v>0</v>
      </c>
      <c r="CM72" s="506" t="str">
        <f>IF('GASTOS EJER. 4'!AQ38="","",'GASTOS EJER. 4'!AQ38)</f>
        <v/>
      </c>
      <c r="CN72" s="507" t="str">
        <f>IF('GASTOS EJER. 4'!AT38="","",'GASTOS EJER. 4'!AT38)</f>
        <v/>
      </c>
      <c r="CO72" s="593">
        <f>IF(OR(CM72="",CN72=""),0,DAYS360(CM72,CN72,TRUE)+1)</f>
        <v>0</v>
      </c>
      <c r="CP72" s="508">
        <f>IF(OR(CM72="",CN72=""),0,DATEDIF(CM72,CN72,"M")+1)</f>
        <v>0</v>
      </c>
      <c r="CQ72" s="16">
        <f t="shared" ref="CQ72:CQ79" si="348">IF(OR(CM72="",CN72=""),0,IF(YEAR(CM72)&lt;$AX$23,DATEDIF(DATE($AX$23,1,1),CN72,"M")+1,CP72))</f>
        <v>0</v>
      </c>
      <c r="CR72" s="603">
        <f>IF(OR(CM72="",CN72=""),0,ROUNDDOWN(CL72/CO72,2))</f>
        <v>0</v>
      </c>
      <c r="CS72" s="509">
        <f>IF(OR(CM72="",CN72=""),0,ROUND(CL72/CP72,2))</f>
        <v>0</v>
      </c>
      <c r="CU72" s="620">
        <v>1</v>
      </c>
      <c r="CV72" s="597" t="e">
        <f t="shared" ref="CV72:CV83" si="349">IF($BC$69="","",DATE($BC$69,CU72,1))</f>
        <v>#VALUE!</v>
      </c>
      <c r="CW72" s="600">
        <f>IF($CA$72="",0,IF($CW$70=0,0,IF(EOMONTH($CV72,0)&lt;$CM$72,0,IF($CN$72&lt;$CV72,0,IF(AND($CM$72&lt;=$CV72,$CN$72&gt;= EOMONTH($CV72,0)),ROUND(30*$CR$72,2),IF(AND($CV72&lt;=$CM$72, EOMONTH($CV72,0)&gt;$CM$72, EOMONTH($CV72,0)&lt;=$CN$72),ROUND($CR$72*DAYS360($CM$72, EOMONTH($CV72,0),TRUE),2),IF(AND($CV72&gt;=$CM$72,$CV72&lt;=$CN$72, EOMONTH($CV72,0)&gt;$CN$72),ROUND($CR$72*(DAYS360($CV72,$CN$72,TRUE)+1),2))))))))</f>
        <v>0</v>
      </c>
      <c r="CX72" s="640">
        <f>IF($CA$73="",0,IF($CX$70=0,0,IF(EOMONTH($CV72,0)&lt;$CM$73,0,IF($CN$73&lt;$CV72,0,IF(AND($CM$73&lt;=$CV72,$CN$73&gt;= EOMONTH($CV72,0)),ROUND(30*$CR$73,2),IF(AND($CV72&lt;=$CM$73, EOMONTH($CV72,0)&gt;$CM$73, EOMONTH($CV72,0)&lt;=$CN$73),ROUND($CR$73*DAYS360($CM$73, EOMONTH($CV72,0),TRUE),2),IF(AND($CV72&gt;=$CM$73,$CV72&lt;=$CN$73, EOMONTH($CV72,0)&gt;$CN$73),ROUND($CR$73*(DAYS360($CV72,$CN$73,TRUE)+1),2))))))))</f>
        <v>0</v>
      </c>
      <c r="CY72" s="640">
        <f t="shared" ref="CY72:CY83" si="350">IF($CA$74="",0,IF($CY$70=0,0,IF(EOMONTH($CV72,0)&lt;$CM$74,0,IF($CN$74&lt;$CV72,0,IF(AND($CM$74&lt;=$CV72,$CN$74&gt;= EOMONTH($CV72,0)),ROUND(30*$CR$74,2),IF(AND($CV72&lt;=$CM$74, EOMONTH($CV72,0)&gt;$CM$74, EOMONTH($CV72,0)&lt;=$CN$74),ROUND($CR$74*DAYS360($CM$74, EOMONTH($CV72,0),TRUE),2),IF(AND($CV72&gt;=$CM$74,$CV72&lt;=$CN$74, EOMONTH($CV72,0)&gt;$CN$74),ROUND($CR$74*(DAYS360($CV72,$CN$74,TRUE)+1),2))))))))</f>
        <v>0</v>
      </c>
      <c r="CZ72" s="640">
        <f>IF($CA$75="",0,IF($CZ$70=0,0,IF(EOMONTH($CV72,0)&lt;$CM$75,0,IF($CN$75&lt;$CV72,0,IF(AND($CM$75&lt;=$CV72,$CN$75&gt;= EOMONTH($CV72,0)),ROUND(30*$CR$75,2),IF(AND($CV72&lt;=$CM$75, EOMONTH($CV72,0)&gt;$CM$75, EOMONTH($CV72,0)&lt;=$CN$75),ROUND($CR$75*DAYS360($CM$75, EOMONTH($CV72,0),TRUE),2),IF(AND($CV72&gt;=$CM$75,$CV72&lt;=$CN$75, EOMONTH($CV72,0)&gt;$CN$75),ROUND($CR$75*(DAYS360($CV72,$CN$75,TRUE)+1),2))))))))</f>
        <v>0</v>
      </c>
      <c r="DA72" s="640">
        <f>IF($CA$76="",0,IF($DA$70=0,0,IF(EOMONTH($CV72,0)&lt;$CM$76,0,IF($CN$76&lt;$CV72,0,IF(AND($CM$76&lt;=$CV72,$CN$76&gt;= EOMONTH($CV72,0)),ROUND(30*$CR$76,2),IF(AND($CV72&lt;=$CM$76, EOMONTH($CV72,0)&gt;$CM$76, EOMONTH($CV72,0)&lt;=$CN$76),ROUND($CR$76*DAYS360($CM$76, EOMONTH($CV72,0),TRUE),2),IF(AND($CV72&gt;=$CM$76,$CV72&lt;=$CN$76, EOMONTH($CV72,0)&gt;$CN$76),ROUND($CR$76*(DAYS360($CV72,$CN$76,TRUE)+1),2))))))))</f>
        <v>0</v>
      </c>
      <c r="DB72" s="640">
        <f>IF($CA$77="",0,IF($DB$70=0,0,IF(EOMONTH($CV72,0)&lt;$CM$77,0,IF($CN$77&lt;$CV72,0,IF(AND($CM$77&lt;=$CV72,$CN$77&gt;= EOMONTH($CV72,0)),ROUND(30*$CR$77,2),IF(AND($CV72&lt;=$CM$77, EOMONTH($CV72,0)&gt;$CM$77, EOMONTH($CV72,0)&lt;=$CN$77),ROUND($CR$77*DAYS360($CM$77, EOMONTH($CV72,0),TRUE),2),IF(AND($CV72&gt;=$CM$77,$CV72&lt;=$CN$77, EOMONTH($CV72,0)&gt;$CN$77),ROUND($CR$77*(DAYS360($CV72,$CN$77,TRUE)+1),2))))))))</f>
        <v>0</v>
      </c>
      <c r="DC72" s="640">
        <f>IF($CA$78="",0,IF($DC$70=0,0,IF(EOMONTH($CV72,0)&lt;$CM$78,0,IF($CN$78&lt;$CV72,0,IF(AND($CM$78&lt;=$CV72,$CN$78&gt;= EOMONTH($CV72,0)),ROUND(30*$CR$78,2),IF(AND($CV72&lt;=$CM$78, EOMONTH($CV72,0)&gt;$CM$78, EOMONTH($CV72,0)&lt;=$CN$78),ROUND($CR$78*DAYS360($CM$78, EOMONTH($CV72,0),TRUE),2),IF(AND($CV72&gt;=$CM$78,$CV72&lt;=$CN$78, EOMONTH($CV72,0)&gt;$CN$78),ROUND($CR$78*(DAYS360($CV72,$CN$78,TRUE)+1),2))))))))</f>
        <v>0</v>
      </c>
      <c r="DD72" s="641">
        <f>IF($CA$79="",0,IF($DD$70=0,0,IF(EOMONTH($CV72,0)&lt;$CM$79,0,IF($CN$79&lt;$CV72,0,IF(AND($CM$79&lt;=$CV72,$CN$79&gt;= EOMONTH($CV72,0)),ROUND(30*$CR$79,2),IF(AND($CV72&lt;=$CM$79, EOMONTH($CV72,0)&gt;$CM$79, EOMONTH($CV72,0)&lt;=$CN$79),ROUND($CR$79*DAYS360($CM$79, EOMONTH($CV72,0),TRUE),2),IF(AND($CV72&gt;=$CM$79,$CV72&lt;=$CN$79, EOMONTH($CV72,0)&gt;$CN$79),ROUND($CR$79*(DAYS360($CV72,$CN$79,TRUE)+1),2))))))))</f>
        <v>0</v>
      </c>
      <c r="DE72" s="642">
        <f t="shared" ref="DE72:DE80" si="351">SUM(CW72:DD72)</f>
        <v>0</v>
      </c>
      <c r="DQ72" s="653">
        <f>DE72</f>
        <v>0</v>
      </c>
      <c r="DS72" s="515">
        <v>26</v>
      </c>
      <c r="DT72" s="526">
        <f>'GASTOS EJER. 4'!$C39</f>
        <v>0</v>
      </c>
      <c r="DU72" s="524" t="str">
        <f t="shared" si="334"/>
        <v/>
      </c>
      <c r="DV72" s="524" t="str">
        <f t="shared" si="334"/>
        <v/>
      </c>
      <c r="DW72" s="14">
        <f t="shared" si="335"/>
        <v>0</v>
      </c>
      <c r="DX72" s="527">
        <f>'GASTOS EJER. 4'!X39</f>
        <v>0</v>
      </c>
      <c r="DY72" s="520" t="str">
        <f>IF(DX72=0,"",'GASTOS EJER. 4'!AA39)</f>
        <v/>
      </c>
      <c r="DZ72" s="520" t="str">
        <f t="shared" si="336"/>
        <v/>
      </c>
      <c r="EA72" s="518" t="e">
        <f>IF(AND(DZ72&gt;=EXPEDIENTE!$F$25,DZ72&lt;=EXPEDIENTE!$F$29),ROUNDDOWN(DX72/DW72,2),0)</f>
        <v>#DIV/0!</v>
      </c>
      <c r="FO72" s="85">
        <v>2</v>
      </c>
      <c r="FP72" s="520">
        <f>DATE(YEAR(EXPEDIENTE!$F$25)+3,FO72,1)</f>
        <v>46784</v>
      </c>
      <c r="FQ72" s="520" t="str">
        <f>IF('GASTOS EJER. 4'!I53="","",'GASTOS EJER. 4'!I53)</f>
        <v/>
      </c>
      <c r="FR72" s="527">
        <f>'GASTOS EJER. 4'!X21</f>
        <v>0</v>
      </c>
      <c r="FS72" s="527">
        <f>'GASTOS EJER. 4'!H53</f>
        <v>0</v>
      </c>
      <c r="FT72" s="11">
        <f t="shared" ref="FT72:FT82" si="352">VLOOKUP(FP72,$ED$7:$FM$69,36,FALSE)</f>
        <v>0</v>
      </c>
      <c r="FU72" s="527">
        <f t="shared" si="337"/>
        <v>0</v>
      </c>
      <c r="FW72" s="515">
        <v>26</v>
      </c>
      <c r="FX72" s="526">
        <f>'GASTOS EJER. 4'!$C39</f>
        <v>0</v>
      </c>
      <c r="FY72" s="524" t="str">
        <f t="shared" si="338"/>
        <v/>
      </c>
      <c r="FZ72" s="524" t="str">
        <f t="shared" si="338"/>
        <v/>
      </c>
      <c r="GA72" s="14">
        <f t="shared" si="339"/>
        <v>0</v>
      </c>
      <c r="GB72" s="527">
        <f>'GASTOS EJER. 4'!CM39</f>
        <v>0</v>
      </c>
      <c r="GC72" s="520" t="str">
        <f>IF(GB72=0,"",'GASTOS EJER. 4'!CT39)</f>
        <v/>
      </c>
      <c r="GD72" s="520" t="str">
        <f t="shared" si="340"/>
        <v/>
      </c>
      <c r="GE72" s="518" t="e">
        <f>IF(AND(GD72&gt;=EXPEDIENTE!$F$25,GD72&lt;=EXPEDIENTE!$F$29),ROUNDDOWN(GB72/GA72,2),0)</f>
        <v>#DIV/0!</v>
      </c>
      <c r="HT72" s="85">
        <v>2</v>
      </c>
      <c r="HU72" s="520">
        <f>DATE(YEAR(EXPEDIENTE!$F$25)+3,HT72,1)</f>
        <v>46784</v>
      </c>
      <c r="HV72" s="520" t="str">
        <f>IF('GASTOS EJER. 4'!BF53="","",'GASTOS EJER. 4'!BF53)</f>
        <v/>
      </c>
      <c r="HW72" s="527">
        <f>'GASTOS EJER. 4'!CM21</f>
        <v>0</v>
      </c>
      <c r="HX72" s="527">
        <f>'GASTOS EJER. 4'!BA53</f>
        <v>0</v>
      </c>
      <c r="HY72" s="11">
        <f t="shared" ref="HY72:HY82" si="353">VLOOKUP(HU72,$GH$7:$HQ$69,36,FALSE)</f>
        <v>0</v>
      </c>
      <c r="HZ72" s="527">
        <f t="shared" si="341"/>
        <v>0</v>
      </c>
      <c r="JF72" s="480">
        <v>68</v>
      </c>
      <c r="JG72" s="474">
        <f t="shared" si="101"/>
        <v>26</v>
      </c>
    </row>
    <row r="73" spans="3:267" x14ac:dyDescent="0.3">
      <c r="C73" s="8">
        <v>67</v>
      </c>
      <c r="D73" s="12"/>
      <c r="E73" s="17"/>
      <c r="F73" s="18"/>
      <c r="G73" s="19"/>
      <c r="H73" s="19"/>
      <c r="I73" s="19"/>
      <c r="J73" s="12"/>
      <c r="K73" s="14">
        <f t="shared" si="342"/>
        <v>76</v>
      </c>
      <c r="L73" s="14">
        <f t="shared" si="343"/>
        <v>76</v>
      </c>
      <c r="M73" s="14" t="str">
        <f t="shared" si="344"/>
        <v>X</v>
      </c>
      <c r="AG73" s="584">
        <v>26</v>
      </c>
      <c r="AH73" s="527">
        <f>'GASTOS EJER. 4'!M39</f>
        <v>0</v>
      </c>
      <c r="AI73" s="527">
        <f>'GASTOS EJER. 4'!X39</f>
        <v>0</v>
      </c>
      <c r="AJ73" s="590">
        <f>'GASTOS EJER. 4'!Y39</f>
        <v>0</v>
      </c>
      <c r="AK73" s="518">
        <f t="shared" ref="AK73:AK79" si="354">AH73-AI73</f>
        <v>0</v>
      </c>
      <c r="AM73" s="519">
        <f>'GASTOS EJER. 4'!F39+'GASTOS EJER. 4'!L39-'GASTOS EJER. 4'!X39-'GASTOS EJER. 4'!Y39</f>
        <v>0</v>
      </c>
      <c r="AN73" s="520" t="str">
        <f>IF('GASTOS EJER. 4'!AA39="","",'GASTOS EJER. 4'!AA39)</f>
        <v/>
      </c>
      <c r="AO73" s="517">
        <f>'GASTOS EJER. 4'!Y39</f>
        <v>0</v>
      </c>
      <c r="AP73" s="521" t="str">
        <f>IF('GASTOS EJER. 4'!AB39="","",'GASTOS EJER. 4'!AB39)</f>
        <v/>
      </c>
      <c r="AQ73" s="522">
        <f>IF(AND(AN73&gt;=EXPEDIENTE!$I$25,AN73&lt;=EXPEDIENTE!$I$29),AM73,0)</f>
        <v>0</v>
      </c>
      <c r="AR73" s="11">
        <f>IF(AND(AP73&gt;=EXPEDIENTE!$I$25,AP73&lt;=EXPEDIENTE!$I$29),AO73,0)</f>
        <v>0</v>
      </c>
      <c r="AS73" s="518">
        <f t="shared" ref="AS73:AS79" si="355">AQ73+AR73</f>
        <v>0</v>
      </c>
      <c r="AT73" s="523" t="str">
        <f>IF('GASTOS EJER. 4'!D39="","",'GASTOS EJER. 4'!D39)</f>
        <v/>
      </c>
      <c r="AU73" s="524" t="str">
        <f>IF('GASTOS EJER. 4'!E39="","",'GASTOS EJER. 4'!E39)</f>
        <v/>
      </c>
      <c r="AV73" s="594">
        <f t="shared" ref="AV73:AV79" si="356">IF(OR(AT73="",AU73=""),0,DAYS360(AT73,AU73,TRUE)+1)</f>
        <v>0</v>
      </c>
      <c r="AW73" s="525">
        <f t="shared" ref="AW73:AW79" si="357">IF(OR(AT73="",AU73=""),0,DATEDIF(AT73,AU73,"M")+1)</f>
        <v>0</v>
      </c>
      <c r="AX73" s="24">
        <f t="shared" si="345"/>
        <v>0</v>
      </c>
      <c r="AY73" s="604">
        <f t="shared" ref="AY73:AY79" si="358">IF(OR(AT73="",AU73=""),0,ROUNDDOWN(AS73/AV73,2))</f>
        <v>0</v>
      </c>
      <c r="AZ73" s="607">
        <f t="shared" ref="AZ73:AZ79" si="359">IF(OR(AT73="",AU73=""),0,ROUND(AS73/AW73,2))</f>
        <v>0</v>
      </c>
      <c r="BB73" s="596">
        <v>2</v>
      </c>
      <c r="BC73" s="598" t="e">
        <f t="shared" si="346"/>
        <v>#VALUE!</v>
      </c>
      <c r="BD73" s="601">
        <f t="shared" ref="BD73:BD83" si="360">IF($AH$72="",0,IF($BD$70=0,0,IF(EOMONTH($BC73,0)&lt;$AT$72,0,IF($AU$72&lt;$BC73,0,IF(AND($AT$72&lt;=$BC73,$AU$72&gt;= EOMONTH($BC73,0)),ROUND(30*$AY$72,2),IF(AND($BC73&lt;=$AT$72, EOMONTH($BC73,0)&gt;$AT$72, EOMONTH($BC73,0)&lt;=$AU$72),ROUND($AY$72*DAYS360($AT$72, EOMONTH($BC73,0),TRUE),2),IF(AND($BC73&gt;=$AT$72,$BC73&lt;=$AU$72, EOMONTH($BC73,0)&gt;$AU$72),ROUND($AY$72*(DAYS360($BC73,$AU$72,TRUE)+1),2))))))))</f>
        <v>0</v>
      </c>
      <c r="BE73" s="643">
        <f t="shared" ref="BE73:BE83" si="361">IF($AH$73="",0,IF($BE$70=0,0,IF(EOMONTH($BC73,0)&lt;$AT$73,0,IF($AU$73&lt;$BC73,0,IF(AND($AT$73&lt;=$BC73,$AU$73&gt;= EOMONTH($BC73,0)),ROUND(30*$AY$73,2),IF(AND($BC73&lt;=$AT$73, EOMONTH($BC73,0)&gt;$AT$73, EOMONTH($BC73,0)&lt;=$AU$73),ROUND($AY$73*DAYS360($AT$73, EOMONTH($BC73,0),TRUE),2),IF(AND($BC73&gt;=$AT$73,$BC73&lt;=$AU$73, EOMONTH($BC73,0)&gt;$AU$73),ROUND($AY$73*(DAYS360($BC73,$AU$73,TRUE)+1),2))))))))</f>
        <v>0</v>
      </c>
      <c r="BF73" s="643">
        <f t="shared" ref="BF73:BF83" si="362">IF($AH$74="",0,IF($BF$70=0,0,IF(EOMONTH($BC73,0)&lt;$AT$74,0,IF($AU$74&lt;$BC73,0,IF(AND($AT$74&lt;=$BC73,$AU$74&gt;= EOMONTH($BC73,0)),ROUND(30*$AY$74,2),IF(AND($BC73&lt;=$AT$74, EOMONTH($BC73,0)&gt;$AT$74, EOMONTH($BC73,0)&lt;=$AU$74),ROUND($AY$74*DAYS360($AT$74, EOMONTH($BC73,0),TRUE),2),IF(AND($BC73&gt;=$AT$74,$BC73&lt;=$AU$74, EOMONTH($BC73,0)&gt;$AU$74),ROUND($AY$74*(DAYS360($BC73,$AU$74,TRUE)+1),2))))))))</f>
        <v>0</v>
      </c>
      <c r="BG73" s="643">
        <f t="shared" ref="BG73:BG83" si="363">IF($AH$75="",0,IF($BG$70=0,0,IF(EOMONTH($BC73,0)&lt;$AT$75,0,IF($AU$75&lt;$BC73,0,IF(AND($AT$75&lt;=$BC73,$AU$75&gt;= EOMONTH($BC73,0)),ROUND(30*$AY$75,2),IF(AND($BC73&lt;=$AT$75, EOMONTH($BC73,0)&gt;$AT$75, EOMONTH($BC73,0)&lt;=$AU$75),ROUND($AY$75*DAYS360($AT$75, EOMONTH($BC73,0),TRUE),2),IF(AND($BC73&gt;=$AT$75,$BC73&lt;=$AU$75, EOMONTH($BC73,0)&gt;$AU$75),ROUND($AY$75*(DAYS360($BC73,$AU$75,TRUE)+1),2))))))))</f>
        <v>0</v>
      </c>
      <c r="BH73" s="643">
        <f t="shared" ref="BH73:BH83" si="364">IF($AH$76="",0,IF($BH$70=0,0,IF(EOMONTH($BC73,0)&lt;$AT$76,0,IF($AU$76&lt;$BC73,0,IF(AND($AT$76&lt;=$BC73,$AU$76&gt;= EOMONTH($BC73,0)),ROUND(30*$AY$76,2),IF(AND($BC73&lt;=$AT$76, EOMONTH($BC73,0)&gt;$AT$76, EOMONTH($BC73,0)&lt;=$AU$76),ROUND($AY$76*DAYS360($AT$76, EOMONTH($BC73,0),TRUE),2),IF(AND($BC73&gt;=$AT$76,$BC73&lt;=$AU$76, EOMONTH($BC73,0)&gt;$AU$76),ROUND($AY$76*(DAYS360($BC73,$AU$76,TRUE)+1),2))))))))</f>
        <v>0</v>
      </c>
      <c r="BI73" s="643">
        <f t="shared" ref="BI73:BI83" si="365">IF($AH$77="",0,IF($BI$70=0,0,IF(EOMONTH($BC73,0)&lt;$AT$77,0,IF($AU$77&lt;$BC73,0,IF(AND($AT$77&lt;=$BC73,$AU$77&gt;= EOMONTH($BC73,0)),ROUND(30*$AY$77,2),IF(AND($BC73&lt;=$AT$77, EOMONTH($BC73,0)&gt;$AT$77, EOMONTH($BC73,0)&lt;=$AU$77),ROUND($AY$77*DAYS360($AT$77, EOMONTH($BC73,0),TRUE),2),IF(AND($BC73&gt;=$AT$77,$BC73&lt;=$AU$77, EOMONTH($BC73,0)&gt;$AU$77),ROUND($AY$77*(DAYS360($BC73,$AU$77,TRUE)+1),2))))))))</f>
        <v>0</v>
      </c>
      <c r="BJ73" s="643">
        <f t="shared" ref="BJ73:BJ83" si="366">IF($AH$78="",0,IF($BJ$70=0,0,IF(EOMONTH($BC73,0)&lt;$AT$78,0,IF($AU$78&lt;$BC73,0,IF(AND($AT$78&lt;=$BC73,$AU$78&gt;= EOMONTH($BC73,0)),ROUND(30*$AY$78,2),IF(AND($BC73&lt;=$AT$78, EOMONTH($BC73,0)&gt;$AT$78, EOMONTH($BC73,0)&lt;=$AU$78),ROUND($AY$78*DAYS360($AT$78, EOMONTH($BC73,0),TRUE),2),IF(AND($BC73&gt;=$AT$78,$BC73&lt;=$AU$78, EOMONTH($BC73,0)&gt;$AU$78),ROUND($AY$78*(DAYS360($BC73,$AU$78,TRUE)+1),2))))))))</f>
        <v>0</v>
      </c>
      <c r="BK73" s="644">
        <f t="shared" ref="BK73:BK83" si="367">IF($AH$79="",0,IF($BK$70=0,0,IF(EOMONTH($BC73,0)&lt;$AT$79,0,IF($AU$79&lt;$BC73,0,IF(AND($AT$79&lt;=$BC73,$AU$79&gt;= EOMONTH($BC73,0)),ROUND(30*$AY$79,2),IF(AND($BC73&lt;=$AT$79, EOMONTH($BC73,0)&gt;$AT$79, EOMONTH($BC73,0)&lt;=$AU$79),ROUND($AY$79*DAYS360($AT$79, EOMONTH($BC73,0),TRUE),2),IF(AND($BC73&gt;=$AT$79,$BC73&lt;=$AU$79, EOMONTH($BC73,0)&gt;$AU$79),ROUND($AY$79*(DAYS360($BC73,$AU$79,TRUE)+1),2))))))))</f>
        <v>0</v>
      </c>
      <c r="BL73" s="645">
        <f t="shared" si="347"/>
        <v>0</v>
      </c>
      <c r="BX73" s="645">
        <f t="shared" ref="BX73:BX83" si="368">BL73</f>
        <v>0</v>
      </c>
      <c r="BZ73" s="616">
        <v>26</v>
      </c>
      <c r="CA73" s="527">
        <f>'GASTOS EJER. 4'!BN39</f>
        <v>0</v>
      </c>
      <c r="CB73" s="527">
        <f>'GASTOS EJER. 4'!CM39</f>
        <v>0</v>
      </c>
      <c r="CC73" s="590">
        <f>'GASTOS EJER. 4'!CP39</f>
        <v>0</v>
      </c>
      <c r="CD73" s="518">
        <f t="shared" ref="CD73:CD79" si="369">CA73-CB73</f>
        <v>0</v>
      </c>
      <c r="CF73" s="519">
        <f>'GASTOS EJER. 4'!AW39+'GASTOS EJER. 4'!BM39-'GASTOS EJER. 4'!CM39-'GASTOS EJER. 4'!CP39</f>
        <v>0</v>
      </c>
      <c r="CG73" s="520" t="str">
        <f>IF('GASTOS EJER. 4'!CT39="","",'GASTOS EJER. 4'!CT39)</f>
        <v/>
      </c>
      <c r="CH73" s="517">
        <f>'GASTOS EJER. 4'!CP39</f>
        <v>0</v>
      </c>
      <c r="CI73" s="521" t="str">
        <f>IF('GASTOS EJER. 4'!CW39="","",'GASTOS EJER. 4'!CW39)</f>
        <v/>
      </c>
      <c r="CJ73" s="522">
        <f>IF(AND(CG73&gt;=EXPEDIENTE!$I$25,CG73&lt;=EXPEDIENTE!$I$29),CF73,0)</f>
        <v>0</v>
      </c>
      <c r="CK73" s="11">
        <f>IF(AND(CI73&gt;=EXPEDIENTE!$I$25,CI73&lt;=EXPEDIENTE!$I$29),CH73,0)</f>
        <v>0</v>
      </c>
      <c r="CL73" s="518">
        <f t="shared" ref="CL73:CL79" si="370">CJ73+CK73</f>
        <v>0</v>
      </c>
      <c r="CM73" s="523" t="str">
        <f>IF('GASTOS EJER. 4'!AQ39="","",'GASTOS EJER. 4'!AQ39)</f>
        <v/>
      </c>
      <c r="CN73" s="524" t="str">
        <f>IF('GASTOS EJER. 4'!AT39="","",'GASTOS EJER. 4'!AT39)</f>
        <v/>
      </c>
      <c r="CO73" s="594">
        <f t="shared" ref="CO73:CO79" si="371">IF(OR(CM73="",CN73=""),0,DAYS360(CM73,CN73,TRUE)+1)</f>
        <v>0</v>
      </c>
      <c r="CP73" s="525">
        <f t="shared" ref="CP73:CP79" si="372">IF(OR(CM73="",CN73=""),0,DATEDIF(CM73,CN73,"M")+1)</f>
        <v>0</v>
      </c>
      <c r="CQ73" s="24">
        <f t="shared" si="348"/>
        <v>0</v>
      </c>
      <c r="CR73" s="604">
        <f t="shared" ref="CR73:CR79" si="373">IF(OR(CM73="",CN73=""),0,ROUNDDOWN(CL73/CO73,2))</f>
        <v>0</v>
      </c>
      <c r="CS73" s="484">
        <f t="shared" ref="CS73:CS79" si="374">IF(OR(CM73="",CN73=""),0,ROUND(CL73/CP73,2))</f>
        <v>0</v>
      </c>
      <c r="CU73" s="620">
        <v>2</v>
      </c>
      <c r="CV73" s="598" t="e">
        <f t="shared" si="349"/>
        <v>#VALUE!</v>
      </c>
      <c r="CW73" s="621">
        <f t="shared" ref="CW73:CW83" si="375">IF($CA$72="",0,IF($CW$70=0,0,IF(EOMONTH($CV73,0)&lt;$CM$72,0,IF($CN$72&lt;$CV73,0,IF(AND($CM$72&lt;=$CV73,$CN$72&gt;= EOMONTH($CV73,0)),ROUND(30*$CR$72,2),IF(AND($CV73&lt;=$CM$72, EOMONTH($CV73,0)&gt;$CM$72, EOMONTH($CV73,0)&lt;=$CN$72),ROUND($CR$72*DAYS360($CM$72, EOMONTH($CV73,0),TRUE),2),IF(AND($CV73&gt;=$CM$72,$CV73&lt;=$CN$72, EOMONTH($CV73,0)&gt;$CN$72),ROUND($CR$72*(DAYS360($CV73,$CN$72,TRUE)+1),2))))))))</f>
        <v>0</v>
      </c>
      <c r="CX73" s="649">
        <f t="shared" ref="CX73:CX83" si="376">IF($CA$73="",0,IF($CX$70=0,0,IF(EOMONTH($CV73,0)&lt;$CM$73,0,IF($CN$73&lt;$CV73,0,IF(AND($CM$73&lt;=$CV73,$CN$73&gt;= EOMONTH($CV73,0)),ROUND(30*$CR$73,2),IF(AND($CV73&lt;=$CM$73, EOMONTH($CV73,0)&gt;$CM$73, EOMONTH($CV73,0)&lt;=$CN$73),ROUND($CR$73*DAYS360($CM$73, EOMONTH($CV73,0),TRUE),2),IF(AND($CV73&gt;=$CM$73,$CV73&lt;=$CN$73, EOMONTH($CV73,0)&gt;$CN$73),ROUND($CR$73*(DAYS360($CV73,$CN$73,TRUE)+1),2))))))))</f>
        <v>0</v>
      </c>
      <c r="CY73" s="649">
        <f t="shared" si="350"/>
        <v>0</v>
      </c>
      <c r="CZ73" s="649">
        <f t="shared" ref="CZ73:CZ83" si="377">IF($CA$75="",0,IF($CZ$70=0,0,IF(EOMONTH($CV73,0)&lt;$CM$75,0,IF($CN$75&lt;$CV73,0,IF(AND($CM$75&lt;=$CV73,$CN$75&gt;= EOMONTH($CV73,0)),ROUND(30*$CR$75,2),IF(AND($CV73&lt;=$CM$75, EOMONTH($CV73,0)&gt;$CM$75, EOMONTH($CV73,0)&lt;=$CN$75),ROUND($CR$75*DAYS360($CM$75, EOMONTH($CV73,0),TRUE),2),IF(AND($CV73&gt;=$CM$75,$CV73&lt;=$CN$75, EOMONTH($CV73,0)&gt;$CN$75),ROUND($CR$75*(DAYS360($CV73,$CN$75,TRUE)+1),2))))))))</f>
        <v>0</v>
      </c>
      <c r="DA73" s="649">
        <f t="shared" ref="DA73:DA83" si="378">IF($CA$76="",0,IF($DA$70=0,0,IF(EOMONTH($CV73,0)&lt;$CM$76,0,IF($CN$76&lt;$CV73,0,IF(AND($CM$76&lt;=$CV73,$CN$76&gt;= EOMONTH($CV73,0)),ROUND(30*$CR$76,2),IF(AND($CV73&lt;=$CM$76, EOMONTH($CV73,0)&gt;$CM$76, EOMONTH($CV73,0)&lt;=$CN$76),ROUND($CR$76*DAYS360($CM$76, EOMONTH($CV73,0),TRUE),2),IF(AND($CV73&gt;=$CM$76,$CV73&lt;=$CN$76, EOMONTH($CV73,0)&gt;$CN$76),ROUND($CR$76*(DAYS360($CV73,$CN$76,TRUE)+1),2))))))))</f>
        <v>0</v>
      </c>
      <c r="DB73" s="649">
        <f t="shared" ref="DB73:DB83" si="379">IF($CA$77="",0,IF($DB$70=0,0,IF(EOMONTH($CV73,0)&lt;$CM$77,0,IF($CN$77&lt;$CV73,0,IF(AND($CM$77&lt;=$CV73,$CN$77&gt;= EOMONTH($CV73,0)),ROUND(30*$CR$77,2),IF(AND($CV73&lt;=$CM$77, EOMONTH($CV73,0)&gt;$CM$77, EOMONTH($CV73,0)&lt;=$CN$77),ROUND($CR$77*DAYS360($CM$77, EOMONTH($CV73,0),TRUE),2),IF(AND($CV73&gt;=$CM$77,$CV73&lt;=$CN$77, EOMONTH($CV73,0)&gt;$CN$77),ROUND($CR$77*(DAYS360($CV73,$CN$77,TRUE)+1),2))))))))</f>
        <v>0</v>
      </c>
      <c r="DC73" s="649">
        <f t="shared" ref="DC73:DC83" si="380">IF($CA$78="",0,IF($DC$70=0,0,IF(EOMONTH($CV73,0)&lt;$CM$78,0,IF($CN$78&lt;$CV73,0,IF(AND($CM$78&lt;=$CV73,$CN$78&gt;= EOMONTH($CV73,0)),ROUND(30*$CR$78,2),IF(AND($CV73&lt;=$CM$78, EOMONTH($CV73,0)&gt;$CM$78, EOMONTH($CV73,0)&lt;=$CN$78),ROUND($CR$78*DAYS360($CM$78, EOMONTH($CV73,0),TRUE),2),IF(AND($CV73&gt;=$CM$78,$CV73&lt;=$CN$78, EOMONTH($CV73,0)&gt;$CN$78),ROUND($CR$78*(DAYS360($CV73,$CN$78,TRUE)+1),2))))))))</f>
        <v>0</v>
      </c>
      <c r="DD73" s="650">
        <f t="shared" ref="DD73:DD83" si="381">IF($CA$79="",0,IF($DD$70=0,0,IF(EOMONTH($CV73,0)&lt;$CM$79,0,IF($CN$79&lt;$CV73,0,IF(AND($CM$79&lt;=$CV73,$CN$79&gt;= EOMONTH($CV73,0)),ROUND(30*$CR$79,2),IF(AND($CV73&lt;=$CM$79, EOMONTH($CV73,0)&gt;$CM$79, EOMONTH($CV73,0)&lt;=$CN$79),ROUND($CR$79*DAYS360($CM$79, EOMONTH($CV73,0),TRUE),2),IF(AND($CV73&gt;=$CM$79,$CV73&lt;=$CN$79, EOMONTH($CV73,0)&gt;$CN$79),ROUND($CR$79*(DAYS360($CV73,$CN$79,TRUE)+1),2))))))))</f>
        <v>0</v>
      </c>
      <c r="DE73" s="645">
        <f t="shared" si="351"/>
        <v>0</v>
      </c>
      <c r="DQ73" s="645">
        <f t="shared" ref="DQ73:DQ83" si="382">DE73</f>
        <v>0</v>
      </c>
      <c r="DS73" s="515">
        <v>27</v>
      </c>
      <c r="DT73" s="526">
        <f>'GASTOS EJER. 4'!$C40</f>
        <v>0</v>
      </c>
      <c r="DU73" s="524" t="str">
        <f t="shared" si="334"/>
        <v/>
      </c>
      <c r="DV73" s="524" t="str">
        <f t="shared" si="334"/>
        <v/>
      </c>
      <c r="DW73" s="14">
        <f t="shared" si="335"/>
        <v>0</v>
      </c>
      <c r="DX73" s="527">
        <f>'GASTOS EJER. 4'!X40</f>
        <v>0</v>
      </c>
      <c r="DY73" s="520" t="str">
        <f>IF(DX73=0,"",'GASTOS EJER. 4'!AA40)</f>
        <v/>
      </c>
      <c r="DZ73" s="520" t="str">
        <f t="shared" si="336"/>
        <v/>
      </c>
      <c r="EA73" s="518" t="e">
        <f>IF(AND(DZ73&gt;=EXPEDIENTE!$F$25,DZ73&lt;=EXPEDIENTE!$F$29),ROUNDDOWN(DX73/DW73,2),0)</f>
        <v>#DIV/0!</v>
      </c>
      <c r="FO73" s="85">
        <v>3</v>
      </c>
      <c r="FP73" s="520">
        <f>DATE(YEAR(EXPEDIENTE!$F$25)+3,FO73,1)</f>
        <v>46813</v>
      </c>
      <c r="FQ73" s="520" t="str">
        <f>IF('GASTOS EJER. 4'!I54="","",'GASTOS EJER. 4'!I54)</f>
        <v/>
      </c>
      <c r="FR73" s="527">
        <f>'GASTOS EJER. 4'!X22</f>
        <v>0</v>
      </c>
      <c r="FS73" s="527">
        <f>'GASTOS EJER. 4'!H54</f>
        <v>0</v>
      </c>
      <c r="FT73" s="11">
        <f t="shared" si="352"/>
        <v>0</v>
      </c>
      <c r="FU73" s="527">
        <f t="shared" si="337"/>
        <v>0</v>
      </c>
      <c r="FW73" s="515">
        <v>27</v>
      </c>
      <c r="FX73" s="526">
        <f>'GASTOS EJER. 4'!$C40</f>
        <v>0</v>
      </c>
      <c r="FY73" s="524" t="str">
        <f t="shared" si="338"/>
        <v/>
      </c>
      <c r="FZ73" s="524" t="str">
        <f t="shared" si="338"/>
        <v/>
      </c>
      <c r="GA73" s="14">
        <f t="shared" si="339"/>
        <v>0</v>
      </c>
      <c r="GB73" s="527">
        <f>'GASTOS EJER. 4'!CM40</f>
        <v>0</v>
      </c>
      <c r="GC73" s="520" t="str">
        <f>IF(GB73=0,"",'GASTOS EJER. 4'!CT40)</f>
        <v/>
      </c>
      <c r="GD73" s="520" t="str">
        <f t="shared" si="340"/>
        <v/>
      </c>
      <c r="GE73" s="518" t="e">
        <f>IF(AND(GD73&gt;=EXPEDIENTE!$F$25,GD73&lt;=EXPEDIENTE!$F$29),ROUNDDOWN(GB73/GA73,2),0)</f>
        <v>#DIV/0!</v>
      </c>
      <c r="HT73" s="85">
        <v>3</v>
      </c>
      <c r="HU73" s="520">
        <f>DATE(YEAR(EXPEDIENTE!$F$25)+3,HT73,1)</f>
        <v>46813</v>
      </c>
      <c r="HV73" s="520" t="str">
        <f>IF('GASTOS EJER. 4'!BF54="","",'GASTOS EJER. 4'!BF54)</f>
        <v/>
      </c>
      <c r="HW73" s="527">
        <f>'GASTOS EJER. 4'!CM22</f>
        <v>0</v>
      </c>
      <c r="HX73" s="527">
        <f>'GASTOS EJER. 4'!BA54</f>
        <v>0</v>
      </c>
      <c r="HY73" s="11">
        <f t="shared" si="353"/>
        <v>0</v>
      </c>
      <c r="HZ73" s="527">
        <f t="shared" si="341"/>
        <v>0</v>
      </c>
      <c r="JF73" s="480">
        <v>69</v>
      </c>
      <c r="JG73" s="474">
        <f t="shared" si="101"/>
        <v>26</v>
      </c>
    </row>
    <row r="74" spans="3:267" x14ac:dyDescent="0.3">
      <c r="C74" s="8">
        <v>68</v>
      </c>
      <c r="D74" s="12"/>
      <c r="E74" s="17"/>
      <c r="F74" s="18"/>
      <c r="G74" s="19"/>
      <c r="H74" s="19"/>
      <c r="I74" s="19"/>
      <c r="J74" s="12"/>
      <c r="K74" s="14">
        <f t="shared" si="342"/>
        <v>76</v>
      </c>
      <c r="L74" s="14">
        <f t="shared" si="343"/>
        <v>76</v>
      </c>
      <c r="M74" s="14" t="str">
        <f t="shared" si="344"/>
        <v>X</v>
      </c>
      <c r="AG74" s="584">
        <v>27</v>
      </c>
      <c r="AH74" s="527">
        <f>'GASTOS EJER. 4'!M40</f>
        <v>0</v>
      </c>
      <c r="AI74" s="527">
        <f>'GASTOS EJER. 4'!X40</f>
        <v>0</v>
      </c>
      <c r="AJ74" s="590">
        <f>'GASTOS EJER. 4'!Y40</f>
        <v>0</v>
      </c>
      <c r="AK74" s="518">
        <f t="shared" si="354"/>
        <v>0</v>
      </c>
      <c r="AM74" s="519">
        <f>'GASTOS EJER. 4'!F40+'GASTOS EJER. 4'!L40-'GASTOS EJER. 4'!X40-'GASTOS EJER. 4'!Y40</f>
        <v>0</v>
      </c>
      <c r="AN74" s="520" t="str">
        <f>IF('GASTOS EJER. 4'!AA40="","",'GASTOS EJER. 4'!AA40)</f>
        <v/>
      </c>
      <c r="AO74" s="517">
        <f>'GASTOS EJER. 4'!Y40</f>
        <v>0</v>
      </c>
      <c r="AP74" s="521" t="str">
        <f>IF('GASTOS EJER. 4'!AB40="","",'GASTOS EJER. 4'!AB40)</f>
        <v/>
      </c>
      <c r="AQ74" s="522">
        <f>IF(AND(AN74&gt;=EXPEDIENTE!$I$25,AN74&lt;=EXPEDIENTE!$I$29),AM74,0)</f>
        <v>0</v>
      </c>
      <c r="AR74" s="11">
        <f>IF(AND(AP74&gt;=EXPEDIENTE!$I$25,AP74&lt;=EXPEDIENTE!$I$29),AO74,0)</f>
        <v>0</v>
      </c>
      <c r="AS74" s="518">
        <f t="shared" si="355"/>
        <v>0</v>
      </c>
      <c r="AT74" s="523" t="str">
        <f>IF('GASTOS EJER. 4'!D40="","",'GASTOS EJER. 4'!D40)</f>
        <v/>
      </c>
      <c r="AU74" s="524" t="str">
        <f>IF('GASTOS EJER. 4'!E40="","",'GASTOS EJER. 4'!E40)</f>
        <v/>
      </c>
      <c r="AV74" s="594">
        <f t="shared" si="356"/>
        <v>0</v>
      </c>
      <c r="AW74" s="525">
        <f t="shared" si="357"/>
        <v>0</v>
      </c>
      <c r="AX74" s="24">
        <f t="shared" si="345"/>
        <v>0</v>
      </c>
      <c r="AY74" s="604">
        <f t="shared" si="358"/>
        <v>0</v>
      </c>
      <c r="AZ74" s="607">
        <f t="shared" si="359"/>
        <v>0</v>
      </c>
      <c r="BB74" s="596">
        <v>3</v>
      </c>
      <c r="BC74" s="598" t="e">
        <f t="shared" si="346"/>
        <v>#VALUE!</v>
      </c>
      <c r="BD74" s="601">
        <f t="shared" si="360"/>
        <v>0</v>
      </c>
      <c r="BE74" s="643">
        <f t="shared" si="361"/>
        <v>0</v>
      </c>
      <c r="BF74" s="643">
        <f t="shared" si="362"/>
        <v>0</v>
      </c>
      <c r="BG74" s="643">
        <f t="shared" si="363"/>
        <v>0</v>
      </c>
      <c r="BH74" s="643">
        <f t="shared" si="364"/>
        <v>0</v>
      </c>
      <c r="BI74" s="643">
        <f t="shared" si="365"/>
        <v>0</v>
      </c>
      <c r="BJ74" s="643">
        <f t="shared" si="366"/>
        <v>0</v>
      </c>
      <c r="BK74" s="644">
        <f t="shared" si="367"/>
        <v>0</v>
      </c>
      <c r="BL74" s="645">
        <f t="shared" si="347"/>
        <v>0</v>
      </c>
      <c r="BX74" s="645">
        <f t="shared" si="368"/>
        <v>0</v>
      </c>
      <c r="BZ74" s="616">
        <v>27</v>
      </c>
      <c r="CA74" s="527">
        <f>'GASTOS EJER. 4'!BN40</f>
        <v>0</v>
      </c>
      <c r="CB74" s="527">
        <f>'GASTOS EJER. 4'!CM40</f>
        <v>0</v>
      </c>
      <c r="CC74" s="590">
        <f>'GASTOS EJER. 4'!CP40</f>
        <v>0</v>
      </c>
      <c r="CD74" s="518">
        <f t="shared" si="369"/>
        <v>0</v>
      </c>
      <c r="CF74" s="519">
        <f>'GASTOS EJER. 4'!AW40+'GASTOS EJER. 4'!BM40-'GASTOS EJER. 4'!CM40-'GASTOS EJER. 4'!CP40</f>
        <v>0</v>
      </c>
      <c r="CG74" s="520" t="str">
        <f>IF('GASTOS EJER. 4'!CT40="","",'GASTOS EJER. 4'!CT40)</f>
        <v/>
      </c>
      <c r="CH74" s="517">
        <f>'GASTOS EJER. 4'!CP40</f>
        <v>0</v>
      </c>
      <c r="CI74" s="521" t="str">
        <f>IF('GASTOS EJER. 4'!CW40="","",'GASTOS EJER. 4'!CW40)</f>
        <v/>
      </c>
      <c r="CJ74" s="522">
        <f>IF(AND(CG74&gt;=EXPEDIENTE!$I$25,CG74&lt;=EXPEDIENTE!$I$29),CF74,0)</f>
        <v>0</v>
      </c>
      <c r="CK74" s="11">
        <f>IF(AND(CI74&gt;=EXPEDIENTE!$I$25,CI74&lt;=EXPEDIENTE!$I$29),CH74,0)</f>
        <v>0</v>
      </c>
      <c r="CL74" s="518">
        <f t="shared" si="370"/>
        <v>0</v>
      </c>
      <c r="CM74" s="523" t="str">
        <f>IF('GASTOS EJER. 4'!AQ40="","",'GASTOS EJER. 4'!AQ40)</f>
        <v/>
      </c>
      <c r="CN74" s="524" t="str">
        <f>IF('GASTOS EJER. 4'!AT40="","",'GASTOS EJER. 4'!AT40)</f>
        <v/>
      </c>
      <c r="CO74" s="594">
        <f t="shared" si="371"/>
        <v>0</v>
      </c>
      <c r="CP74" s="525">
        <f t="shared" si="372"/>
        <v>0</v>
      </c>
      <c r="CQ74" s="24">
        <f t="shared" si="348"/>
        <v>0</v>
      </c>
      <c r="CR74" s="604">
        <f t="shared" si="373"/>
        <v>0</v>
      </c>
      <c r="CS74" s="484">
        <f t="shared" si="374"/>
        <v>0</v>
      </c>
      <c r="CU74" s="620">
        <v>3</v>
      </c>
      <c r="CV74" s="598" t="e">
        <f t="shared" si="349"/>
        <v>#VALUE!</v>
      </c>
      <c r="CW74" s="621">
        <f t="shared" si="375"/>
        <v>0</v>
      </c>
      <c r="CX74" s="649">
        <f t="shared" si="376"/>
        <v>0</v>
      </c>
      <c r="CY74" s="649">
        <f t="shared" si="350"/>
        <v>0</v>
      </c>
      <c r="CZ74" s="649">
        <f t="shared" si="377"/>
        <v>0</v>
      </c>
      <c r="DA74" s="649">
        <f t="shared" si="378"/>
        <v>0</v>
      </c>
      <c r="DB74" s="649">
        <f t="shared" si="379"/>
        <v>0</v>
      </c>
      <c r="DC74" s="649">
        <f t="shared" si="380"/>
        <v>0</v>
      </c>
      <c r="DD74" s="650">
        <f t="shared" si="381"/>
        <v>0</v>
      </c>
      <c r="DE74" s="645">
        <f t="shared" si="351"/>
        <v>0</v>
      </c>
      <c r="DQ74" s="645">
        <f t="shared" si="382"/>
        <v>0</v>
      </c>
      <c r="DS74" s="515">
        <v>28</v>
      </c>
      <c r="DT74" s="526">
        <f>'GASTOS EJER. 4'!$C41</f>
        <v>0</v>
      </c>
      <c r="DU74" s="524" t="str">
        <f t="shared" si="334"/>
        <v/>
      </c>
      <c r="DV74" s="524" t="str">
        <f t="shared" si="334"/>
        <v/>
      </c>
      <c r="DW74" s="14">
        <f t="shared" si="335"/>
        <v>0</v>
      </c>
      <c r="DX74" s="527">
        <f>'GASTOS EJER. 4'!X41</f>
        <v>0</v>
      </c>
      <c r="DY74" s="520" t="str">
        <f>IF(DX74=0,"",'GASTOS EJER. 4'!AA41)</f>
        <v/>
      </c>
      <c r="DZ74" s="520" t="str">
        <f t="shared" si="336"/>
        <v/>
      </c>
      <c r="EA74" s="518" t="e">
        <f>IF(AND(DZ74&gt;=EXPEDIENTE!$F$25,DZ74&lt;=EXPEDIENTE!$F$29),ROUNDDOWN(DX74/DW74,2),0)</f>
        <v>#DIV/0!</v>
      </c>
      <c r="FO74" s="85">
        <v>4</v>
      </c>
      <c r="FP74" s="520">
        <f>DATE(YEAR(EXPEDIENTE!$F$25)+3,FO74,1)</f>
        <v>46844</v>
      </c>
      <c r="FQ74" s="520" t="str">
        <f>IF('GASTOS EJER. 4'!I55="","",'GASTOS EJER. 4'!I55)</f>
        <v/>
      </c>
      <c r="FR74" s="527">
        <f>'GASTOS EJER. 4'!X23</f>
        <v>0</v>
      </c>
      <c r="FS74" s="527">
        <f>'GASTOS EJER. 4'!H55</f>
        <v>0</v>
      </c>
      <c r="FT74" s="11">
        <f t="shared" si="352"/>
        <v>0</v>
      </c>
      <c r="FU74" s="527">
        <f t="shared" si="337"/>
        <v>0</v>
      </c>
      <c r="FW74" s="515">
        <v>28</v>
      </c>
      <c r="FX74" s="526">
        <f>'GASTOS EJER. 4'!$C41</f>
        <v>0</v>
      </c>
      <c r="FY74" s="524" t="str">
        <f t="shared" si="338"/>
        <v/>
      </c>
      <c r="FZ74" s="524" t="str">
        <f t="shared" si="338"/>
        <v/>
      </c>
      <c r="GA74" s="14">
        <f t="shared" si="339"/>
        <v>0</v>
      </c>
      <c r="GB74" s="527">
        <f>'GASTOS EJER. 4'!CM41</f>
        <v>0</v>
      </c>
      <c r="GC74" s="520" t="str">
        <f>IF(GB74=0,"",'GASTOS EJER. 4'!CT41)</f>
        <v/>
      </c>
      <c r="GD74" s="520" t="str">
        <f t="shared" si="340"/>
        <v/>
      </c>
      <c r="GE74" s="518" t="e">
        <f>IF(AND(GD74&gt;=EXPEDIENTE!$F$25,GD74&lt;=EXPEDIENTE!$F$29),ROUNDDOWN(GB74/GA74,2),0)</f>
        <v>#DIV/0!</v>
      </c>
      <c r="HT74" s="85">
        <v>4</v>
      </c>
      <c r="HU74" s="520">
        <f>DATE(YEAR(EXPEDIENTE!$F$25)+3,HT74,1)</f>
        <v>46844</v>
      </c>
      <c r="HV74" s="520" t="str">
        <f>IF('GASTOS EJER. 4'!BF55="","",'GASTOS EJER. 4'!BF55)</f>
        <v/>
      </c>
      <c r="HW74" s="527">
        <f>'GASTOS EJER. 4'!CM23</f>
        <v>0</v>
      </c>
      <c r="HX74" s="527">
        <f>'GASTOS EJER. 4'!BA55</f>
        <v>0</v>
      </c>
      <c r="HY74" s="11">
        <f t="shared" si="353"/>
        <v>0</v>
      </c>
      <c r="HZ74" s="527">
        <f t="shared" si="341"/>
        <v>0</v>
      </c>
      <c r="JF74" s="485">
        <v>70</v>
      </c>
      <c r="JG74" s="474">
        <f t="shared" si="101"/>
        <v>26</v>
      </c>
    </row>
    <row r="75" spans="3:267" x14ac:dyDescent="0.3">
      <c r="C75" s="8">
        <v>69</v>
      </c>
      <c r="D75" s="12"/>
      <c r="E75" s="17"/>
      <c r="F75" s="18"/>
      <c r="G75" s="19"/>
      <c r="H75" s="19"/>
      <c r="I75" s="19"/>
      <c r="J75" s="12"/>
      <c r="K75" s="14">
        <f t="shared" si="342"/>
        <v>76</v>
      </c>
      <c r="L75" s="14">
        <f t="shared" si="343"/>
        <v>76</v>
      </c>
      <c r="M75" s="14" t="str">
        <f t="shared" si="344"/>
        <v>X</v>
      </c>
      <c r="AG75" s="584">
        <v>28</v>
      </c>
      <c r="AH75" s="527">
        <f>'GASTOS EJER. 4'!M41</f>
        <v>0</v>
      </c>
      <c r="AI75" s="527">
        <f>'GASTOS EJER. 4'!X41</f>
        <v>0</v>
      </c>
      <c r="AJ75" s="590">
        <f>'GASTOS EJER. 4'!Y41</f>
        <v>0</v>
      </c>
      <c r="AK75" s="518">
        <f t="shared" si="354"/>
        <v>0</v>
      </c>
      <c r="AM75" s="519">
        <f>'GASTOS EJER. 4'!F41+'GASTOS EJER. 4'!L41-'GASTOS EJER. 4'!X41-'GASTOS EJER. 4'!Y41</f>
        <v>0</v>
      </c>
      <c r="AN75" s="520" t="str">
        <f>IF('GASTOS EJER. 4'!AA41="","",'GASTOS EJER. 4'!AA41)</f>
        <v/>
      </c>
      <c r="AO75" s="517">
        <f>'GASTOS EJER. 4'!Y41</f>
        <v>0</v>
      </c>
      <c r="AP75" s="521" t="str">
        <f>IF('GASTOS EJER. 4'!AB41="","",'GASTOS EJER. 4'!AB41)</f>
        <v/>
      </c>
      <c r="AQ75" s="522">
        <f>IF(AND(AN75&gt;=EXPEDIENTE!$I$25,AN75&lt;=EXPEDIENTE!$I$29),AM75,0)</f>
        <v>0</v>
      </c>
      <c r="AR75" s="11">
        <f>IF(AND(AP75&gt;=EXPEDIENTE!$I$25,AP75&lt;=EXPEDIENTE!$I$29),AO75,0)</f>
        <v>0</v>
      </c>
      <c r="AS75" s="518">
        <f t="shared" si="355"/>
        <v>0</v>
      </c>
      <c r="AT75" s="523" t="str">
        <f>IF('GASTOS EJER. 4'!D41="","",'GASTOS EJER. 4'!D41)</f>
        <v/>
      </c>
      <c r="AU75" s="524" t="str">
        <f>IF('GASTOS EJER. 4'!E41="","",'GASTOS EJER. 4'!E41)</f>
        <v/>
      </c>
      <c r="AV75" s="594">
        <f t="shared" si="356"/>
        <v>0</v>
      </c>
      <c r="AW75" s="525">
        <f t="shared" si="357"/>
        <v>0</v>
      </c>
      <c r="AX75" s="24">
        <f t="shared" si="345"/>
        <v>0</v>
      </c>
      <c r="AY75" s="604">
        <f t="shared" si="358"/>
        <v>0</v>
      </c>
      <c r="AZ75" s="607">
        <f t="shared" si="359"/>
        <v>0</v>
      </c>
      <c r="BB75" s="596">
        <v>4</v>
      </c>
      <c r="BC75" s="598" t="e">
        <f t="shared" si="346"/>
        <v>#VALUE!</v>
      </c>
      <c r="BD75" s="601">
        <f t="shared" si="360"/>
        <v>0</v>
      </c>
      <c r="BE75" s="643">
        <f t="shared" si="361"/>
        <v>0</v>
      </c>
      <c r="BF75" s="643">
        <f t="shared" si="362"/>
        <v>0</v>
      </c>
      <c r="BG75" s="643">
        <f t="shared" si="363"/>
        <v>0</v>
      </c>
      <c r="BH75" s="643">
        <f t="shared" si="364"/>
        <v>0</v>
      </c>
      <c r="BI75" s="643">
        <f t="shared" si="365"/>
        <v>0</v>
      </c>
      <c r="BJ75" s="643">
        <f t="shared" si="366"/>
        <v>0</v>
      </c>
      <c r="BK75" s="644">
        <f t="shared" si="367"/>
        <v>0</v>
      </c>
      <c r="BL75" s="645">
        <f t="shared" si="347"/>
        <v>0</v>
      </c>
      <c r="BX75" s="645">
        <f t="shared" si="368"/>
        <v>0</v>
      </c>
      <c r="BZ75" s="616">
        <v>28</v>
      </c>
      <c r="CA75" s="527">
        <f>'GASTOS EJER. 4'!BN41</f>
        <v>0</v>
      </c>
      <c r="CB75" s="527">
        <f>'GASTOS EJER. 4'!CM41</f>
        <v>0</v>
      </c>
      <c r="CC75" s="590">
        <f>'GASTOS EJER. 4'!CP41</f>
        <v>0</v>
      </c>
      <c r="CD75" s="518">
        <f t="shared" si="369"/>
        <v>0</v>
      </c>
      <c r="CF75" s="519">
        <f>'GASTOS EJER. 4'!AW41+'GASTOS EJER. 4'!BM41-'GASTOS EJER. 4'!CM41-'GASTOS EJER. 4'!CP41</f>
        <v>0</v>
      </c>
      <c r="CG75" s="520" t="str">
        <f>IF('GASTOS EJER. 4'!CT41="","",'GASTOS EJER. 4'!CT41)</f>
        <v/>
      </c>
      <c r="CH75" s="517">
        <f>'GASTOS EJER. 4'!CP41</f>
        <v>0</v>
      </c>
      <c r="CI75" s="521" t="str">
        <f>IF('GASTOS EJER. 4'!CW41="","",'GASTOS EJER. 4'!CW41)</f>
        <v/>
      </c>
      <c r="CJ75" s="522">
        <f>IF(AND(CG75&gt;=EXPEDIENTE!$I$25,CG75&lt;=EXPEDIENTE!$I$29),CF75,0)</f>
        <v>0</v>
      </c>
      <c r="CK75" s="11">
        <f>IF(AND(CI75&gt;=EXPEDIENTE!$I$25,CI75&lt;=EXPEDIENTE!$I$29),CH75,0)</f>
        <v>0</v>
      </c>
      <c r="CL75" s="518">
        <f t="shared" si="370"/>
        <v>0</v>
      </c>
      <c r="CM75" s="523" t="str">
        <f>IF('GASTOS EJER. 4'!AQ41="","",'GASTOS EJER. 4'!AQ41)</f>
        <v/>
      </c>
      <c r="CN75" s="524" t="str">
        <f>IF('GASTOS EJER. 4'!AT41="","",'GASTOS EJER. 4'!AT41)</f>
        <v/>
      </c>
      <c r="CO75" s="594">
        <f t="shared" si="371"/>
        <v>0</v>
      </c>
      <c r="CP75" s="525">
        <f t="shared" si="372"/>
        <v>0</v>
      </c>
      <c r="CQ75" s="24">
        <f t="shared" si="348"/>
        <v>0</v>
      </c>
      <c r="CR75" s="604">
        <f t="shared" si="373"/>
        <v>0</v>
      </c>
      <c r="CS75" s="484">
        <f t="shared" si="374"/>
        <v>0</v>
      </c>
      <c r="CU75" s="620">
        <v>4</v>
      </c>
      <c r="CV75" s="598" t="e">
        <f t="shared" si="349"/>
        <v>#VALUE!</v>
      </c>
      <c r="CW75" s="621">
        <f t="shared" si="375"/>
        <v>0</v>
      </c>
      <c r="CX75" s="649">
        <f t="shared" si="376"/>
        <v>0</v>
      </c>
      <c r="CY75" s="649">
        <f t="shared" si="350"/>
        <v>0</v>
      </c>
      <c r="CZ75" s="649">
        <f t="shared" si="377"/>
        <v>0</v>
      </c>
      <c r="DA75" s="649">
        <f t="shared" si="378"/>
        <v>0</v>
      </c>
      <c r="DB75" s="649">
        <f t="shared" si="379"/>
        <v>0</v>
      </c>
      <c r="DC75" s="649">
        <f t="shared" si="380"/>
        <v>0</v>
      </c>
      <c r="DD75" s="650">
        <f t="shared" si="381"/>
        <v>0</v>
      </c>
      <c r="DE75" s="645">
        <f t="shared" si="351"/>
        <v>0</v>
      </c>
      <c r="DQ75" s="645">
        <f t="shared" si="382"/>
        <v>0</v>
      </c>
      <c r="DS75" s="515">
        <v>29</v>
      </c>
      <c r="DT75" s="526">
        <f>'GASTOS EJER. 4'!$C42</f>
        <v>0</v>
      </c>
      <c r="DU75" s="524" t="str">
        <f t="shared" si="334"/>
        <v/>
      </c>
      <c r="DV75" s="524" t="str">
        <f t="shared" si="334"/>
        <v/>
      </c>
      <c r="DW75" s="14">
        <f t="shared" si="335"/>
        <v>0</v>
      </c>
      <c r="DX75" s="527">
        <f>'GASTOS EJER. 4'!X42</f>
        <v>0</v>
      </c>
      <c r="DY75" s="520" t="str">
        <f>IF(DX75=0,"",'GASTOS EJER. 4'!AA42)</f>
        <v/>
      </c>
      <c r="DZ75" s="520" t="str">
        <f t="shared" si="336"/>
        <v/>
      </c>
      <c r="EA75" s="518" t="e">
        <f>IF(AND(DZ75&gt;=EXPEDIENTE!$F$25,DZ75&lt;=EXPEDIENTE!$F$29),ROUNDDOWN(DX75/DW75,2),0)</f>
        <v>#DIV/0!</v>
      </c>
      <c r="FO75" s="85">
        <v>5</v>
      </c>
      <c r="FP75" s="520">
        <f>DATE(YEAR(EXPEDIENTE!$F$25)+3,FO75,1)</f>
        <v>46874</v>
      </c>
      <c r="FQ75" s="520" t="str">
        <f>IF('GASTOS EJER. 4'!I56="","",'GASTOS EJER. 4'!I56)</f>
        <v/>
      </c>
      <c r="FR75" s="527">
        <f>'GASTOS EJER. 4'!X24</f>
        <v>0</v>
      </c>
      <c r="FS75" s="527">
        <f>'GASTOS EJER. 4'!H56</f>
        <v>0</v>
      </c>
      <c r="FT75" s="11">
        <f t="shared" si="352"/>
        <v>0</v>
      </c>
      <c r="FU75" s="527">
        <f t="shared" si="337"/>
        <v>0</v>
      </c>
      <c r="FW75" s="515">
        <v>29</v>
      </c>
      <c r="FX75" s="526">
        <f>'GASTOS EJER. 4'!$C42</f>
        <v>0</v>
      </c>
      <c r="FY75" s="524" t="str">
        <f t="shared" si="338"/>
        <v/>
      </c>
      <c r="FZ75" s="524" t="str">
        <f t="shared" si="338"/>
        <v/>
      </c>
      <c r="GA75" s="14">
        <f t="shared" si="339"/>
        <v>0</v>
      </c>
      <c r="GB75" s="527">
        <f>'GASTOS EJER. 4'!CM42</f>
        <v>0</v>
      </c>
      <c r="GC75" s="520" t="str">
        <f>IF(GB75=0,"",'GASTOS EJER. 4'!CT42)</f>
        <v/>
      </c>
      <c r="GD75" s="520" t="str">
        <f t="shared" si="340"/>
        <v/>
      </c>
      <c r="GE75" s="518" t="e">
        <f>IF(AND(GD75&gt;=EXPEDIENTE!$F$25,GD75&lt;=EXPEDIENTE!$F$29),ROUNDDOWN(GB75/GA75,2),0)</f>
        <v>#DIV/0!</v>
      </c>
      <c r="HT75" s="85">
        <v>5</v>
      </c>
      <c r="HU75" s="520">
        <f>DATE(YEAR(EXPEDIENTE!$F$25)+3,HT75,1)</f>
        <v>46874</v>
      </c>
      <c r="HV75" s="520" t="str">
        <f>IF('GASTOS EJER. 4'!BF56="","",'GASTOS EJER. 4'!BF56)</f>
        <v/>
      </c>
      <c r="HW75" s="527">
        <f>'GASTOS EJER. 4'!CM24</f>
        <v>0</v>
      </c>
      <c r="HX75" s="527">
        <f>'GASTOS EJER. 4'!BA56</f>
        <v>0</v>
      </c>
      <c r="HY75" s="11">
        <f t="shared" si="353"/>
        <v>0</v>
      </c>
      <c r="HZ75" s="527">
        <f t="shared" si="341"/>
        <v>0</v>
      </c>
      <c r="JF75" s="477">
        <v>71</v>
      </c>
      <c r="JG75" s="474">
        <f t="shared" ref="JG75:JG104" si="383">JG70+2</f>
        <v>28</v>
      </c>
    </row>
    <row r="76" spans="3:267" x14ac:dyDescent="0.3">
      <c r="C76" s="8">
        <v>70</v>
      </c>
      <c r="D76" s="12"/>
      <c r="E76" s="17"/>
      <c r="F76" s="18"/>
      <c r="G76" s="19"/>
      <c r="H76" s="19"/>
      <c r="I76" s="19"/>
      <c r="J76" s="12"/>
      <c r="K76" s="14">
        <f t="shared" si="342"/>
        <v>76</v>
      </c>
      <c r="L76" s="14">
        <f t="shared" si="343"/>
        <v>76</v>
      </c>
      <c r="M76" s="14" t="str">
        <f t="shared" si="344"/>
        <v>X</v>
      </c>
      <c r="AG76" s="584">
        <v>29</v>
      </c>
      <c r="AH76" s="527">
        <f>'GASTOS EJER. 4'!M42</f>
        <v>0</v>
      </c>
      <c r="AI76" s="527">
        <f>'GASTOS EJER. 4'!X42</f>
        <v>0</v>
      </c>
      <c r="AJ76" s="590">
        <f>'GASTOS EJER. 4'!Y42</f>
        <v>0</v>
      </c>
      <c r="AK76" s="518">
        <f t="shared" si="354"/>
        <v>0</v>
      </c>
      <c r="AM76" s="519">
        <f>'GASTOS EJER. 4'!F42+'GASTOS EJER. 4'!L42-'GASTOS EJER. 4'!X42-'GASTOS EJER. 4'!Y42</f>
        <v>0</v>
      </c>
      <c r="AN76" s="520" t="str">
        <f>IF('GASTOS EJER. 4'!AA42="","",'GASTOS EJER. 4'!AA42)</f>
        <v/>
      </c>
      <c r="AO76" s="517">
        <f>'GASTOS EJER. 4'!Y42</f>
        <v>0</v>
      </c>
      <c r="AP76" s="521" t="str">
        <f>IF('GASTOS EJER. 4'!AB42="","",'GASTOS EJER. 4'!AB42)</f>
        <v/>
      </c>
      <c r="AQ76" s="522">
        <f>IF(AND(AN76&gt;=EXPEDIENTE!$I$25,AN76&lt;=EXPEDIENTE!$I$29),AM76,0)</f>
        <v>0</v>
      </c>
      <c r="AR76" s="11">
        <f>IF(AND(AP76&gt;=EXPEDIENTE!$I$25,AP76&lt;=EXPEDIENTE!$I$29),AO76,0)</f>
        <v>0</v>
      </c>
      <c r="AS76" s="518">
        <f t="shared" si="355"/>
        <v>0</v>
      </c>
      <c r="AT76" s="523" t="str">
        <f>IF('GASTOS EJER. 4'!D42="","",'GASTOS EJER. 4'!D42)</f>
        <v/>
      </c>
      <c r="AU76" s="524" t="str">
        <f>IF('GASTOS EJER. 4'!E42="","",'GASTOS EJER. 4'!E42)</f>
        <v/>
      </c>
      <c r="AV76" s="594">
        <f t="shared" si="356"/>
        <v>0</v>
      </c>
      <c r="AW76" s="525">
        <f t="shared" si="357"/>
        <v>0</v>
      </c>
      <c r="AX76" s="24">
        <f t="shared" si="345"/>
        <v>0</v>
      </c>
      <c r="AY76" s="604">
        <f t="shared" si="358"/>
        <v>0</v>
      </c>
      <c r="AZ76" s="607">
        <f t="shared" si="359"/>
        <v>0</v>
      </c>
      <c r="BB76" s="596">
        <v>5</v>
      </c>
      <c r="BC76" s="598" t="e">
        <f t="shared" si="346"/>
        <v>#VALUE!</v>
      </c>
      <c r="BD76" s="601">
        <f t="shared" si="360"/>
        <v>0</v>
      </c>
      <c r="BE76" s="643">
        <f t="shared" si="361"/>
        <v>0</v>
      </c>
      <c r="BF76" s="643">
        <f t="shared" si="362"/>
        <v>0</v>
      </c>
      <c r="BG76" s="643">
        <f t="shared" si="363"/>
        <v>0</v>
      </c>
      <c r="BH76" s="643">
        <f t="shared" si="364"/>
        <v>0</v>
      </c>
      <c r="BI76" s="643">
        <f t="shared" si="365"/>
        <v>0</v>
      </c>
      <c r="BJ76" s="643">
        <f t="shared" si="366"/>
        <v>0</v>
      </c>
      <c r="BK76" s="644">
        <f t="shared" si="367"/>
        <v>0</v>
      </c>
      <c r="BL76" s="645">
        <f t="shared" si="347"/>
        <v>0</v>
      </c>
      <c r="BX76" s="645">
        <f t="shared" si="368"/>
        <v>0</v>
      </c>
      <c r="BZ76" s="616">
        <v>29</v>
      </c>
      <c r="CA76" s="527">
        <f>'GASTOS EJER. 4'!BN42</f>
        <v>0</v>
      </c>
      <c r="CB76" s="527">
        <f>'GASTOS EJER. 4'!CM42</f>
        <v>0</v>
      </c>
      <c r="CC76" s="590">
        <f>'GASTOS EJER. 4'!CP42</f>
        <v>0</v>
      </c>
      <c r="CD76" s="518">
        <f t="shared" si="369"/>
        <v>0</v>
      </c>
      <c r="CF76" s="519">
        <f>'GASTOS EJER. 4'!AW42+'GASTOS EJER. 4'!BM42-'GASTOS EJER. 4'!CM42-'GASTOS EJER. 4'!CP42</f>
        <v>0</v>
      </c>
      <c r="CG76" s="520" t="str">
        <f>IF('GASTOS EJER. 4'!CT42="","",'GASTOS EJER. 4'!CT42)</f>
        <v/>
      </c>
      <c r="CH76" s="517">
        <f>'GASTOS EJER. 4'!CP42</f>
        <v>0</v>
      </c>
      <c r="CI76" s="521" t="str">
        <f>IF('GASTOS EJER. 4'!CW42="","",'GASTOS EJER. 4'!CW42)</f>
        <v/>
      </c>
      <c r="CJ76" s="522">
        <f>IF(AND(CG76&gt;=EXPEDIENTE!$I$25,CG76&lt;=EXPEDIENTE!$I$29),CF76,0)</f>
        <v>0</v>
      </c>
      <c r="CK76" s="11">
        <f>IF(AND(CI76&gt;=EXPEDIENTE!$I$25,CI76&lt;=EXPEDIENTE!$I$29),CH76,0)</f>
        <v>0</v>
      </c>
      <c r="CL76" s="518">
        <f t="shared" si="370"/>
        <v>0</v>
      </c>
      <c r="CM76" s="523" t="str">
        <f>IF('GASTOS EJER. 4'!AQ42="","",'GASTOS EJER. 4'!AQ42)</f>
        <v/>
      </c>
      <c r="CN76" s="524" t="str">
        <f>IF('GASTOS EJER. 4'!AT42="","",'GASTOS EJER. 4'!AT42)</f>
        <v/>
      </c>
      <c r="CO76" s="594">
        <f t="shared" si="371"/>
        <v>0</v>
      </c>
      <c r="CP76" s="525">
        <f t="shared" si="372"/>
        <v>0</v>
      </c>
      <c r="CQ76" s="24">
        <f t="shared" si="348"/>
        <v>0</v>
      </c>
      <c r="CR76" s="604">
        <f t="shared" si="373"/>
        <v>0</v>
      </c>
      <c r="CS76" s="484">
        <f t="shared" si="374"/>
        <v>0</v>
      </c>
      <c r="CU76" s="620">
        <v>5</v>
      </c>
      <c r="CV76" s="598" t="e">
        <f t="shared" si="349"/>
        <v>#VALUE!</v>
      </c>
      <c r="CW76" s="621">
        <f t="shared" si="375"/>
        <v>0</v>
      </c>
      <c r="CX76" s="649">
        <f t="shared" si="376"/>
        <v>0</v>
      </c>
      <c r="CY76" s="649">
        <f t="shared" si="350"/>
        <v>0</v>
      </c>
      <c r="CZ76" s="649">
        <f t="shared" si="377"/>
        <v>0</v>
      </c>
      <c r="DA76" s="649">
        <f t="shared" si="378"/>
        <v>0</v>
      </c>
      <c r="DB76" s="649">
        <f t="shared" si="379"/>
        <v>0</v>
      </c>
      <c r="DC76" s="649">
        <f t="shared" si="380"/>
        <v>0</v>
      </c>
      <c r="DD76" s="650">
        <f t="shared" si="381"/>
        <v>0</v>
      </c>
      <c r="DE76" s="645">
        <f t="shared" si="351"/>
        <v>0</v>
      </c>
      <c r="DQ76" s="645">
        <f t="shared" si="382"/>
        <v>0</v>
      </c>
      <c r="DS76" s="515">
        <v>30</v>
      </c>
      <c r="DT76" s="526">
        <f>'GASTOS EJER. 4'!$C43</f>
        <v>0</v>
      </c>
      <c r="DU76" s="524" t="str">
        <f t="shared" si="334"/>
        <v/>
      </c>
      <c r="DV76" s="524" t="str">
        <f t="shared" si="334"/>
        <v/>
      </c>
      <c r="DW76" s="14">
        <f t="shared" si="335"/>
        <v>0</v>
      </c>
      <c r="DX76" s="527">
        <f>'GASTOS EJER. 4'!X43</f>
        <v>0</v>
      </c>
      <c r="DY76" s="520" t="str">
        <f>IF(DX76=0,"",'GASTOS EJER. 4'!AA43)</f>
        <v/>
      </c>
      <c r="DZ76" s="520" t="str">
        <f t="shared" si="336"/>
        <v/>
      </c>
      <c r="EA76" s="518" t="e">
        <f>IF(AND(DZ76&gt;=EXPEDIENTE!$F$25,DZ76&lt;=EXPEDIENTE!$F$29),ROUNDDOWN(DX76/DW76,2),0)</f>
        <v>#DIV/0!</v>
      </c>
      <c r="FO76" s="85">
        <v>6</v>
      </c>
      <c r="FP76" s="520">
        <f>DATE(YEAR(EXPEDIENTE!$F$25)+3,FO76,1)</f>
        <v>46905</v>
      </c>
      <c r="FQ76" s="520" t="str">
        <f>IF('GASTOS EJER. 4'!I57="","",'GASTOS EJER. 4'!I57)</f>
        <v/>
      </c>
      <c r="FR76" s="527">
        <f>'GASTOS EJER. 4'!X25</f>
        <v>0</v>
      </c>
      <c r="FS76" s="527">
        <f>'GASTOS EJER. 4'!H57</f>
        <v>0</v>
      </c>
      <c r="FT76" s="11">
        <f t="shared" si="352"/>
        <v>0</v>
      </c>
      <c r="FU76" s="527">
        <f t="shared" si="337"/>
        <v>0</v>
      </c>
      <c r="FW76" s="515">
        <v>30</v>
      </c>
      <c r="FX76" s="526">
        <f>'GASTOS EJER. 4'!$C43</f>
        <v>0</v>
      </c>
      <c r="FY76" s="524" t="str">
        <f t="shared" si="338"/>
        <v/>
      </c>
      <c r="FZ76" s="524" t="str">
        <f t="shared" si="338"/>
        <v/>
      </c>
      <c r="GA76" s="14">
        <f t="shared" si="339"/>
        <v>0</v>
      </c>
      <c r="GB76" s="527">
        <f>'GASTOS EJER. 4'!CM43</f>
        <v>0</v>
      </c>
      <c r="GC76" s="520" t="str">
        <f>IF(GB76=0,"",'GASTOS EJER. 4'!CT43)</f>
        <v/>
      </c>
      <c r="GD76" s="520" t="str">
        <f t="shared" si="340"/>
        <v/>
      </c>
      <c r="GE76" s="518" t="e">
        <f>IF(AND(GD76&gt;=EXPEDIENTE!$F$25,GD76&lt;=EXPEDIENTE!$F$29),ROUNDDOWN(GB76/GA76,2),0)</f>
        <v>#DIV/0!</v>
      </c>
      <c r="HT76" s="85">
        <v>6</v>
      </c>
      <c r="HU76" s="520">
        <f>DATE(YEAR(EXPEDIENTE!$F$25)+3,HT76,1)</f>
        <v>46905</v>
      </c>
      <c r="HV76" s="520" t="str">
        <f>IF('GASTOS EJER. 4'!BF57="","",'GASTOS EJER. 4'!BF57)</f>
        <v/>
      </c>
      <c r="HW76" s="527">
        <f>'GASTOS EJER. 4'!CM25</f>
        <v>0</v>
      </c>
      <c r="HX76" s="527">
        <f>'GASTOS EJER. 4'!BA57</f>
        <v>0</v>
      </c>
      <c r="HY76" s="11">
        <f t="shared" si="353"/>
        <v>0</v>
      </c>
      <c r="HZ76" s="527">
        <f t="shared" si="341"/>
        <v>0</v>
      </c>
      <c r="JF76" s="480">
        <v>72</v>
      </c>
      <c r="JG76" s="474">
        <f t="shared" si="383"/>
        <v>28</v>
      </c>
    </row>
    <row r="77" spans="3:267" x14ac:dyDescent="0.3">
      <c r="C77" s="8">
        <v>71</v>
      </c>
      <c r="D77" s="12"/>
      <c r="E77" s="17"/>
      <c r="F77" s="18"/>
      <c r="G77" s="19"/>
      <c r="H77" s="19"/>
      <c r="I77" s="19"/>
      <c r="J77" s="12"/>
      <c r="K77" s="14">
        <f t="shared" si="342"/>
        <v>76</v>
      </c>
      <c r="L77" s="14">
        <f t="shared" si="343"/>
        <v>76</v>
      </c>
      <c r="M77" s="14" t="str">
        <f t="shared" si="344"/>
        <v>X</v>
      </c>
      <c r="AG77" s="584">
        <v>30</v>
      </c>
      <c r="AH77" s="527">
        <f>'GASTOS EJER. 4'!M43</f>
        <v>0</v>
      </c>
      <c r="AI77" s="527">
        <f>'GASTOS EJER. 4'!X43</f>
        <v>0</v>
      </c>
      <c r="AJ77" s="590">
        <f>'GASTOS EJER. 4'!Y43</f>
        <v>0</v>
      </c>
      <c r="AK77" s="518">
        <f t="shared" si="354"/>
        <v>0</v>
      </c>
      <c r="AM77" s="519">
        <f>'GASTOS EJER. 4'!F43+'GASTOS EJER. 4'!L43-'GASTOS EJER. 4'!X43-'GASTOS EJER. 4'!Y43</f>
        <v>0</v>
      </c>
      <c r="AN77" s="520" t="str">
        <f>IF('GASTOS EJER. 4'!AA43="","",'GASTOS EJER. 4'!AA43)</f>
        <v/>
      </c>
      <c r="AO77" s="517">
        <f>'GASTOS EJER. 4'!Y43</f>
        <v>0</v>
      </c>
      <c r="AP77" s="521" t="str">
        <f>IF('GASTOS EJER. 4'!AB43="","",'GASTOS EJER. 4'!AB43)</f>
        <v/>
      </c>
      <c r="AQ77" s="522">
        <f>IF(AND(AN77&gt;=EXPEDIENTE!$I$25,AN77&lt;=EXPEDIENTE!$I$29),AM77,0)</f>
        <v>0</v>
      </c>
      <c r="AR77" s="11">
        <f>IF(AND(AP77&gt;=EXPEDIENTE!$I$25,AP77&lt;=EXPEDIENTE!$I$29),AO77,0)</f>
        <v>0</v>
      </c>
      <c r="AS77" s="518">
        <f t="shared" si="355"/>
        <v>0</v>
      </c>
      <c r="AT77" s="523" t="str">
        <f>IF('GASTOS EJER. 4'!D43="","",'GASTOS EJER. 4'!D43)</f>
        <v/>
      </c>
      <c r="AU77" s="524" t="str">
        <f>IF('GASTOS EJER. 4'!E43="","",'GASTOS EJER. 4'!E43)</f>
        <v/>
      </c>
      <c r="AV77" s="594">
        <f t="shared" si="356"/>
        <v>0</v>
      </c>
      <c r="AW77" s="525">
        <f t="shared" si="357"/>
        <v>0</v>
      </c>
      <c r="AX77" s="24">
        <f t="shared" si="345"/>
        <v>0</v>
      </c>
      <c r="AY77" s="604">
        <f t="shared" si="358"/>
        <v>0</v>
      </c>
      <c r="AZ77" s="607">
        <f t="shared" si="359"/>
        <v>0</v>
      </c>
      <c r="BB77" s="596">
        <v>6</v>
      </c>
      <c r="BC77" s="598" t="e">
        <f t="shared" si="346"/>
        <v>#VALUE!</v>
      </c>
      <c r="BD77" s="601">
        <f t="shared" si="360"/>
        <v>0</v>
      </c>
      <c r="BE77" s="643">
        <f t="shared" si="361"/>
        <v>0</v>
      </c>
      <c r="BF77" s="643">
        <f t="shared" si="362"/>
        <v>0</v>
      </c>
      <c r="BG77" s="643">
        <f t="shared" si="363"/>
        <v>0</v>
      </c>
      <c r="BH77" s="643">
        <f t="shared" si="364"/>
        <v>0</v>
      </c>
      <c r="BI77" s="643">
        <f t="shared" si="365"/>
        <v>0</v>
      </c>
      <c r="BJ77" s="643">
        <f t="shared" si="366"/>
        <v>0</v>
      </c>
      <c r="BK77" s="644">
        <f t="shared" si="367"/>
        <v>0</v>
      </c>
      <c r="BL77" s="645">
        <f t="shared" si="347"/>
        <v>0</v>
      </c>
      <c r="BX77" s="645">
        <f t="shared" si="368"/>
        <v>0</v>
      </c>
      <c r="BZ77" s="616">
        <v>30</v>
      </c>
      <c r="CA77" s="527">
        <f>'GASTOS EJER. 4'!BN43</f>
        <v>0</v>
      </c>
      <c r="CB77" s="527">
        <f>'GASTOS EJER. 4'!CM43</f>
        <v>0</v>
      </c>
      <c r="CC77" s="590">
        <f>'GASTOS EJER. 4'!CP43</f>
        <v>0</v>
      </c>
      <c r="CD77" s="518">
        <f t="shared" si="369"/>
        <v>0</v>
      </c>
      <c r="CF77" s="519">
        <f>'GASTOS EJER. 4'!AW43+'GASTOS EJER. 4'!BM43-'GASTOS EJER. 4'!CM43-'GASTOS EJER. 4'!CP43</f>
        <v>0</v>
      </c>
      <c r="CG77" s="520" t="str">
        <f>IF('GASTOS EJER. 4'!CT43="","",'GASTOS EJER. 4'!CT43)</f>
        <v/>
      </c>
      <c r="CH77" s="517">
        <f>'GASTOS EJER. 4'!CP43</f>
        <v>0</v>
      </c>
      <c r="CI77" s="521" t="str">
        <f>IF('GASTOS EJER. 4'!CW43="","",'GASTOS EJER. 4'!CW43)</f>
        <v/>
      </c>
      <c r="CJ77" s="522">
        <f>IF(AND(CG77&gt;=EXPEDIENTE!$I$25,CG77&lt;=EXPEDIENTE!$I$29),CF77,0)</f>
        <v>0</v>
      </c>
      <c r="CK77" s="11">
        <f>IF(AND(CI77&gt;=EXPEDIENTE!$I$25,CI77&lt;=EXPEDIENTE!$I$29),CH77,0)</f>
        <v>0</v>
      </c>
      <c r="CL77" s="518">
        <f t="shared" si="370"/>
        <v>0</v>
      </c>
      <c r="CM77" s="523" t="str">
        <f>IF('GASTOS EJER. 4'!AQ43="","",'GASTOS EJER. 4'!AQ43)</f>
        <v/>
      </c>
      <c r="CN77" s="524" t="str">
        <f>IF('GASTOS EJER. 4'!AT43="","",'GASTOS EJER. 4'!AT43)</f>
        <v/>
      </c>
      <c r="CO77" s="594">
        <f t="shared" si="371"/>
        <v>0</v>
      </c>
      <c r="CP77" s="525">
        <f t="shared" si="372"/>
        <v>0</v>
      </c>
      <c r="CQ77" s="24">
        <f t="shared" si="348"/>
        <v>0</v>
      </c>
      <c r="CR77" s="604">
        <f t="shared" si="373"/>
        <v>0</v>
      </c>
      <c r="CS77" s="484">
        <f t="shared" si="374"/>
        <v>0</v>
      </c>
      <c r="CU77" s="620">
        <v>6</v>
      </c>
      <c r="CV77" s="598" t="e">
        <f t="shared" si="349"/>
        <v>#VALUE!</v>
      </c>
      <c r="CW77" s="621">
        <f t="shared" si="375"/>
        <v>0</v>
      </c>
      <c r="CX77" s="649">
        <f t="shared" si="376"/>
        <v>0</v>
      </c>
      <c r="CY77" s="649">
        <f t="shared" si="350"/>
        <v>0</v>
      </c>
      <c r="CZ77" s="649">
        <f t="shared" si="377"/>
        <v>0</v>
      </c>
      <c r="DA77" s="649">
        <f t="shared" si="378"/>
        <v>0</v>
      </c>
      <c r="DB77" s="649">
        <f t="shared" si="379"/>
        <v>0</v>
      </c>
      <c r="DC77" s="649">
        <f t="shared" si="380"/>
        <v>0</v>
      </c>
      <c r="DD77" s="650">
        <f t="shared" si="381"/>
        <v>0</v>
      </c>
      <c r="DE77" s="645">
        <f t="shared" si="351"/>
        <v>0</v>
      </c>
      <c r="DQ77" s="645">
        <f t="shared" si="382"/>
        <v>0</v>
      </c>
      <c r="DS77" s="515">
        <v>31</v>
      </c>
      <c r="DT77" s="526">
        <f>'GASTOS EJER. 4'!$C44</f>
        <v>0</v>
      </c>
      <c r="DU77" s="524" t="str">
        <f t="shared" si="334"/>
        <v/>
      </c>
      <c r="DV77" s="524" t="str">
        <f t="shared" si="334"/>
        <v/>
      </c>
      <c r="DW77" s="14">
        <f t="shared" si="335"/>
        <v>0</v>
      </c>
      <c r="DX77" s="527">
        <f>'GASTOS EJER. 4'!X44</f>
        <v>0</v>
      </c>
      <c r="DY77" s="520" t="str">
        <f>IF(DX77=0,"",'GASTOS EJER. 4'!AA44)</f>
        <v/>
      </c>
      <c r="DZ77" s="520" t="str">
        <f t="shared" si="336"/>
        <v/>
      </c>
      <c r="EA77" s="518" t="e">
        <f>IF(AND(DZ77&gt;=EXPEDIENTE!$F$25,DZ77&lt;=EXPEDIENTE!$F$29),ROUNDDOWN(DX77/DW77,2),0)</f>
        <v>#DIV/0!</v>
      </c>
      <c r="FO77" s="85">
        <v>7</v>
      </c>
      <c r="FP77" s="520">
        <f>DATE(YEAR(EXPEDIENTE!$F$25)+3,FO77,1)</f>
        <v>46935</v>
      </c>
      <c r="FQ77" s="520" t="str">
        <f>IF('GASTOS EJER. 4'!I58="","",'GASTOS EJER. 4'!I58)</f>
        <v/>
      </c>
      <c r="FR77" s="527">
        <f>'GASTOS EJER. 4'!X26</f>
        <v>0</v>
      </c>
      <c r="FS77" s="527">
        <f>'GASTOS EJER. 4'!H58</f>
        <v>0</v>
      </c>
      <c r="FT77" s="11">
        <f t="shared" si="352"/>
        <v>0</v>
      </c>
      <c r="FU77" s="527">
        <f t="shared" si="337"/>
        <v>0</v>
      </c>
      <c r="FW77" s="515">
        <v>31</v>
      </c>
      <c r="FX77" s="526">
        <f>'GASTOS EJER. 4'!$C44</f>
        <v>0</v>
      </c>
      <c r="FY77" s="524" t="str">
        <f t="shared" si="338"/>
        <v/>
      </c>
      <c r="FZ77" s="524" t="str">
        <f t="shared" si="338"/>
        <v/>
      </c>
      <c r="GA77" s="14">
        <f t="shared" si="339"/>
        <v>0</v>
      </c>
      <c r="GB77" s="527">
        <f>'GASTOS EJER. 4'!CM44</f>
        <v>0</v>
      </c>
      <c r="GC77" s="520" t="str">
        <f>IF(GB77=0,"",'GASTOS EJER. 4'!CT44)</f>
        <v/>
      </c>
      <c r="GD77" s="520" t="str">
        <f t="shared" si="340"/>
        <v/>
      </c>
      <c r="GE77" s="518" t="e">
        <f>IF(AND(GD77&gt;=EXPEDIENTE!$F$25,GD77&lt;=EXPEDIENTE!$F$29),ROUNDDOWN(GB77/GA77,2),0)</f>
        <v>#DIV/0!</v>
      </c>
      <c r="HT77" s="85">
        <v>7</v>
      </c>
      <c r="HU77" s="520">
        <f>DATE(YEAR(EXPEDIENTE!$F$25)+3,HT77,1)</f>
        <v>46935</v>
      </c>
      <c r="HV77" s="520" t="str">
        <f>IF('GASTOS EJER. 4'!BF58="","",'GASTOS EJER. 4'!BF58)</f>
        <v/>
      </c>
      <c r="HW77" s="527">
        <f>'GASTOS EJER. 4'!CM26</f>
        <v>0</v>
      </c>
      <c r="HX77" s="527">
        <f>'GASTOS EJER. 4'!BA58</f>
        <v>0</v>
      </c>
      <c r="HY77" s="11">
        <f t="shared" si="353"/>
        <v>0</v>
      </c>
      <c r="HZ77" s="527">
        <f t="shared" si="341"/>
        <v>0</v>
      </c>
      <c r="JF77" s="480">
        <v>73</v>
      </c>
      <c r="JG77" s="474">
        <f t="shared" si="383"/>
        <v>28</v>
      </c>
    </row>
    <row r="78" spans="3:267" ht="15.75" thickBot="1" x14ac:dyDescent="0.35">
      <c r="C78" s="8">
        <v>72</v>
      </c>
      <c r="D78" s="12"/>
      <c r="E78" s="17"/>
      <c r="F78" s="18"/>
      <c r="G78" s="19"/>
      <c r="H78" s="19"/>
      <c r="I78" s="19"/>
      <c r="J78" s="12"/>
      <c r="K78" s="14">
        <f t="shared" si="342"/>
        <v>76</v>
      </c>
      <c r="L78" s="14">
        <f t="shared" si="343"/>
        <v>76</v>
      </c>
      <c r="M78" s="14" t="str">
        <f t="shared" si="344"/>
        <v>X</v>
      </c>
      <c r="AG78" s="584">
        <v>31</v>
      </c>
      <c r="AH78" s="527">
        <f>'GASTOS EJER. 4'!M44</f>
        <v>0</v>
      </c>
      <c r="AI78" s="527">
        <f>'GASTOS EJER. 4'!X44</f>
        <v>0</v>
      </c>
      <c r="AJ78" s="590">
        <f>'GASTOS EJER. 4'!Y44</f>
        <v>0</v>
      </c>
      <c r="AK78" s="518">
        <f t="shared" si="354"/>
        <v>0</v>
      </c>
      <c r="AM78" s="519">
        <f>'GASTOS EJER. 4'!F44+'GASTOS EJER. 4'!L44-'GASTOS EJER. 4'!X44-'GASTOS EJER. 4'!Y44</f>
        <v>0</v>
      </c>
      <c r="AN78" s="520" t="str">
        <f>IF('GASTOS EJER. 4'!AA44="","",'GASTOS EJER. 4'!AA44)</f>
        <v/>
      </c>
      <c r="AO78" s="517">
        <f>'GASTOS EJER. 4'!Y44</f>
        <v>0</v>
      </c>
      <c r="AP78" s="521" t="str">
        <f>IF('GASTOS EJER. 4'!AB44="","",'GASTOS EJER. 4'!AB44)</f>
        <v/>
      </c>
      <c r="AQ78" s="522">
        <f>IF(AND(AN78&gt;=EXPEDIENTE!$I$25,AN78&lt;=EXPEDIENTE!$I$29),AM78,0)</f>
        <v>0</v>
      </c>
      <c r="AR78" s="11">
        <f>IF(AND(AP78&gt;=EXPEDIENTE!$I$25,AP78&lt;=EXPEDIENTE!$I$29),AO78,0)</f>
        <v>0</v>
      </c>
      <c r="AS78" s="518">
        <f t="shared" si="355"/>
        <v>0</v>
      </c>
      <c r="AT78" s="523" t="str">
        <f>IF('GASTOS EJER. 4'!D44="","",'GASTOS EJER. 4'!D44)</f>
        <v/>
      </c>
      <c r="AU78" s="524" t="str">
        <f>IF('GASTOS EJER. 4'!E44="","",'GASTOS EJER. 4'!E44)</f>
        <v/>
      </c>
      <c r="AV78" s="594">
        <f t="shared" si="356"/>
        <v>0</v>
      </c>
      <c r="AW78" s="525">
        <f t="shared" si="357"/>
        <v>0</v>
      </c>
      <c r="AX78" s="24">
        <f t="shared" si="345"/>
        <v>0</v>
      </c>
      <c r="AY78" s="604">
        <f t="shared" si="358"/>
        <v>0</v>
      </c>
      <c r="AZ78" s="607">
        <f t="shared" si="359"/>
        <v>0</v>
      </c>
      <c r="BB78" s="596">
        <v>7</v>
      </c>
      <c r="BC78" s="598" t="e">
        <f t="shared" si="346"/>
        <v>#VALUE!</v>
      </c>
      <c r="BD78" s="601">
        <f t="shared" si="360"/>
        <v>0</v>
      </c>
      <c r="BE78" s="643">
        <f t="shared" si="361"/>
        <v>0</v>
      </c>
      <c r="BF78" s="643">
        <f t="shared" si="362"/>
        <v>0</v>
      </c>
      <c r="BG78" s="643">
        <f t="shared" si="363"/>
        <v>0</v>
      </c>
      <c r="BH78" s="643">
        <f t="shared" si="364"/>
        <v>0</v>
      </c>
      <c r="BI78" s="643">
        <f t="shared" si="365"/>
        <v>0</v>
      </c>
      <c r="BJ78" s="643">
        <f t="shared" si="366"/>
        <v>0</v>
      </c>
      <c r="BK78" s="644">
        <f t="shared" si="367"/>
        <v>0</v>
      </c>
      <c r="BL78" s="645">
        <f t="shared" si="347"/>
        <v>0</v>
      </c>
      <c r="BX78" s="645">
        <f t="shared" si="368"/>
        <v>0</v>
      </c>
      <c r="BZ78" s="616">
        <v>31</v>
      </c>
      <c r="CA78" s="527">
        <f>'GASTOS EJER. 4'!BN44</f>
        <v>0</v>
      </c>
      <c r="CB78" s="527">
        <f>'GASTOS EJER. 4'!CM44</f>
        <v>0</v>
      </c>
      <c r="CC78" s="590">
        <f>'GASTOS EJER. 4'!CP44</f>
        <v>0</v>
      </c>
      <c r="CD78" s="518">
        <f t="shared" si="369"/>
        <v>0</v>
      </c>
      <c r="CF78" s="519">
        <f>'GASTOS EJER. 4'!AW44+'GASTOS EJER. 4'!BM44-'GASTOS EJER. 4'!CM44-'GASTOS EJER. 4'!CP44</f>
        <v>0</v>
      </c>
      <c r="CG78" s="520" t="str">
        <f>IF('GASTOS EJER. 4'!CT44="","",'GASTOS EJER. 4'!CT44)</f>
        <v/>
      </c>
      <c r="CH78" s="517">
        <f>'GASTOS EJER. 4'!CP44</f>
        <v>0</v>
      </c>
      <c r="CI78" s="521" t="str">
        <f>IF('GASTOS EJER. 4'!CW44="","",'GASTOS EJER. 4'!CW44)</f>
        <v/>
      </c>
      <c r="CJ78" s="522">
        <f>IF(AND(CG78&gt;=EXPEDIENTE!$I$25,CG78&lt;=EXPEDIENTE!$I$29),CF78,0)</f>
        <v>0</v>
      </c>
      <c r="CK78" s="11">
        <f>IF(AND(CI78&gt;=EXPEDIENTE!$I$25,CI78&lt;=EXPEDIENTE!$I$29),CH78,0)</f>
        <v>0</v>
      </c>
      <c r="CL78" s="518">
        <f t="shared" si="370"/>
        <v>0</v>
      </c>
      <c r="CM78" s="523" t="str">
        <f>IF('GASTOS EJER. 4'!AQ44="","",'GASTOS EJER. 4'!AQ44)</f>
        <v/>
      </c>
      <c r="CN78" s="524" t="str">
        <f>IF('GASTOS EJER. 4'!AT44="","",'GASTOS EJER. 4'!AT44)</f>
        <v/>
      </c>
      <c r="CO78" s="594">
        <f t="shared" si="371"/>
        <v>0</v>
      </c>
      <c r="CP78" s="525">
        <f t="shared" si="372"/>
        <v>0</v>
      </c>
      <c r="CQ78" s="24">
        <f t="shared" si="348"/>
        <v>0</v>
      </c>
      <c r="CR78" s="604">
        <f t="shared" si="373"/>
        <v>0</v>
      </c>
      <c r="CS78" s="484">
        <f t="shared" si="374"/>
        <v>0</v>
      </c>
      <c r="CU78" s="620">
        <v>7</v>
      </c>
      <c r="CV78" s="598" t="e">
        <f t="shared" si="349"/>
        <v>#VALUE!</v>
      </c>
      <c r="CW78" s="621">
        <f t="shared" si="375"/>
        <v>0</v>
      </c>
      <c r="CX78" s="649">
        <f t="shared" si="376"/>
        <v>0</v>
      </c>
      <c r="CY78" s="649">
        <f t="shared" si="350"/>
        <v>0</v>
      </c>
      <c r="CZ78" s="649">
        <f t="shared" si="377"/>
        <v>0</v>
      </c>
      <c r="DA78" s="649">
        <f t="shared" si="378"/>
        <v>0</v>
      </c>
      <c r="DB78" s="649">
        <f t="shared" si="379"/>
        <v>0</v>
      </c>
      <c r="DC78" s="649">
        <f t="shared" si="380"/>
        <v>0</v>
      </c>
      <c r="DD78" s="650">
        <f t="shared" si="381"/>
        <v>0</v>
      </c>
      <c r="DE78" s="645">
        <f t="shared" si="351"/>
        <v>0</v>
      </c>
      <c r="DQ78" s="645">
        <f t="shared" si="382"/>
        <v>0</v>
      </c>
      <c r="DS78" s="528">
        <v>32</v>
      </c>
      <c r="DT78" s="539">
        <f>'GASTOS EJER. 4'!$C45</f>
        <v>0</v>
      </c>
      <c r="DU78" s="537" t="str">
        <f t="shared" si="334"/>
        <v/>
      </c>
      <c r="DV78" s="537" t="str">
        <f t="shared" si="334"/>
        <v/>
      </c>
      <c r="DW78" s="540">
        <f t="shared" si="335"/>
        <v>0</v>
      </c>
      <c r="DX78" s="541">
        <f>'GASTOS EJER. 4'!X45</f>
        <v>0</v>
      </c>
      <c r="DY78" s="533" t="str">
        <f>IF(DX78=0,"",'GASTOS EJER. 4'!AA45)</f>
        <v/>
      </c>
      <c r="DZ78" s="533" t="str">
        <f t="shared" si="336"/>
        <v/>
      </c>
      <c r="EA78" s="531" t="e">
        <f>IF(AND(DZ78&gt;=EXPEDIENTE!$F$25,DZ78&lt;=EXPEDIENTE!$F$29),ROUNDDOWN(DX78/DW78,2),0)</f>
        <v>#DIV/0!</v>
      </c>
      <c r="FO78" s="85">
        <v>8</v>
      </c>
      <c r="FP78" s="520">
        <f>DATE(YEAR(EXPEDIENTE!$F$25)+3,FO78,1)</f>
        <v>46966</v>
      </c>
      <c r="FQ78" s="520" t="str">
        <f>IF('GASTOS EJER. 4'!I59="","",'GASTOS EJER. 4'!I59)</f>
        <v/>
      </c>
      <c r="FR78" s="527">
        <f>'GASTOS EJER. 4'!X27</f>
        <v>0</v>
      </c>
      <c r="FS78" s="527">
        <f>'GASTOS EJER. 4'!H59</f>
        <v>0</v>
      </c>
      <c r="FT78" s="11">
        <f t="shared" si="352"/>
        <v>0</v>
      </c>
      <c r="FU78" s="527">
        <f t="shared" si="337"/>
        <v>0</v>
      </c>
      <c r="FW78" s="528">
        <v>32</v>
      </c>
      <c r="FX78" s="539">
        <f>'GASTOS EJER. 4'!$C45</f>
        <v>0</v>
      </c>
      <c r="FY78" s="537" t="str">
        <f t="shared" si="338"/>
        <v/>
      </c>
      <c r="FZ78" s="537" t="str">
        <f t="shared" si="338"/>
        <v/>
      </c>
      <c r="GA78" s="540">
        <f t="shared" si="339"/>
        <v>0</v>
      </c>
      <c r="GB78" s="541">
        <f>'GASTOS EJER. 4'!CM45</f>
        <v>0</v>
      </c>
      <c r="GC78" s="533" t="str">
        <f>IF(GB78=0,"",'GASTOS EJER. 4'!CT45)</f>
        <v/>
      </c>
      <c r="GD78" s="533" t="str">
        <f t="shared" si="340"/>
        <v/>
      </c>
      <c r="GE78" s="531" t="e">
        <f>IF(AND(GD78&gt;=EXPEDIENTE!$F$25,GD78&lt;=EXPEDIENTE!$F$29),ROUNDDOWN(GB78/GA78,2),0)</f>
        <v>#DIV/0!</v>
      </c>
      <c r="HT78" s="85">
        <v>8</v>
      </c>
      <c r="HU78" s="520">
        <f>DATE(YEAR(EXPEDIENTE!$F$25)+3,HT78,1)</f>
        <v>46966</v>
      </c>
      <c r="HV78" s="520" t="str">
        <f>IF('GASTOS EJER. 4'!BF59="","",'GASTOS EJER. 4'!BF59)</f>
        <v/>
      </c>
      <c r="HW78" s="527">
        <f>'GASTOS EJER. 4'!CM27</f>
        <v>0</v>
      </c>
      <c r="HX78" s="527">
        <f>'GASTOS EJER. 4'!BA59</f>
        <v>0</v>
      </c>
      <c r="HY78" s="11">
        <f t="shared" si="353"/>
        <v>0</v>
      </c>
      <c r="HZ78" s="527">
        <f t="shared" si="341"/>
        <v>0</v>
      </c>
      <c r="JF78" s="480">
        <v>74</v>
      </c>
      <c r="JG78" s="474">
        <f t="shared" si="383"/>
        <v>28</v>
      </c>
    </row>
    <row r="79" spans="3:267" ht="15.75" thickBot="1" x14ac:dyDescent="0.35">
      <c r="C79" s="8">
        <v>73</v>
      </c>
      <c r="D79" s="12"/>
      <c r="E79" s="17"/>
      <c r="F79" s="18"/>
      <c r="G79" s="19"/>
      <c r="H79" s="19"/>
      <c r="I79" s="19"/>
      <c r="J79" s="12"/>
      <c r="K79" s="14">
        <f t="shared" si="342"/>
        <v>76</v>
      </c>
      <c r="L79" s="14">
        <f t="shared" si="343"/>
        <v>76</v>
      </c>
      <c r="M79" s="14" t="str">
        <f t="shared" si="344"/>
        <v>X</v>
      </c>
      <c r="AG79" s="585">
        <v>32</v>
      </c>
      <c r="AH79" s="541">
        <f>'GASTOS EJER. 4'!M45</f>
        <v>0</v>
      </c>
      <c r="AI79" s="541">
        <f>'GASTOS EJER. 4'!X45</f>
        <v>0</v>
      </c>
      <c r="AJ79" s="591">
        <f>'GASTOS EJER. 4'!Y45</f>
        <v>0</v>
      </c>
      <c r="AK79" s="531">
        <f t="shared" si="354"/>
        <v>0</v>
      </c>
      <c r="AM79" s="532">
        <f>'GASTOS EJER. 4'!F45+'GASTOS EJER. 4'!L45-'GASTOS EJER. 4'!X45-'GASTOS EJER. 4'!Y45</f>
        <v>0</v>
      </c>
      <c r="AN79" s="533" t="str">
        <f>IF('GASTOS EJER. 4'!AA45="","",'GASTOS EJER. 4'!AA45)</f>
        <v/>
      </c>
      <c r="AO79" s="530">
        <f>'GASTOS EJER. 4'!Y45</f>
        <v>0</v>
      </c>
      <c r="AP79" s="534" t="str">
        <f>IF('GASTOS EJER. 4'!AB45="","",'GASTOS EJER. 4'!AB45)</f>
        <v/>
      </c>
      <c r="AQ79" s="535">
        <f>IF(AND(AN79&gt;=EXPEDIENTE!$I$25,AN79&lt;=EXPEDIENTE!$I$29),AM79,0)</f>
        <v>0</v>
      </c>
      <c r="AR79" s="487">
        <f>IF(AND(AP79&gt;=EXPEDIENTE!$I$25,AP79&lt;=EXPEDIENTE!$I$29),AO79,0)</f>
        <v>0</v>
      </c>
      <c r="AS79" s="531">
        <f t="shared" si="355"/>
        <v>0</v>
      </c>
      <c r="AT79" s="536" t="str">
        <f>IF('GASTOS EJER. 4'!D45="","",'GASTOS EJER. 4'!D45)</f>
        <v/>
      </c>
      <c r="AU79" s="537" t="str">
        <f>IF('GASTOS EJER. 4'!E45="","",'GASTOS EJER. 4'!E45)</f>
        <v/>
      </c>
      <c r="AV79" s="595">
        <f t="shared" si="356"/>
        <v>0</v>
      </c>
      <c r="AW79" s="538">
        <f t="shared" si="357"/>
        <v>0</v>
      </c>
      <c r="AX79" s="20">
        <f t="shared" si="345"/>
        <v>0</v>
      </c>
      <c r="AY79" s="605">
        <f t="shared" si="358"/>
        <v>0</v>
      </c>
      <c r="AZ79" s="608">
        <f t="shared" si="359"/>
        <v>0</v>
      </c>
      <c r="BB79" s="596">
        <v>8</v>
      </c>
      <c r="BC79" s="598" t="e">
        <f t="shared" si="346"/>
        <v>#VALUE!</v>
      </c>
      <c r="BD79" s="601">
        <f t="shared" si="360"/>
        <v>0</v>
      </c>
      <c r="BE79" s="643">
        <f t="shared" si="361"/>
        <v>0</v>
      </c>
      <c r="BF79" s="643">
        <f t="shared" si="362"/>
        <v>0</v>
      </c>
      <c r="BG79" s="643">
        <f t="shared" si="363"/>
        <v>0</v>
      </c>
      <c r="BH79" s="643">
        <f t="shared" si="364"/>
        <v>0</v>
      </c>
      <c r="BI79" s="643">
        <f t="shared" si="365"/>
        <v>0</v>
      </c>
      <c r="BJ79" s="643">
        <f t="shared" si="366"/>
        <v>0</v>
      </c>
      <c r="BK79" s="644">
        <f t="shared" si="367"/>
        <v>0</v>
      </c>
      <c r="BL79" s="645">
        <f t="shared" si="347"/>
        <v>0</v>
      </c>
      <c r="BX79" s="645">
        <f t="shared" si="368"/>
        <v>0</v>
      </c>
      <c r="BZ79" s="617">
        <v>32</v>
      </c>
      <c r="CA79" s="541">
        <f>'GASTOS EJER. 4'!BN45</f>
        <v>0</v>
      </c>
      <c r="CB79" s="541">
        <f>'GASTOS EJER. 4'!CM45</f>
        <v>0</v>
      </c>
      <c r="CC79" s="591">
        <f>'GASTOS EJER. 4'!CP45</f>
        <v>0</v>
      </c>
      <c r="CD79" s="531">
        <f t="shared" si="369"/>
        <v>0</v>
      </c>
      <c r="CF79" s="532">
        <f>'GASTOS EJER. 4'!AW45+'GASTOS EJER. 4'!BM45-'GASTOS EJER. 4'!CM45-'GASTOS EJER. 4'!CP45</f>
        <v>0</v>
      </c>
      <c r="CG79" s="533" t="str">
        <f>IF('GASTOS EJER. 4'!CT45="","",'GASTOS EJER. 4'!CT45)</f>
        <v/>
      </c>
      <c r="CH79" s="530">
        <f>'GASTOS EJER. 4'!CP45</f>
        <v>0</v>
      </c>
      <c r="CI79" s="534" t="str">
        <f>IF('GASTOS EJER. 4'!CW45="","",'GASTOS EJER. 4'!CW45)</f>
        <v/>
      </c>
      <c r="CJ79" s="535">
        <f>IF(AND(CG79&gt;=EXPEDIENTE!$I$25,CG79&lt;=EXPEDIENTE!$I$29),CF79,0)</f>
        <v>0</v>
      </c>
      <c r="CK79" s="487">
        <f>IF(AND(CI79&gt;=EXPEDIENTE!$I$25,CI79&lt;=EXPEDIENTE!$I$29),CH79,0)</f>
        <v>0</v>
      </c>
      <c r="CL79" s="531">
        <f t="shared" si="370"/>
        <v>0</v>
      </c>
      <c r="CM79" s="536" t="str">
        <f>IF('GASTOS EJER. 4'!AQ45="","",'GASTOS EJER. 4'!AQ45)</f>
        <v/>
      </c>
      <c r="CN79" s="537" t="str">
        <f>IF('GASTOS EJER. 4'!AT45="","",'GASTOS EJER. 4'!AT45)</f>
        <v/>
      </c>
      <c r="CO79" s="595">
        <f t="shared" si="371"/>
        <v>0</v>
      </c>
      <c r="CP79" s="538">
        <f t="shared" si="372"/>
        <v>0</v>
      </c>
      <c r="CQ79" s="20">
        <f t="shared" si="348"/>
        <v>0</v>
      </c>
      <c r="CR79" s="605">
        <f t="shared" si="373"/>
        <v>0</v>
      </c>
      <c r="CS79" s="488">
        <f t="shared" si="374"/>
        <v>0</v>
      </c>
      <c r="CU79" s="620">
        <v>8</v>
      </c>
      <c r="CV79" s="598" t="e">
        <f t="shared" si="349"/>
        <v>#VALUE!</v>
      </c>
      <c r="CW79" s="621">
        <f t="shared" si="375"/>
        <v>0</v>
      </c>
      <c r="CX79" s="649">
        <f t="shared" si="376"/>
        <v>0</v>
      </c>
      <c r="CY79" s="649">
        <f t="shared" si="350"/>
        <v>0</v>
      </c>
      <c r="CZ79" s="649">
        <f t="shared" si="377"/>
        <v>0</v>
      </c>
      <c r="DA79" s="649">
        <f t="shared" si="378"/>
        <v>0</v>
      </c>
      <c r="DB79" s="649">
        <f t="shared" si="379"/>
        <v>0</v>
      </c>
      <c r="DC79" s="649">
        <f t="shared" si="380"/>
        <v>0</v>
      </c>
      <c r="DD79" s="650">
        <f t="shared" si="381"/>
        <v>0</v>
      </c>
      <c r="DE79" s="645">
        <f t="shared" si="351"/>
        <v>0</v>
      </c>
      <c r="DQ79" s="645">
        <f t="shared" si="382"/>
        <v>0</v>
      </c>
      <c r="FO79" s="85">
        <v>9</v>
      </c>
      <c r="FP79" s="520">
        <f>DATE(YEAR(EXPEDIENTE!$F$25)+3,FO79,1)</f>
        <v>46997</v>
      </c>
      <c r="FQ79" s="520" t="str">
        <f>IF('GASTOS EJER. 4'!I60="","",'GASTOS EJER. 4'!I60)</f>
        <v/>
      </c>
      <c r="FR79" s="527">
        <f>'GASTOS EJER. 4'!X28</f>
        <v>0</v>
      </c>
      <c r="FS79" s="527">
        <f>'GASTOS EJER. 4'!H60</f>
        <v>0</v>
      </c>
      <c r="FT79" s="11">
        <f t="shared" si="352"/>
        <v>0</v>
      </c>
      <c r="FU79" s="527">
        <f t="shared" si="337"/>
        <v>0</v>
      </c>
      <c r="HT79" s="85">
        <v>9</v>
      </c>
      <c r="HU79" s="520">
        <f>DATE(YEAR(EXPEDIENTE!$F$25)+3,HT79,1)</f>
        <v>46997</v>
      </c>
      <c r="HV79" s="520" t="str">
        <f>IF('GASTOS EJER. 4'!BF60="","",'GASTOS EJER. 4'!BF60)</f>
        <v/>
      </c>
      <c r="HW79" s="527">
        <f>'GASTOS EJER. 4'!CM28</f>
        <v>0</v>
      </c>
      <c r="HX79" s="527">
        <f>'GASTOS EJER. 4'!BA60</f>
        <v>0</v>
      </c>
      <c r="HY79" s="11">
        <f t="shared" si="353"/>
        <v>0</v>
      </c>
      <c r="HZ79" s="527">
        <f t="shared" si="341"/>
        <v>0</v>
      </c>
      <c r="JF79" s="485">
        <v>75</v>
      </c>
      <c r="JG79" s="474">
        <f t="shared" si="383"/>
        <v>28</v>
      </c>
    </row>
    <row r="80" spans="3:267" x14ac:dyDescent="0.3">
      <c r="C80" s="8">
        <v>74</v>
      </c>
      <c r="D80" s="12"/>
      <c r="E80" s="17"/>
      <c r="F80" s="18"/>
      <c r="G80" s="19"/>
      <c r="H80" s="19"/>
      <c r="I80" s="19"/>
      <c r="J80" s="12"/>
      <c r="K80" s="14">
        <f t="shared" si="342"/>
        <v>76</v>
      </c>
      <c r="L80" s="14">
        <f t="shared" si="343"/>
        <v>76</v>
      </c>
      <c r="M80" s="14" t="str">
        <f t="shared" si="344"/>
        <v>X</v>
      </c>
      <c r="BB80" s="596">
        <v>9</v>
      </c>
      <c r="BC80" s="598" t="e">
        <f t="shared" si="346"/>
        <v>#VALUE!</v>
      </c>
      <c r="BD80" s="601">
        <f t="shared" si="360"/>
        <v>0</v>
      </c>
      <c r="BE80" s="643">
        <f t="shared" si="361"/>
        <v>0</v>
      </c>
      <c r="BF80" s="643">
        <f t="shared" si="362"/>
        <v>0</v>
      </c>
      <c r="BG80" s="643">
        <f t="shared" si="363"/>
        <v>0</v>
      </c>
      <c r="BH80" s="643">
        <f t="shared" si="364"/>
        <v>0</v>
      </c>
      <c r="BI80" s="643">
        <f t="shared" si="365"/>
        <v>0</v>
      </c>
      <c r="BJ80" s="643">
        <f t="shared" si="366"/>
        <v>0</v>
      </c>
      <c r="BK80" s="644">
        <f t="shared" si="367"/>
        <v>0</v>
      </c>
      <c r="BL80" s="645">
        <f t="shared" si="347"/>
        <v>0</v>
      </c>
      <c r="BX80" s="645">
        <f t="shared" si="368"/>
        <v>0</v>
      </c>
      <c r="CU80" s="620">
        <v>9</v>
      </c>
      <c r="CV80" s="598" t="e">
        <f t="shared" si="349"/>
        <v>#VALUE!</v>
      </c>
      <c r="CW80" s="621">
        <f t="shared" si="375"/>
        <v>0</v>
      </c>
      <c r="CX80" s="649">
        <f t="shared" si="376"/>
        <v>0</v>
      </c>
      <c r="CY80" s="649">
        <f t="shared" si="350"/>
        <v>0</v>
      </c>
      <c r="CZ80" s="649">
        <f t="shared" si="377"/>
        <v>0</v>
      </c>
      <c r="DA80" s="649">
        <f t="shared" si="378"/>
        <v>0</v>
      </c>
      <c r="DB80" s="649">
        <f t="shared" si="379"/>
        <v>0</v>
      </c>
      <c r="DC80" s="649">
        <f t="shared" si="380"/>
        <v>0</v>
      </c>
      <c r="DD80" s="650">
        <f t="shared" si="381"/>
        <v>0</v>
      </c>
      <c r="DE80" s="645">
        <f t="shared" si="351"/>
        <v>0</v>
      </c>
      <c r="DQ80" s="645">
        <f t="shared" si="382"/>
        <v>0</v>
      </c>
      <c r="FO80" s="85">
        <v>10</v>
      </c>
      <c r="FP80" s="520">
        <f>DATE(YEAR(EXPEDIENTE!$F$25)+3,FO80,1)</f>
        <v>47027</v>
      </c>
      <c r="FQ80" s="520" t="str">
        <f>IF('GASTOS EJER. 4'!I61="","",'GASTOS EJER. 4'!I61)</f>
        <v/>
      </c>
      <c r="FR80" s="527">
        <f>'GASTOS EJER. 4'!X29</f>
        <v>0</v>
      </c>
      <c r="FS80" s="527">
        <f>'GASTOS EJER. 4'!H61</f>
        <v>0</v>
      </c>
      <c r="FT80" s="11">
        <f t="shared" si="352"/>
        <v>0</v>
      </c>
      <c r="FU80" s="527">
        <f t="shared" si="337"/>
        <v>0</v>
      </c>
      <c r="HT80" s="85">
        <v>10</v>
      </c>
      <c r="HU80" s="520">
        <f>DATE(YEAR(EXPEDIENTE!$F$25)+3,HT80,1)</f>
        <v>47027</v>
      </c>
      <c r="HV80" s="520" t="str">
        <f>IF('GASTOS EJER. 4'!BF61="","",'GASTOS EJER. 4'!BF61)</f>
        <v/>
      </c>
      <c r="HW80" s="527">
        <f>'GASTOS EJER. 4'!CM29</f>
        <v>0</v>
      </c>
      <c r="HX80" s="527">
        <f>'GASTOS EJER. 4'!BA61</f>
        <v>0</v>
      </c>
      <c r="HY80" s="11">
        <f t="shared" si="353"/>
        <v>0</v>
      </c>
      <c r="HZ80" s="527">
        <f t="shared" si="341"/>
        <v>0</v>
      </c>
      <c r="JF80" s="477">
        <v>76</v>
      </c>
      <c r="JG80" s="474">
        <f t="shared" si="383"/>
        <v>30</v>
      </c>
    </row>
    <row r="81" spans="3:267" x14ac:dyDescent="0.3">
      <c r="C81" s="8">
        <v>75</v>
      </c>
      <c r="D81" s="12"/>
      <c r="E81" s="17"/>
      <c r="F81" s="18"/>
      <c r="G81" s="19"/>
      <c r="H81" s="19"/>
      <c r="I81" s="19"/>
      <c r="J81" s="12"/>
      <c r="K81" s="14">
        <f t="shared" si="342"/>
        <v>76</v>
      </c>
      <c r="L81" s="14">
        <f t="shared" si="343"/>
        <v>76</v>
      </c>
      <c r="M81" s="14" t="str">
        <f t="shared" si="344"/>
        <v>X</v>
      </c>
      <c r="BB81" s="596">
        <v>10</v>
      </c>
      <c r="BC81" s="598" t="e">
        <f t="shared" si="346"/>
        <v>#VALUE!</v>
      </c>
      <c r="BD81" s="601">
        <f t="shared" si="360"/>
        <v>0</v>
      </c>
      <c r="BE81" s="643">
        <f t="shared" si="361"/>
        <v>0</v>
      </c>
      <c r="BF81" s="643">
        <f t="shared" si="362"/>
        <v>0</v>
      </c>
      <c r="BG81" s="643">
        <f t="shared" si="363"/>
        <v>0</v>
      </c>
      <c r="BH81" s="643">
        <f t="shared" si="364"/>
        <v>0</v>
      </c>
      <c r="BI81" s="643">
        <f t="shared" si="365"/>
        <v>0</v>
      </c>
      <c r="BJ81" s="643">
        <f t="shared" si="366"/>
        <v>0</v>
      </c>
      <c r="BK81" s="644">
        <f t="shared" si="367"/>
        <v>0</v>
      </c>
      <c r="BL81" s="645">
        <f>SUM(BD81:BK81)</f>
        <v>0</v>
      </c>
      <c r="BX81" s="645">
        <f t="shared" si="368"/>
        <v>0</v>
      </c>
      <c r="CU81" s="620">
        <v>10</v>
      </c>
      <c r="CV81" s="598" t="e">
        <f t="shared" si="349"/>
        <v>#VALUE!</v>
      </c>
      <c r="CW81" s="621">
        <f t="shared" si="375"/>
        <v>0</v>
      </c>
      <c r="CX81" s="649">
        <f t="shared" si="376"/>
        <v>0</v>
      </c>
      <c r="CY81" s="649">
        <f t="shared" si="350"/>
        <v>0</v>
      </c>
      <c r="CZ81" s="649">
        <f t="shared" si="377"/>
        <v>0</v>
      </c>
      <c r="DA81" s="649">
        <f t="shared" si="378"/>
        <v>0</v>
      </c>
      <c r="DB81" s="649">
        <f t="shared" si="379"/>
        <v>0</v>
      </c>
      <c r="DC81" s="649">
        <f t="shared" si="380"/>
        <v>0</v>
      </c>
      <c r="DD81" s="650">
        <f t="shared" si="381"/>
        <v>0</v>
      </c>
      <c r="DE81" s="645">
        <f>SUM(CW81:DD81)</f>
        <v>0</v>
      </c>
      <c r="DQ81" s="645">
        <f t="shared" si="382"/>
        <v>0</v>
      </c>
      <c r="FO81" s="85">
        <v>11</v>
      </c>
      <c r="FP81" s="520">
        <f>DATE(YEAR(EXPEDIENTE!$F$25)+3,FO81,1)</f>
        <v>47058</v>
      </c>
      <c r="FQ81" s="520" t="str">
        <f>IF('GASTOS EJER. 4'!I62="","",'GASTOS EJER. 4'!I62)</f>
        <v/>
      </c>
      <c r="FR81" s="527">
        <f>'GASTOS EJER. 4'!X30</f>
        <v>0</v>
      </c>
      <c r="FS81" s="527">
        <f>'GASTOS EJER. 4'!H62</f>
        <v>0</v>
      </c>
      <c r="FT81" s="11">
        <f t="shared" si="352"/>
        <v>0</v>
      </c>
      <c r="FU81" s="527">
        <f t="shared" si="337"/>
        <v>0</v>
      </c>
      <c r="HT81" s="85">
        <v>11</v>
      </c>
      <c r="HU81" s="520">
        <f>DATE(YEAR(EXPEDIENTE!$F$25)+3,HT81,1)</f>
        <v>47058</v>
      </c>
      <c r="HV81" s="520" t="str">
        <f>IF('GASTOS EJER. 4'!BF62="","",'GASTOS EJER. 4'!BF62)</f>
        <v/>
      </c>
      <c r="HW81" s="527">
        <f>'GASTOS EJER. 4'!CM30</f>
        <v>0</v>
      </c>
      <c r="HX81" s="527">
        <f>'GASTOS EJER. 4'!BA62</f>
        <v>0</v>
      </c>
      <c r="HY81" s="11">
        <f t="shared" si="353"/>
        <v>0</v>
      </c>
      <c r="HZ81" s="527">
        <f t="shared" si="341"/>
        <v>0</v>
      </c>
      <c r="JF81" s="480">
        <v>77</v>
      </c>
      <c r="JG81" s="474">
        <f t="shared" si="383"/>
        <v>30</v>
      </c>
    </row>
    <row r="82" spans="3:267" x14ac:dyDescent="0.3">
      <c r="BB82" s="596">
        <v>11</v>
      </c>
      <c r="BC82" s="598" t="e">
        <f t="shared" si="346"/>
        <v>#VALUE!</v>
      </c>
      <c r="BD82" s="601">
        <f t="shared" si="360"/>
        <v>0</v>
      </c>
      <c r="BE82" s="643">
        <f t="shared" si="361"/>
        <v>0</v>
      </c>
      <c r="BF82" s="643">
        <f t="shared" si="362"/>
        <v>0</v>
      </c>
      <c r="BG82" s="643">
        <f t="shared" si="363"/>
        <v>0</v>
      </c>
      <c r="BH82" s="643">
        <f t="shared" si="364"/>
        <v>0</v>
      </c>
      <c r="BI82" s="643">
        <f t="shared" si="365"/>
        <v>0</v>
      </c>
      <c r="BJ82" s="643">
        <f t="shared" si="366"/>
        <v>0</v>
      </c>
      <c r="BK82" s="644">
        <f t="shared" si="367"/>
        <v>0</v>
      </c>
      <c r="BL82" s="645">
        <f t="shared" si="347"/>
        <v>0</v>
      </c>
      <c r="BX82" s="645">
        <f t="shared" si="368"/>
        <v>0</v>
      </c>
      <c r="CU82" s="620">
        <v>11</v>
      </c>
      <c r="CV82" s="598" t="e">
        <f t="shared" si="349"/>
        <v>#VALUE!</v>
      </c>
      <c r="CW82" s="621">
        <f t="shared" si="375"/>
        <v>0</v>
      </c>
      <c r="CX82" s="649">
        <f t="shared" si="376"/>
        <v>0</v>
      </c>
      <c r="CY82" s="649">
        <f t="shared" si="350"/>
        <v>0</v>
      </c>
      <c r="CZ82" s="649">
        <f t="shared" si="377"/>
        <v>0</v>
      </c>
      <c r="DA82" s="649">
        <f t="shared" si="378"/>
        <v>0</v>
      </c>
      <c r="DB82" s="649">
        <f t="shared" si="379"/>
        <v>0</v>
      </c>
      <c r="DC82" s="649">
        <f t="shared" si="380"/>
        <v>0</v>
      </c>
      <c r="DD82" s="650">
        <f t="shared" si="381"/>
        <v>0</v>
      </c>
      <c r="DE82" s="645">
        <f t="shared" ref="DE82:DE83" si="384">SUM(CW82:DD82)</f>
        <v>0</v>
      </c>
      <c r="DQ82" s="645">
        <f t="shared" si="382"/>
        <v>0</v>
      </c>
      <c r="FO82" s="85">
        <v>12</v>
      </c>
      <c r="FP82" s="520">
        <f>DATE(YEAR(EXPEDIENTE!$F$25)+3,FO82,1)</f>
        <v>47088</v>
      </c>
      <c r="FQ82" s="520" t="str">
        <f>IF('GASTOS EJER. 4'!I63="","",'GASTOS EJER. 4'!I63)</f>
        <v/>
      </c>
      <c r="FR82" s="527">
        <f>'GASTOS EJER. 4'!X31</f>
        <v>0</v>
      </c>
      <c r="FS82" s="527">
        <f>'GASTOS EJER. 4'!H63</f>
        <v>0</v>
      </c>
      <c r="FT82" s="11">
        <f t="shared" si="352"/>
        <v>0</v>
      </c>
      <c r="FU82" s="527">
        <f t="shared" si="337"/>
        <v>0</v>
      </c>
      <c r="HT82" s="85">
        <v>12</v>
      </c>
      <c r="HU82" s="520">
        <f>DATE(YEAR(EXPEDIENTE!$F$25)+3,HT82,1)</f>
        <v>47088</v>
      </c>
      <c r="HV82" s="520" t="str">
        <f>IF('GASTOS EJER. 4'!BF63="","",'GASTOS EJER. 4'!BF63)</f>
        <v/>
      </c>
      <c r="HW82" s="527">
        <f>'GASTOS EJER. 4'!CM31</f>
        <v>0</v>
      </c>
      <c r="HX82" s="527">
        <f>'GASTOS EJER. 4'!BA63</f>
        <v>0</v>
      </c>
      <c r="HY82" s="11">
        <f t="shared" si="353"/>
        <v>0</v>
      </c>
      <c r="HZ82" s="527">
        <f t="shared" si="341"/>
        <v>0</v>
      </c>
      <c r="JF82" s="480">
        <v>78</v>
      </c>
      <c r="JG82" s="474">
        <f t="shared" si="383"/>
        <v>30</v>
      </c>
    </row>
    <row r="83" spans="3:267" ht="15.75" thickBot="1" x14ac:dyDescent="0.35">
      <c r="BB83" s="596">
        <v>12</v>
      </c>
      <c r="BC83" s="599" t="e">
        <f t="shared" si="346"/>
        <v>#VALUE!</v>
      </c>
      <c r="BD83" s="602">
        <f t="shared" si="360"/>
        <v>0</v>
      </c>
      <c r="BE83" s="646">
        <f t="shared" si="361"/>
        <v>0</v>
      </c>
      <c r="BF83" s="646">
        <f t="shared" si="362"/>
        <v>0</v>
      </c>
      <c r="BG83" s="646">
        <f t="shared" si="363"/>
        <v>0</v>
      </c>
      <c r="BH83" s="646">
        <f t="shared" si="364"/>
        <v>0</v>
      </c>
      <c r="BI83" s="646">
        <f t="shared" si="365"/>
        <v>0</v>
      </c>
      <c r="BJ83" s="646">
        <f t="shared" si="366"/>
        <v>0</v>
      </c>
      <c r="BK83" s="647">
        <f t="shared" si="367"/>
        <v>0</v>
      </c>
      <c r="BL83" s="648">
        <f t="shared" si="347"/>
        <v>0</v>
      </c>
      <c r="BX83" s="648">
        <f t="shared" si="368"/>
        <v>0</v>
      </c>
      <c r="CU83" s="620">
        <v>12</v>
      </c>
      <c r="CV83" s="599" t="e">
        <f t="shared" si="349"/>
        <v>#VALUE!</v>
      </c>
      <c r="CW83" s="622">
        <f t="shared" si="375"/>
        <v>0</v>
      </c>
      <c r="CX83" s="651">
        <f t="shared" si="376"/>
        <v>0</v>
      </c>
      <c r="CY83" s="651">
        <f t="shared" si="350"/>
        <v>0</v>
      </c>
      <c r="CZ83" s="651">
        <f t="shared" si="377"/>
        <v>0</v>
      </c>
      <c r="DA83" s="651">
        <f t="shared" si="378"/>
        <v>0</v>
      </c>
      <c r="DB83" s="651">
        <f t="shared" si="379"/>
        <v>0</v>
      </c>
      <c r="DC83" s="651">
        <f t="shared" si="380"/>
        <v>0</v>
      </c>
      <c r="DD83" s="652">
        <f t="shared" si="381"/>
        <v>0</v>
      </c>
      <c r="DE83" s="648">
        <f t="shared" si="384"/>
        <v>0</v>
      </c>
      <c r="DQ83" s="648">
        <f t="shared" si="382"/>
        <v>0</v>
      </c>
      <c r="JF83" s="480">
        <v>79</v>
      </c>
      <c r="JG83" s="474">
        <f t="shared" si="383"/>
        <v>30</v>
      </c>
    </row>
    <row r="84" spans="3:267" x14ac:dyDescent="0.3">
      <c r="JF84" s="485">
        <v>80</v>
      </c>
      <c r="JG84" s="474">
        <f t="shared" si="383"/>
        <v>30</v>
      </c>
    </row>
    <row r="85" spans="3:267" x14ac:dyDescent="0.3">
      <c r="JF85" s="477">
        <v>81</v>
      </c>
      <c r="JG85" s="474">
        <f t="shared" si="383"/>
        <v>32</v>
      </c>
    </row>
    <row r="86" spans="3:267" x14ac:dyDescent="0.3">
      <c r="JF86" s="480">
        <v>82</v>
      </c>
      <c r="JG86" s="474">
        <f t="shared" si="383"/>
        <v>32</v>
      </c>
    </row>
    <row r="87" spans="3:267" x14ac:dyDescent="0.3">
      <c r="JF87" s="480">
        <v>83</v>
      </c>
      <c r="JG87" s="474">
        <f t="shared" si="383"/>
        <v>32</v>
      </c>
    </row>
    <row r="88" spans="3:267" x14ac:dyDescent="0.3">
      <c r="JF88" s="480">
        <v>84</v>
      </c>
      <c r="JG88" s="474">
        <f t="shared" si="383"/>
        <v>32</v>
      </c>
    </row>
    <row r="89" spans="3:267" x14ac:dyDescent="0.3">
      <c r="JF89" s="485">
        <v>85</v>
      </c>
      <c r="JG89" s="474">
        <f t="shared" si="383"/>
        <v>32</v>
      </c>
    </row>
    <row r="90" spans="3:267" x14ac:dyDescent="0.3">
      <c r="JF90" s="477">
        <v>86</v>
      </c>
      <c r="JG90" s="474">
        <f t="shared" si="383"/>
        <v>34</v>
      </c>
    </row>
    <row r="91" spans="3:267" x14ac:dyDescent="0.3">
      <c r="JF91" s="480">
        <v>87</v>
      </c>
      <c r="JG91" s="474">
        <f t="shared" si="383"/>
        <v>34</v>
      </c>
    </row>
    <row r="92" spans="3:267" x14ac:dyDescent="0.3">
      <c r="JF92" s="480">
        <v>88</v>
      </c>
      <c r="JG92" s="474">
        <f t="shared" si="383"/>
        <v>34</v>
      </c>
    </row>
    <row r="93" spans="3:267" x14ac:dyDescent="0.3">
      <c r="JF93" s="480">
        <v>89</v>
      </c>
      <c r="JG93" s="474">
        <f t="shared" si="383"/>
        <v>34</v>
      </c>
    </row>
    <row r="94" spans="3:267" x14ac:dyDescent="0.3">
      <c r="JF94" s="485">
        <v>90</v>
      </c>
      <c r="JG94" s="474">
        <f t="shared" si="383"/>
        <v>34</v>
      </c>
    </row>
    <row r="95" spans="3:267" x14ac:dyDescent="0.3">
      <c r="JF95" s="477">
        <v>91</v>
      </c>
      <c r="JG95" s="474">
        <f t="shared" si="383"/>
        <v>36</v>
      </c>
    </row>
    <row r="96" spans="3:267" x14ac:dyDescent="0.3">
      <c r="JF96" s="480">
        <v>92</v>
      </c>
      <c r="JG96" s="474">
        <f t="shared" si="383"/>
        <v>36</v>
      </c>
    </row>
    <row r="97" spans="266:267" x14ac:dyDescent="0.3">
      <c r="JF97" s="480">
        <v>93</v>
      </c>
      <c r="JG97" s="474">
        <f t="shared" si="383"/>
        <v>36</v>
      </c>
    </row>
    <row r="98" spans="266:267" x14ac:dyDescent="0.3">
      <c r="JF98" s="480">
        <v>94</v>
      </c>
      <c r="JG98" s="474">
        <f t="shared" si="383"/>
        <v>36</v>
      </c>
    </row>
    <row r="99" spans="266:267" x14ac:dyDescent="0.3">
      <c r="JF99" s="485">
        <v>95</v>
      </c>
      <c r="JG99" s="474">
        <f t="shared" si="383"/>
        <v>36</v>
      </c>
    </row>
    <row r="100" spans="266:267" x14ac:dyDescent="0.3">
      <c r="JF100" s="477">
        <v>96</v>
      </c>
      <c r="JG100" s="474">
        <f t="shared" si="383"/>
        <v>38</v>
      </c>
    </row>
    <row r="101" spans="266:267" x14ac:dyDescent="0.3">
      <c r="JF101" s="480">
        <v>97</v>
      </c>
      <c r="JG101" s="474">
        <f t="shared" si="383"/>
        <v>38</v>
      </c>
    </row>
    <row r="102" spans="266:267" x14ac:dyDescent="0.3">
      <c r="JF102" s="480">
        <v>98</v>
      </c>
      <c r="JG102" s="474">
        <f t="shared" si="383"/>
        <v>38</v>
      </c>
    </row>
    <row r="103" spans="266:267" x14ac:dyDescent="0.3">
      <c r="JF103" s="480">
        <v>99</v>
      </c>
      <c r="JG103" s="474">
        <f t="shared" si="383"/>
        <v>38</v>
      </c>
    </row>
    <row r="104" spans="266:267" x14ac:dyDescent="0.3">
      <c r="JF104" s="485">
        <v>100</v>
      </c>
      <c r="JG104" s="474">
        <f t="shared" si="383"/>
        <v>38</v>
      </c>
    </row>
  </sheetData>
  <sheetProtection algorithmName="SHA-512" hashValue="A5HTtKDaASRdL/4+xtD29w8t0hVUJcE8Ziin6uBUw9nhX/D9tvULczrUMzzMWqeiczTmyHJB8KLW1k6zeV9Ngg==" saltValue="k0kvsaEFawWcIatM8BYDHw==" spinCount="100000" sheet="1" objects="1" scenarios="1" selectLockedCells="1" selectUnlockedCells="1"/>
  <mergeCells count="518">
    <mergeCell ref="AV53:AV55"/>
    <mergeCell ref="AY52:AY55"/>
    <mergeCell ref="AV69:AV71"/>
    <mergeCell ref="AY68:AY71"/>
    <mergeCell ref="AG36:AG39"/>
    <mergeCell ref="AG52:AG55"/>
    <mergeCell ref="DN38:DN39"/>
    <mergeCell ref="DO38:DO39"/>
    <mergeCell ref="CG52:CG55"/>
    <mergeCell ref="CH52:CH55"/>
    <mergeCell ref="CI52:CI55"/>
    <mergeCell ref="CV69:CV71"/>
    <mergeCell ref="AG68:AG71"/>
    <mergeCell ref="DD70:DD71"/>
    <mergeCell ref="DE70:DE71"/>
    <mergeCell ref="CW70:CW71"/>
    <mergeCell ref="CX70:CX71"/>
    <mergeCell ref="CY70:CY71"/>
    <mergeCell ref="CZ70:CZ71"/>
    <mergeCell ref="DA70:DA71"/>
    <mergeCell ref="DB70:DB71"/>
    <mergeCell ref="DC70:DC71"/>
    <mergeCell ref="CJ69:CJ71"/>
    <mergeCell ref="CK69:CK71"/>
    <mergeCell ref="JF2:JJ2"/>
    <mergeCell ref="BZ68:BZ71"/>
    <mergeCell ref="CA36:CA39"/>
    <mergeCell ref="CB36:CB39"/>
    <mergeCell ref="CC36:CC39"/>
    <mergeCell ref="CD36:CD39"/>
    <mergeCell ref="CA52:CA55"/>
    <mergeCell ref="CB52:CB55"/>
    <mergeCell ref="CC52:CC55"/>
    <mergeCell ref="CD52:CD55"/>
    <mergeCell ref="CA68:CA71"/>
    <mergeCell ref="CB68:CB71"/>
    <mergeCell ref="CC68:CC71"/>
    <mergeCell ref="CD68:CD71"/>
    <mergeCell ref="IQ2:JD2"/>
    <mergeCell ref="DQ69:DQ70"/>
    <mergeCell ref="BZ3:DQ3"/>
    <mergeCell ref="CC20:CC23"/>
    <mergeCell ref="BZ20:BZ23"/>
    <mergeCell ref="CA20:CA23"/>
    <mergeCell ref="CB20:CB23"/>
    <mergeCell ref="CD20:CD23"/>
    <mergeCell ref="BZ36:BZ39"/>
    <mergeCell ref="BZ52:BZ55"/>
    <mergeCell ref="BZ18:CD18"/>
    <mergeCell ref="CF18:CS18"/>
    <mergeCell ref="CO21:CO23"/>
    <mergeCell ref="CR20:CR23"/>
    <mergeCell ref="CV21:CV23"/>
    <mergeCell ref="CV37:CV39"/>
    <mergeCell ref="CV53:CV55"/>
    <mergeCell ref="CJ52:CL52"/>
    <mergeCell ref="CM52:CP52"/>
    <mergeCell ref="CQ52:CQ54"/>
    <mergeCell ref="CS52:CS55"/>
    <mergeCell ref="CL53:CL55"/>
    <mergeCell ref="CM53:CM55"/>
    <mergeCell ref="CN53:CN55"/>
    <mergeCell ref="CP53:CP55"/>
    <mergeCell ref="CK37:CK39"/>
    <mergeCell ref="CO37:CO39"/>
    <mergeCell ref="CR36:CR39"/>
    <mergeCell ref="CR52:CR55"/>
    <mergeCell ref="AG18:AK18"/>
    <mergeCell ref="AM18:AZ18"/>
    <mergeCell ref="AV21:AV23"/>
    <mergeCell ref="AY20:AY23"/>
    <mergeCell ref="BC21:BC23"/>
    <mergeCell ref="BC37:BC39"/>
    <mergeCell ref="BC53:BC55"/>
    <mergeCell ref="BC69:BC71"/>
    <mergeCell ref="AH20:AH23"/>
    <mergeCell ref="AI20:AI23"/>
    <mergeCell ref="AK20:AK23"/>
    <mergeCell ref="AH36:AH39"/>
    <mergeCell ref="AI36:AI39"/>
    <mergeCell ref="AK36:AK39"/>
    <mergeCell ref="AH52:AH55"/>
    <mergeCell ref="AI52:AI55"/>
    <mergeCell ref="AK52:AK55"/>
    <mergeCell ref="AJ20:AJ23"/>
    <mergeCell ref="AJ36:AJ39"/>
    <mergeCell ref="AJ52:AJ55"/>
    <mergeCell ref="AT68:AW68"/>
    <mergeCell ref="AX68:AX70"/>
    <mergeCell ref="AZ68:AZ71"/>
    <mergeCell ref="AQ69:AQ71"/>
    <mergeCell ref="DQ53:DQ54"/>
    <mergeCell ref="CW54:CW55"/>
    <mergeCell ref="CX54:CX55"/>
    <mergeCell ref="CY54:CY55"/>
    <mergeCell ref="CZ54:CZ55"/>
    <mergeCell ref="DA54:DA55"/>
    <mergeCell ref="DB54:DB55"/>
    <mergeCell ref="DC54:DC55"/>
    <mergeCell ref="DD54:DD55"/>
    <mergeCell ref="DE54:DE55"/>
    <mergeCell ref="DG54:DG55"/>
    <mergeCell ref="DH54:DH55"/>
    <mergeCell ref="DI54:DI55"/>
    <mergeCell ref="DG53:DO53"/>
    <mergeCell ref="CW53:DE53"/>
    <mergeCell ref="DM54:DM55"/>
    <mergeCell ref="DN54:DN55"/>
    <mergeCell ref="DO54:DO55"/>
    <mergeCell ref="CF68:CF71"/>
    <mergeCell ref="CG68:CG71"/>
    <mergeCell ref="CH68:CH71"/>
    <mergeCell ref="CI68:CI71"/>
    <mergeCell ref="CJ68:CL68"/>
    <mergeCell ref="CM68:CP68"/>
    <mergeCell ref="CQ68:CQ70"/>
    <mergeCell ref="CS68:CS71"/>
    <mergeCell ref="CL69:CL71"/>
    <mergeCell ref="CM69:CM71"/>
    <mergeCell ref="CN69:CN71"/>
    <mergeCell ref="CP69:CP71"/>
    <mergeCell ref="CW69:DE69"/>
    <mergeCell ref="DJ54:DJ55"/>
    <mergeCell ref="DK54:DK55"/>
    <mergeCell ref="DL54:DL55"/>
    <mergeCell ref="CJ53:CJ55"/>
    <mergeCell ref="CK53:CK55"/>
    <mergeCell ref="CF52:CF55"/>
    <mergeCell ref="CO53:CO55"/>
    <mergeCell ref="DQ37:DQ38"/>
    <mergeCell ref="CW38:CW39"/>
    <mergeCell ref="CX38:CX39"/>
    <mergeCell ref="CY38:CY39"/>
    <mergeCell ref="CZ38:CZ39"/>
    <mergeCell ref="DA38:DA39"/>
    <mergeCell ref="DB38:DB39"/>
    <mergeCell ref="DC38:DC39"/>
    <mergeCell ref="DD38:DD39"/>
    <mergeCell ref="DE38:DE39"/>
    <mergeCell ref="DG38:DG39"/>
    <mergeCell ref="DH38:DH39"/>
    <mergeCell ref="DI38:DI39"/>
    <mergeCell ref="DJ38:DJ39"/>
    <mergeCell ref="DK38:DK39"/>
    <mergeCell ref="DL38:DL39"/>
    <mergeCell ref="DM38:DM39"/>
    <mergeCell ref="CW37:DE37"/>
    <mergeCell ref="DG37:DO37"/>
    <mergeCell ref="DQ21:DQ22"/>
    <mergeCell ref="CW22:CW23"/>
    <mergeCell ref="CX22:CX23"/>
    <mergeCell ref="CY22:CY23"/>
    <mergeCell ref="CZ22:CZ23"/>
    <mergeCell ref="DA22:DA23"/>
    <mergeCell ref="DB22:DB23"/>
    <mergeCell ref="DC22:DC23"/>
    <mergeCell ref="DD22:DD23"/>
    <mergeCell ref="DE22:DE23"/>
    <mergeCell ref="DG22:DG23"/>
    <mergeCell ref="DH22:DH23"/>
    <mergeCell ref="DI22:DI23"/>
    <mergeCell ref="DJ22:DJ23"/>
    <mergeCell ref="DO22:DO23"/>
    <mergeCell ref="CW21:DE21"/>
    <mergeCell ref="DG21:DO21"/>
    <mergeCell ref="DM22:DM23"/>
    <mergeCell ref="DN22:DN23"/>
    <mergeCell ref="BN53:BV53"/>
    <mergeCell ref="BV54:BV55"/>
    <mergeCell ref="BX53:BX54"/>
    <mergeCell ref="BN54:BN55"/>
    <mergeCell ref="BO54:BO55"/>
    <mergeCell ref="BP54:BP55"/>
    <mergeCell ref="BQ54:BQ55"/>
    <mergeCell ref="BR54:BR55"/>
    <mergeCell ref="CS20:CS23"/>
    <mergeCell ref="CJ21:CJ23"/>
    <mergeCell ref="CF36:CF39"/>
    <mergeCell ref="CG36:CG39"/>
    <mergeCell ref="CH36:CH39"/>
    <mergeCell ref="CI36:CI39"/>
    <mergeCell ref="CJ36:CL36"/>
    <mergeCell ref="BR38:BR39"/>
    <mergeCell ref="BS38:BS39"/>
    <mergeCell ref="BT38:BT39"/>
    <mergeCell ref="BU38:BU39"/>
    <mergeCell ref="CQ20:CQ22"/>
    <mergeCell ref="CK21:CK23"/>
    <mergeCell ref="CL21:CL23"/>
    <mergeCell ref="CM36:CP36"/>
    <mergeCell ref="CQ36:CQ38"/>
    <mergeCell ref="BS54:BS55"/>
    <mergeCell ref="BT54:BT55"/>
    <mergeCell ref="BU54:BU55"/>
    <mergeCell ref="BG54:BG55"/>
    <mergeCell ref="BH54:BH55"/>
    <mergeCell ref="BI54:BI55"/>
    <mergeCell ref="BJ54:BJ55"/>
    <mergeCell ref="BK54:BK55"/>
    <mergeCell ref="BL54:BL55"/>
    <mergeCell ref="BD69:BL69"/>
    <mergeCell ref="BL70:BL71"/>
    <mergeCell ref="BX21:BX22"/>
    <mergeCell ref="BX37:BX38"/>
    <mergeCell ref="BX69:BX70"/>
    <mergeCell ref="BS22:BS23"/>
    <mergeCell ref="BT22:BT23"/>
    <mergeCell ref="BU22:BU23"/>
    <mergeCell ref="BO22:BO23"/>
    <mergeCell ref="BP22:BP23"/>
    <mergeCell ref="BQ22:BQ23"/>
    <mergeCell ref="BR22:BR23"/>
    <mergeCell ref="BN22:BN23"/>
    <mergeCell ref="BD70:BD71"/>
    <mergeCell ref="BE70:BE71"/>
    <mergeCell ref="BF70:BF71"/>
    <mergeCell ref="BG70:BG71"/>
    <mergeCell ref="BH70:BH71"/>
    <mergeCell ref="BI70:BI71"/>
    <mergeCell ref="BJ70:BJ71"/>
    <mergeCell ref="BK70:BK71"/>
    <mergeCell ref="BD54:BD55"/>
    <mergeCell ref="BE54:BE55"/>
    <mergeCell ref="BF54:BF55"/>
    <mergeCell ref="AR69:AR71"/>
    <mergeCell ref="AS69:AS71"/>
    <mergeCell ref="AT69:AT71"/>
    <mergeCell ref="AU69:AU71"/>
    <mergeCell ref="AW69:AW71"/>
    <mergeCell ref="AM68:AM71"/>
    <mergeCell ref="AN68:AN71"/>
    <mergeCell ref="AO68:AO71"/>
    <mergeCell ref="AP68:AP71"/>
    <mergeCell ref="AQ68:AS68"/>
    <mergeCell ref="AH68:AH71"/>
    <mergeCell ref="AI68:AI71"/>
    <mergeCell ref="AK68:AK71"/>
    <mergeCell ref="AJ68:AJ71"/>
    <mergeCell ref="AQ53:AQ55"/>
    <mergeCell ref="AR53:AR55"/>
    <mergeCell ref="AZ36:AZ39"/>
    <mergeCell ref="AW37:AW39"/>
    <mergeCell ref="AM52:AM55"/>
    <mergeCell ref="AN52:AN55"/>
    <mergeCell ref="AO52:AO55"/>
    <mergeCell ref="AP52:AP55"/>
    <mergeCell ref="AQ52:AS52"/>
    <mergeCell ref="AT52:AW52"/>
    <mergeCell ref="AX52:AX54"/>
    <mergeCell ref="AZ52:AZ55"/>
    <mergeCell ref="AS53:AS55"/>
    <mergeCell ref="AT53:AT55"/>
    <mergeCell ref="AU53:AU55"/>
    <mergeCell ref="AW53:AW55"/>
    <mergeCell ref="AU37:AU39"/>
    <mergeCell ref="AP36:AP39"/>
    <mergeCell ref="AQ36:AS36"/>
    <mergeCell ref="AT36:AW36"/>
    <mergeCell ref="AM36:AM39"/>
    <mergeCell ref="AN36:AN39"/>
    <mergeCell ref="AO36:AO39"/>
    <mergeCell ref="AT20:AW20"/>
    <mergeCell ref="AQ20:AS20"/>
    <mergeCell ref="AM20:AM23"/>
    <mergeCell ref="AN20:AN23"/>
    <mergeCell ref="AO20:AO23"/>
    <mergeCell ref="AP20:AP23"/>
    <mergeCell ref="AQ37:AQ39"/>
    <mergeCell ref="AR37:AR39"/>
    <mergeCell ref="AS37:AS39"/>
    <mergeCell ref="AT37:AT39"/>
    <mergeCell ref="AQ21:AQ23"/>
    <mergeCell ref="AR21:AR23"/>
    <mergeCell ref="AS21:AS23"/>
    <mergeCell ref="AV37:AV39"/>
    <mergeCell ref="BL38:BL39"/>
    <mergeCell ref="BG38:BG39"/>
    <mergeCell ref="BH38:BH39"/>
    <mergeCell ref="AX36:AX38"/>
    <mergeCell ref="DK22:DK23"/>
    <mergeCell ref="DL22:DL23"/>
    <mergeCell ref="BD37:BL37"/>
    <mergeCell ref="BN37:BV37"/>
    <mergeCell ref="BV38:BV39"/>
    <mergeCell ref="BN38:BN39"/>
    <mergeCell ref="BO38:BO39"/>
    <mergeCell ref="BP38:BP39"/>
    <mergeCell ref="BQ38:BQ39"/>
    <mergeCell ref="CS36:CS39"/>
    <mergeCell ref="CJ37:CJ39"/>
    <mergeCell ref="CL37:CL39"/>
    <mergeCell ref="CM37:CM39"/>
    <mergeCell ref="CN37:CN39"/>
    <mergeCell ref="CP37:CP39"/>
    <mergeCell ref="BG22:BG23"/>
    <mergeCell ref="BH22:BH23"/>
    <mergeCell ref="AY36:AY39"/>
    <mergeCell ref="BJ38:BJ39"/>
    <mergeCell ref="BK38:BK39"/>
    <mergeCell ref="DG6:DG7"/>
    <mergeCell ref="DH6:DH7"/>
    <mergeCell ref="DI6:DI7"/>
    <mergeCell ref="DJ6:DJ7"/>
    <mergeCell ref="DO6:DO7"/>
    <mergeCell ref="CF20:CF23"/>
    <mergeCell ref="CG20:CG23"/>
    <mergeCell ref="CH20:CH23"/>
    <mergeCell ref="CI20:CI23"/>
    <mergeCell ref="DK6:DK7"/>
    <mergeCell ref="DL6:DL7"/>
    <mergeCell ref="DM6:DM7"/>
    <mergeCell ref="DN6:DN7"/>
    <mergeCell ref="CJ20:CL20"/>
    <mergeCell ref="CM20:CP20"/>
    <mergeCell ref="CM21:CM23"/>
    <mergeCell ref="CN21:CN23"/>
    <mergeCell ref="CP21:CP23"/>
    <mergeCell ref="IB2:IO2"/>
    <mergeCell ref="EJ4:EJ6"/>
    <mergeCell ref="EK4:EK6"/>
    <mergeCell ref="EL4:EL6"/>
    <mergeCell ref="EM4:EM6"/>
    <mergeCell ref="EN4:EN6"/>
    <mergeCell ref="EO4:EO6"/>
    <mergeCell ref="EP4:EP6"/>
    <mergeCell ref="EQ4:EQ6"/>
    <mergeCell ref="ER4:ER6"/>
    <mergeCell ref="ES4:ES6"/>
    <mergeCell ref="ET4:ET6"/>
    <mergeCell ref="FM4:FM6"/>
    <mergeCell ref="FD4:FD6"/>
    <mergeCell ref="FE4:FE6"/>
    <mergeCell ref="FF4:FF6"/>
    <mergeCell ref="FG4:FG6"/>
    <mergeCell ref="FH4:FH6"/>
    <mergeCell ref="FI4:FI6"/>
    <mergeCell ref="FJ4:FJ6"/>
    <mergeCell ref="FW2:HZ2"/>
    <mergeCell ref="DS2:FU2"/>
    <mergeCell ref="FK4:FK6"/>
    <mergeCell ref="FL4:FL6"/>
    <mergeCell ref="V3:W3"/>
    <mergeCell ref="V8:V27"/>
    <mergeCell ref="V28:V32"/>
    <mergeCell ref="O15:P15"/>
    <mergeCell ref="DT20:DT22"/>
    <mergeCell ref="DX20:DX22"/>
    <mergeCell ref="DY20:DY22"/>
    <mergeCell ref="EX4:EX6"/>
    <mergeCell ref="BP6:BP7"/>
    <mergeCell ref="BQ6:BQ7"/>
    <mergeCell ref="BR6:BR7"/>
    <mergeCell ref="BS6:BS7"/>
    <mergeCell ref="BT6:BT7"/>
    <mergeCell ref="BU6:BU7"/>
    <mergeCell ref="BV6:BV7"/>
    <mergeCell ref="Y3:AE3"/>
    <mergeCell ref="BD22:BD23"/>
    <mergeCell ref="AZ20:AZ23"/>
    <mergeCell ref="BD21:BL21"/>
    <mergeCell ref="BI22:BI23"/>
    <mergeCell ref="BJ22:BJ23"/>
    <mergeCell ref="BK22:BK23"/>
    <mergeCell ref="AG3:BX3"/>
    <mergeCell ref="DG5:DO5"/>
    <mergeCell ref="AG20:AG23"/>
    <mergeCell ref="BN5:BV5"/>
    <mergeCell ref="BN6:BN7"/>
    <mergeCell ref="B3:M3"/>
    <mergeCell ref="O3:P3"/>
    <mergeCell ref="R3:S3"/>
    <mergeCell ref="D5:D6"/>
    <mergeCell ref="E5:E6"/>
    <mergeCell ref="F5:F6"/>
    <mergeCell ref="G5:I5"/>
    <mergeCell ref="J5:M5"/>
    <mergeCell ref="O5:O7"/>
    <mergeCell ref="J6:M6"/>
    <mergeCell ref="BO6:BO7"/>
    <mergeCell ref="BN21:BV21"/>
    <mergeCell ref="AT21:AT23"/>
    <mergeCell ref="AU21:AU23"/>
    <mergeCell ref="AW21:AW23"/>
    <mergeCell ref="AX20:AX22"/>
    <mergeCell ref="BL22:BL23"/>
    <mergeCell ref="BV22:BV23"/>
    <mergeCell ref="BE22:BE23"/>
    <mergeCell ref="BF22:BF23"/>
    <mergeCell ref="O11:O13"/>
    <mergeCell ref="DT52:DT54"/>
    <mergeCell ref="DU52:DW52"/>
    <mergeCell ref="DX52:DX54"/>
    <mergeCell ref="DY52:DY54"/>
    <mergeCell ref="EZ4:EZ6"/>
    <mergeCell ref="FA4:FA6"/>
    <mergeCell ref="FB4:FB6"/>
    <mergeCell ref="FC4:FC6"/>
    <mergeCell ref="DZ20:DZ22"/>
    <mergeCell ref="EA20:EA22"/>
    <mergeCell ref="DU20:DW20"/>
    <mergeCell ref="EE4:EE6"/>
    <mergeCell ref="ED4:ED6"/>
    <mergeCell ref="EF4:EF6"/>
    <mergeCell ref="EG4:EG6"/>
    <mergeCell ref="EH4:EH6"/>
    <mergeCell ref="EI4:EI6"/>
    <mergeCell ref="EU4:EU6"/>
    <mergeCell ref="EV4:EV6"/>
    <mergeCell ref="EW4:EW6"/>
    <mergeCell ref="EY4:EY6"/>
    <mergeCell ref="DZ52:DZ54"/>
    <mergeCell ref="EA52:EA54"/>
    <mergeCell ref="DU53:DU54"/>
    <mergeCell ref="GH4:GH6"/>
    <mergeCell ref="GI4:GI6"/>
    <mergeCell ref="GJ4:GJ6"/>
    <mergeCell ref="GK4:GK6"/>
    <mergeCell ref="GL4:GL6"/>
    <mergeCell ref="GM4:GM6"/>
    <mergeCell ref="GN4:GN6"/>
    <mergeCell ref="GO4:GO6"/>
    <mergeCell ref="GP4:GP6"/>
    <mergeCell ref="GQ4:GQ6"/>
    <mergeCell ref="GR4:GR6"/>
    <mergeCell ref="GS4:GS6"/>
    <mergeCell ref="GT4:GT6"/>
    <mergeCell ref="GU4:GU6"/>
    <mergeCell ref="GV4:GV6"/>
    <mergeCell ref="GW4:GW6"/>
    <mergeCell ref="GX4:GX6"/>
    <mergeCell ref="GY4:GY6"/>
    <mergeCell ref="GZ4:GZ6"/>
    <mergeCell ref="HA4:HA6"/>
    <mergeCell ref="HB4:HB6"/>
    <mergeCell ref="HC4:HC6"/>
    <mergeCell ref="HD4:HD6"/>
    <mergeCell ref="HN4:HN6"/>
    <mergeCell ref="HO4:HO6"/>
    <mergeCell ref="HP4:HP6"/>
    <mergeCell ref="HQ4:HQ6"/>
    <mergeCell ref="HE4:HE6"/>
    <mergeCell ref="HF4:HF6"/>
    <mergeCell ref="HG4:HG6"/>
    <mergeCell ref="HH4:HH6"/>
    <mergeCell ref="HI4:HI6"/>
    <mergeCell ref="HJ4:HJ6"/>
    <mergeCell ref="HK4:HK6"/>
    <mergeCell ref="HL4:HL6"/>
    <mergeCell ref="HM4:HM6"/>
    <mergeCell ref="GE36:GE38"/>
    <mergeCell ref="FY37:FY38"/>
    <mergeCell ref="FZ37:FZ38"/>
    <mergeCell ref="GA37:GA38"/>
    <mergeCell ref="FX20:FX22"/>
    <mergeCell ref="FY20:GA20"/>
    <mergeCell ref="GB20:GB22"/>
    <mergeCell ref="GC20:GC22"/>
    <mergeCell ref="GD20:GD22"/>
    <mergeCell ref="GE20:GE22"/>
    <mergeCell ref="FY21:FY22"/>
    <mergeCell ref="FZ21:FZ22"/>
    <mergeCell ref="GA21:GA22"/>
    <mergeCell ref="FX36:FX38"/>
    <mergeCell ref="FY36:GA36"/>
    <mergeCell ref="GB36:GB38"/>
    <mergeCell ref="GC36:GC38"/>
    <mergeCell ref="GD36:GD38"/>
    <mergeCell ref="GE68:GE70"/>
    <mergeCell ref="FY69:FY70"/>
    <mergeCell ref="FZ69:FZ70"/>
    <mergeCell ref="GA69:GA70"/>
    <mergeCell ref="FX52:FX54"/>
    <mergeCell ref="FY52:GA52"/>
    <mergeCell ref="GB52:GB54"/>
    <mergeCell ref="GC52:GC54"/>
    <mergeCell ref="GD52:GD54"/>
    <mergeCell ref="GE52:GE54"/>
    <mergeCell ref="FY53:FY54"/>
    <mergeCell ref="FZ53:FZ54"/>
    <mergeCell ref="GA53:GA54"/>
    <mergeCell ref="GD68:GD70"/>
    <mergeCell ref="FX68:FX70"/>
    <mergeCell ref="FY68:GA68"/>
    <mergeCell ref="GB68:GB70"/>
    <mergeCell ref="GC68:GC70"/>
    <mergeCell ref="DT68:DT70"/>
    <mergeCell ref="DU68:DW68"/>
    <mergeCell ref="DX68:DX70"/>
    <mergeCell ref="DY68:DY70"/>
    <mergeCell ref="DZ68:DZ70"/>
    <mergeCell ref="EA68:EA70"/>
    <mergeCell ref="DU69:DU70"/>
    <mergeCell ref="DV69:DV70"/>
    <mergeCell ref="DW69:DW70"/>
    <mergeCell ref="DV53:DV54"/>
    <mergeCell ref="DW53:DW54"/>
    <mergeCell ref="DU36:DW36"/>
    <mergeCell ref="DZ36:DZ38"/>
    <mergeCell ref="EA36:EA38"/>
    <mergeCell ref="DU37:DU38"/>
    <mergeCell ref="CR68:CR71"/>
    <mergeCell ref="CO69:CO71"/>
    <mergeCell ref="AK12:AK15"/>
    <mergeCell ref="AX13:AX16"/>
    <mergeCell ref="AZ13:AZ16"/>
    <mergeCell ref="DU21:DU22"/>
    <mergeCell ref="DV21:DV22"/>
    <mergeCell ref="DW21:DW22"/>
    <mergeCell ref="DV37:DV38"/>
    <mergeCell ref="DW37:DW38"/>
    <mergeCell ref="DT36:DT38"/>
    <mergeCell ref="DX36:DX38"/>
    <mergeCell ref="DY36:DY38"/>
    <mergeCell ref="BD53:BL53"/>
    <mergeCell ref="BD38:BD39"/>
    <mergeCell ref="BE38:BE39"/>
    <mergeCell ref="BF38:BF39"/>
    <mergeCell ref="BI38:BI39"/>
  </mergeCells>
  <phoneticPr fontId="3" type="noConversion"/>
  <dataValidations count="2">
    <dataValidation type="list" allowBlank="1" showInputMessage="1" showErrorMessage="1" sqref="J7:J81" xr:uid="{99A39884-97A7-468D-8C91-96EBFAF5ABD0}">
      <formula1>"SÍ"</formula1>
    </dataValidation>
    <dataValidation type="list" allowBlank="1" showInputMessage="1" showErrorMessage="1" sqref="S5" xr:uid="{886EAB5A-48B6-4F03-8B8B-9DC617E81158}">
      <formula1>"SÍ,NO"</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stopIfTrue="1" id="{27388252-46D3-4945-9D2F-F3890A085C9A}">
            <xm:f>OR(USUARIO!$C$2="",$W$6&lt;&gt;USUARIO!$C$2)</xm:f>
            <x14:dxf>
              <font>
                <color theme="0"/>
              </font>
              <fill>
                <patternFill>
                  <bgColor theme="0"/>
                </patternFill>
              </fill>
              <border>
                <left/>
                <right/>
                <top/>
                <bottom/>
                <vertical/>
                <horizontal/>
              </border>
            </x14:dxf>
          </x14:cfRule>
          <xm:sqref>B1:JI1 B2:JF2 B3:AG3 BY3:BZ3 DR3:JI3 B4:JI5 AB6:JI6 B6:AA54 AF7:JI7 AB7:AE54 AF8:BM12 BV8:DF17 BN8:BU19 DG8:JI19 AL13:AZ13 AF13:AJ15 BA13:BM16 AL14:AV15 AY14:AY16 AF16:AV16 AF17:BM17 AF18:AG18 AL18:AM18 BA18:BM18 BV18:BZ18 CE18:CF18 CT18:DF18 AF19:BM19 BV19:DF19 AF20:JI20 AL21:BY21 CO21 CR21:JI21 AF21:AF23 CE21:CN23 CP21:CQ23 AL22:AU23 AW22:BB23 BD22:BY23 CR22:CU23 CW22:JI23 AF24:JI35 AF36:AX36 AZ36:CQ36 CS36:JI37 AY36:AY40 CR36:CR47 AV37:AX37 AZ37:BY37 CO37:CQ37 AL37:AU39 CE37:CN39 AF37:AF40 AW38:AX39 AZ38:BB39 BD38:BY39 CP38:CQ39 CS38:CU39 CW38:JI39 AG40:AU40 AV40:CQ47 CS40:DF47 DG40:JI51 AF41:AU47 AF48:DF51 AF52:AX52 AZ52:CQ52 CS52:JI53 AY52:AY55 CR52:CR63 AV53:AX53 AZ53:BY53 CO53:CQ53 AF53:AF54 AL53:AU55 CE53:CN55 AW54:AX55 AZ54:BB55 BD54:BY55 CP54:CQ55 CS54:CU55 CW54:JI55 B55:AF56 AG56:AU56 AV56:CQ63 CS56:JI63 B57:AU63 B64:JI67 B68:AX68 AZ68:CQ68 CS68:JI69 AY68:AY79 CR68:CR79 AV69:AX69 AZ69:BY69 CO69 AL69:AU71 CE69:CN71 B69:AF72 CP69:CQ79 AW70:AX71 AZ70:BB71 BD70:BY71 CS70:CU71 CW70:JI71 AG72:AU72 AV72:AX79 AZ72:CO79 CS72:JI79 B73:AU79 B80:JI1048576</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268F5-DF01-49C7-ACC1-7F54DE7F041D}">
  <dimension ref="B1:C2"/>
  <sheetViews>
    <sheetView showGridLines="0" workbookViewId="0">
      <selection activeCell="C2" sqref="C2"/>
    </sheetView>
  </sheetViews>
  <sheetFormatPr baseColWidth="10" defaultColWidth="11.42578125" defaultRowHeight="15" x14ac:dyDescent="0.3"/>
  <cols>
    <col min="1" max="1" width="5.7109375" style="4" customWidth="1"/>
    <col min="2" max="2" width="10.7109375" style="4" customWidth="1"/>
    <col min="3" max="3" width="10.7109375" style="5" customWidth="1"/>
    <col min="4" max="16384" width="11.42578125" style="4"/>
  </cols>
  <sheetData>
    <row r="1" spans="2:3" x14ac:dyDescent="0.3">
      <c r="C1" s="4"/>
    </row>
    <row r="2" spans="2:3" x14ac:dyDescent="0.3">
      <c r="B2" s="3" t="s">
        <v>461</v>
      </c>
      <c r="C2" s="637"/>
    </row>
  </sheetData>
  <sheetProtection algorithmName="SHA-512" hashValue="GGZNyoJNNMFOWjsljAaDX1RqMBKc++6hU/fojSEXWvXnsWPZ0iotfhXRw0qNujaN35r4zDC4JV/YZJk+vp5D5w==" saltValue="xmQolF9KsB/L/3Y2iywaQA==" spinCount="100000" sheet="1" objects="1" scenarios="1"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F016C-FC44-4540-A92E-66E8DF240CD9}">
  <sheetPr>
    <tabColor rgb="FF0592CB"/>
  </sheetPr>
  <dimension ref="A1:P33"/>
  <sheetViews>
    <sheetView showGridLines="0" zoomScaleNormal="100" workbookViewId="0">
      <selection activeCell="F25" sqref="F25"/>
    </sheetView>
  </sheetViews>
  <sheetFormatPr baseColWidth="10" defaultColWidth="11.42578125" defaultRowHeight="15" customHeight="1" x14ac:dyDescent="0.25"/>
  <cols>
    <col min="1" max="1" width="5.5703125" style="1" customWidth="1"/>
    <col min="2" max="2" width="17" style="1" customWidth="1"/>
    <col min="3" max="3" width="15.7109375" style="1" customWidth="1"/>
    <col min="4" max="4" width="6.5703125" style="1" customWidth="1"/>
    <col min="5" max="6" width="10.5703125" style="1" customWidth="1"/>
    <col min="7" max="7" width="8.7109375" style="1" customWidth="1"/>
    <col min="8" max="8" width="10.5703125" style="1" customWidth="1"/>
    <col min="9" max="9" width="35.5703125" style="1" customWidth="1"/>
    <col min="10" max="16384" width="11.42578125" style="1"/>
  </cols>
  <sheetData>
    <row r="1" spans="1:16" ht="15" customHeight="1" x14ac:dyDescent="0.25">
      <c r="A1" s="664"/>
    </row>
    <row r="2" spans="1:16" ht="15" customHeight="1" x14ac:dyDescent="0.25">
      <c r="A2" s="665">
        <f>IF(OR($C$21="",$D$19="",$F$27=""),1,0)</f>
        <v>1</v>
      </c>
    </row>
    <row r="5" spans="1:16" ht="15" customHeight="1" x14ac:dyDescent="0.25">
      <c r="P5" s="666"/>
    </row>
    <row r="8" spans="1:16" ht="15" customHeight="1" thickBot="1" x14ac:dyDescent="0.3">
      <c r="P8" s="667"/>
    </row>
    <row r="9" spans="1:16" ht="15" customHeight="1" x14ac:dyDescent="0.25">
      <c r="B9" s="733" t="str">
        <f>IFERROR(VLOOKUP(AUXILIAR!$B$7,AUXILIAR!$D$7:$F$81,3,FALSE),"")</f>
        <v>PROGRAMA DE AYUDAS PARA LA REALIZACIÓN DE PROYECTOS EMPRESARIALES EN LAS FASES DE CREACIÓN Y CONSOLIDACIÓN DE EMPRESAS CON POTENCIAL TECNOLÓGICO Y ESCALABLES EN EL MARCO DE LA RIS4 REGIÓN DE MURCIA, COFINANCIADAS POR EL FEDER.</v>
      </c>
      <c r="C9" s="734"/>
      <c r="D9" s="734"/>
      <c r="E9" s="734"/>
      <c r="F9" s="734"/>
      <c r="G9" s="734"/>
      <c r="H9" s="734"/>
      <c r="I9" s="735"/>
    </row>
    <row r="10" spans="1:16" ht="15" customHeight="1" x14ac:dyDescent="0.25">
      <c r="B10" s="736"/>
      <c r="C10" s="737"/>
      <c r="D10" s="737"/>
      <c r="E10" s="737"/>
      <c r="F10" s="737"/>
      <c r="G10" s="737"/>
      <c r="H10" s="737"/>
      <c r="I10" s="738"/>
    </row>
    <row r="11" spans="1:16" ht="15" customHeight="1" thickBot="1" x14ac:dyDescent="0.3">
      <c r="B11" s="739"/>
      <c r="C11" s="740"/>
      <c r="D11" s="740"/>
      <c r="E11" s="740"/>
      <c r="F11" s="740"/>
      <c r="G11" s="740"/>
      <c r="H11" s="740"/>
      <c r="I11" s="741"/>
    </row>
    <row r="12" spans="1:16" ht="15" customHeight="1" thickBot="1" x14ac:dyDescent="0.3">
      <c r="B12" s="668"/>
      <c r="O12" s="669"/>
      <c r="P12" s="670"/>
    </row>
    <row r="13" spans="1:16" ht="20.100000000000001" customHeight="1" thickBot="1" x14ac:dyDescent="0.3">
      <c r="B13" s="668" t="s">
        <v>60</v>
      </c>
      <c r="C13" s="671">
        <f>IF(AUXILIAR!$P$9="","",AUXILIAR!$P$9)</f>
        <v>2025</v>
      </c>
      <c r="D13" s="672"/>
      <c r="F13" s="750" t="s">
        <v>61</v>
      </c>
      <c r="G13" s="750"/>
      <c r="H13" s="750"/>
      <c r="I13" s="751" t="str">
        <f>IFERROR(IF(AND(AUXILIAR!$P$5=0,AUXILIAR!$P$6=0,AUXILIAR!$P$7=0),"",IF(AND(AUXILIAR!$P$6=0,AUXILIAR!$P$7=0),VLOOKUP(AUXILIAR!$B$7,AUXILIAR!$D$7:$I$81,4,FALSE),IF(AND(AUXILIAR!$P$6&lt;&gt;0,AUXILIAR!$P$7=0),CONCATENATE(VLOOKUP(AUXILIAR!$B$7,AUXILIAR!$D$7:$I$81,4,FALSE),"
",VLOOKUP(AUXILIAR!$B$7,AUXILIAR!$D$7:$I$81,5,FALSE)),CONCATENATE(VLOOKUP(AUXILIAR!$B$7,AUXILIAR!$D$7:$I$81,4,FALSE),"
",VLOOKUP(AUXILIAR!$B$7,AUXILIAR!$D$7:$I$81,5,FALSE),"
",VLOOKUP(AUXILIAR!$B$7,AUXILIAR!$D$7:$I$81,6,FALSE))))),"")</f>
        <v>nº 100, de 2 de mayo de 2024</v>
      </c>
    </row>
    <row r="14" spans="1:16" ht="15" customHeight="1" thickBot="1" x14ac:dyDescent="0.3">
      <c r="B14" s="668"/>
      <c r="F14" s="750"/>
      <c r="G14" s="750"/>
      <c r="H14" s="750"/>
      <c r="I14" s="752"/>
    </row>
    <row r="15" spans="1:16" ht="20.100000000000001" customHeight="1" thickBot="1" x14ac:dyDescent="0.3">
      <c r="B15" s="668" t="s">
        <v>62</v>
      </c>
      <c r="C15" s="673">
        <f>IFERROR(VLOOKUP(AUXILIAR!$B$7,AUXILIAR!$D$7:$F$81,2,FALSE),"")</f>
        <v>8</v>
      </c>
      <c r="D15" s="674"/>
      <c r="F15" s="750"/>
      <c r="G15" s="750"/>
      <c r="H15" s="750"/>
      <c r="I15" s="753"/>
    </row>
    <row r="16" spans="1:16" ht="15" customHeight="1" thickBot="1" x14ac:dyDescent="0.3">
      <c r="B16" s="668"/>
    </row>
    <row r="17" spans="2:13" ht="20.100000000000001" customHeight="1" x14ac:dyDescent="0.25">
      <c r="B17" s="668" t="s">
        <v>63</v>
      </c>
      <c r="C17" s="682" t="s">
        <v>477</v>
      </c>
      <c r="D17" s="672"/>
      <c r="E17" s="672"/>
      <c r="F17" s="750" t="s">
        <v>65</v>
      </c>
      <c r="G17" s="750"/>
      <c r="H17" s="750"/>
      <c r="I17" s="754" t="str">
        <f>IF(AUXILIAR!B7="X","",IF(AND(AUXILIAR!$P$11="",AUXILIAR!$P$12="",AUXILIAR!$P$13=""),"",IF(AND(AUXILIAR!$P$12="",AUXILIAR!$P$13=""),AUXILIAR!$P$11,IF(AND(AUXILIAR!$P$12&lt;&gt;"",AUXILIAR!$P$13=""),CONCATENATE(AUXILIAR!$P$11,"
",AUXILIAR!$P$12),CONCATENATE(AUXILIAR!$P$11,"
",AUXILIAR!$P$12,"
",AUXILIAR!$P$13)))))</f>
        <v>nº 102, 6 de mayo de 2025</v>
      </c>
    </row>
    <row r="18" spans="2:13" ht="15" customHeight="1" thickBot="1" x14ac:dyDescent="0.3">
      <c r="B18" s="668"/>
      <c r="F18" s="750"/>
      <c r="G18" s="750"/>
      <c r="H18" s="750"/>
      <c r="I18" s="755"/>
    </row>
    <row r="19" spans="2:13" ht="20.100000000000001" customHeight="1" thickBot="1" x14ac:dyDescent="0.3">
      <c r="B19" s="668" t="s">
        <v>66</v>
      </c>
      <c r="C19" s="675" t="str">
        <f>IF(C17="","",CONCATENATE(C13,".",TEXT(C15,"00"),".",C17,"."))</f>
        <v>2025.08.EPTE.</v>
      </c>
      <c r="D19" s="41"/>
      <c r="F19" s="750"/>
      <c r="G19" s="750"/>
      <c r="H19" s="750"/>
      <c r="I19" s="756"/>
    </row>
    <row r="20" spans="2:13" ht="15" customHeight="1" x14ac:dyDescent="0.25">
      <c r="B20" s="668"/>
      <c r="C20" s="668"/>
      <c r="D20" s="668"/>
      <c r="E20" s="668"/>
      <c r="F20" s="668"/>
      <c r="H20" s="676"/>
    </row>
    <row r="21" spans="2:13" ht="20.100000000000001" customHeight="1" x14ac:dyDescent="0.25">
      <c r="B21" s="743" t="s">
        <v>67</v>
      </c>
      <c r="C21" s="744"/>
      <c r="D21" s="745"/>
      <c r="E21" s="745"/>
      <c r="F21" s="745"/>
      <c r="G21" s="745"/>
      <c r="H21" s="745"/>
      <c r="I21" s="746"/>
    </row>
    <row r="22" spans="2:13" ht="20.100000000000001" customHeight="1" x14ac:dyDescent="0.25">
      <c r="B22" s="743"/>
      <c r="C22" s="747"/>
      <c r="D22" s="748"/>
      <c r="E22" s="748"/>
      <c r="F22" s="748"/>
      <c r="G22" s="748"/>
      <c r="H22" s="748"/>
      <c r="I22" s="749"/>
    </row>
    <row r="23" spans="2:13" ht="15" customHeight="1" x14ac:dyDescent="0.25">
      <c r="B23" s="668"/>
      <c r="C23" s="668"/>
      <c r="D23" s="668"/>
      <c r="E23" s="668"/>
      <c r="F23" s="668"/>
      <c r="H23" s="676"/>
    </row>
    <row r="24" spans="2:13" ht="20.100000000000001" customHeight="1" x14ac:dyDescent="0.25">
      <c r="F24" s="677"/>
      <c r="H24" s="2" t="s">
        <v>68</v>
      </c>
      <c r="I24" s="2" t="s">
        <v>69</v>
      </c>
      <c r="M24" s="669"/>
    </row>
    <row r="25" spans="2:13" ht="20.100000000000001" customHeight="1" x14ac:dyDescent="0.3">
      <c r="B25" s="678" t="str">
        <f>IF(AUXILIAR!S5="SÍ","FECHA INICIO PLAZO DE EJECUCIÓN (dd/mm/aa):","(*) FECHA INICIO PLAZO DE EJECUCIÓN (dd/mm/aa):")</f>
        <v>FECHA INICIO PLAZO DE EJECUCIÓN (dd/mm/aa):</v>
      </c>
      <c r="C25" s="470"/>
      <c r="D25" s="470"/>
      <c r="F25" s="703">
        <v>45658</v>
      </c>
      <c r="H25" s="679"/>
      <c r="I25" s="524">
        <f>IF(AND(F25="",H25=""),"",IF(AND(F25&lt;&gt;"",H25=""),F25,IF(AND(F25&lt;&gt;"",H25&lt;&gt;""),H25,H25)))</f>
        <v>45658</v>
      </c>
    </row>
    <row r="26" spans="2:13" ht="15" customHeight="1" x14ac:dyDescent="0.3">
      <c r="B26" s="470"/>
      <c r="C26" s="470"/>
      <c r="D26" s="470"/>
      <c r="F26" s="680"/>
      <c r="H26" s="2"/>
      <c r="I26" s="2"/>
    </row>
    <row r="27" spans="2:13" ht="20.100000000000001" customHeight="1" x14ac:dyDescent="0.3">
      <c r="B27" s="678" t="str">
        <f>IF(AUXILIAR!S5="SÍ","(*) FECHA FINAL PLAZO DE EJECUCIÓN (dd/mm/aa):","(**) FECHA FINAL PLAZO DE EJECUCIÓN (dd/mm/aa):")</f>
        <v>(*) FECHA FINAL PLAZO DE EJECUCIÓN (dd/mm/aa):</v>
      </c>
      <c r="C27" s="470"/>
      <c r="D27" s="470"/>
      <c r="F27" s="42"/>
      <c r="H27" s="679"/>
      <c r="I27" s="524" t="str">
        <f>IF(AND(F27="",H27=""),"",IF(AND(F27&lt;&gt;"",H27=""),F27,IF(AND(F27&lt;&gt;"",H27&lt;&gt;""),H27,H27)))</f>
        <v/>
      </c>
    </row>
    <row r="28" spans="2:13" ht="15" customHeight="1" thickBot="1" x14ac:dyDescent="0.35">
      <c r="B28" s="470"/>
      <c r="C28" s="470"/>
      <c r="D28" s="470"/>
      <c r="F28" s="2"/>
      <c r="H28" s="2"/>
      <c r="I28" s="2"/>
    </row>
    <row r="29" spans="2:13" ht="20.100000000000001" customHeight="1" thickBot="1" x14ac:dyDescent="0.35">
      <c r="B29" s="678" t="s">
        <v>70</v>
      </c>
      <c r="C29" s="470"/>
      <c r="D29" s="470"/>
      <c r="F29" s="663" t="str">
        <f>IF(F27="","",AUXILIAR!S18)</f>
        <v/>
      </c>
      <c r="H29" s="679" t="str">
        <f>IF(E29="","",E29)</f>
        <v/>
      </c>
      <c r="I29" s="524" t="str">
        <f>IF(AND(F29="",H29=""),"",IF(AND(F29&lt;&gt;"",H29=""),F29,IF(AND(F29&lt;&gt;"",H29&lt;&gt;""),H29,H29)))</f>
        <v/>
      </c>
    </row>
    <row r="31" spans="2:13" ht="75" customHeight="1" x14ac:dyDescent="0.25">
      <c r="B31" s="742" t="str">
        <f>IF(AUXILIAR!$S$5="SÍ","(*): La fecha final del plazo de ejecución del proyecto/actividad viene reflejada en el segundo punto de las condiciones particulares de la 
Resolución Individual de Concesión de Ayuda.",IF(AUXILIAR!$S$5="NO",
CONCATENATE(AUXILIAR!$R$20," 
",AUXILIAR!$R$22),""))</f>
        <v>(*): La fecha final del plazo de ejecución del proyecto/actividad viene reflejada en el segundo punto de las condiciones particulares de la 
Resolución Individual de Concesión de Ayuda.</v>
      </c>
      <c r="C31" s="742"/>
      <c r="D31" s="742"/>
      <c r="E31" s="742"/>
      <c r="F31" s="742"/>
      <c r="G31" s="742"/>
      <c r="H31" s="742"/>
      <c r="I31" s="742"/>
    </row>
    <row r="32" spans="2:13" ht="15" customHeight="1" x14ac:dyDescent="0.25">
      <c r="B32" s="681"/>
      <c r="C32" s="681"/>
      <c r="D32" s="681"/>
      <c r="E32" s="681"/>
      <c r="F32" s="681"/>
      <c r="G32" s="681"/>
      <c r="H32" s="681"/>
      <c r="I32" s="681"/>
    </row>
    <row r="33" spans="2:9" ht="15" customHeight="1" x14ac:dyDescent="0.25">
      <c r="B33" s="681"/>
      <c r="C33" s="681"/>
      <c r="D33" s="681"/>
      <c r="E33" s="681"/>
      <c r="F33" s="681"/>
      <c r="G33" s="681"/>
      <c r="H33" s="681"/>
      <c r="I33" s="681"/>
    </row>
  </sheetData>
  <sheetProtection algorithmName="SHA-512" hashValue="rY1fp1UQYjAjKb0FzstEErvkWdVYhPCb7gPofUs881AWLG0itU+8b/yEbt0EhvzxxjToU8eKDvAWBnsAF9yh8A==" saltValue="V6x/312NFO0llCnJScd+Xg==" spinCount="100000" sheet="1" objects="1" scenarios="1"/>
  <protectedRanges>
    <protectedRange algorithmName="SHA-512" hashValue="g07ICFhCBafus3CgkLUEDzKin5SzCUAZMQLHhoa4kocnaNqpZXvdf8mGfe/KBltSe88ETvl8umKWUwWIQ3geqw==" saltValue="9W1L0THo7M55u2LdRlUG4A==" spinCount="100000" sqref="H25 H27 H29" name="Rango1"/>
  </protectedRanges>
  <mergeCells count="8">
    <mergeCell ref="B9:I11"/>
    <mergeCell ref="B31:I31"/>
    <mergeCell ref="B21:B22"/>
    <mergeCell ref="C21:I22"/>
    <mergeCell ref="F13:H15"/>
    <mergeCell ref="F17:H19"/>
    <mergeCell ref="I13:I15"/>
    <mergeCell ref="I17:I19"/>
  </mergeCells>
  <conditionalFormatting sqref="H25:I25 H27:I27 H29:I29">
    <cfRule type="expression" dxfId="553" priority="162">
      <formula>$I25&lt;&gt;$F25</formula>
    </cfRule>
  </conditionalFormatting>
  <printOptions horizontalCentered="1"/>
  <pageMargins left="0.59055118110236227" right="0.59055118110236227" top="0.59055118110236227" bottom="0.59055118110236227" header="0.19685039370078741" footer="0.19685039370078741"/>
  <pageSetup paperSize="9" scale="80" orientation="portrait" r:id="rId1"/>
  <headerFooter>
    <oddFooter>&amp;L&amp;"Nunito Sans,Normal"&amp;8MOD60&amp;C&amp;"Nunito Sans,Normal"&amp;8&amp;A&amp;R&amp;"Nunito Sans,Normal"&amp;8&amp;P  de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1" id="{81ADB442-E54C-4130-9B1D-9E2F983217D2}">
            <xm:f>AUXILIAR!$J$6="SÍ"</xm:f>
            <x14:dxf>
              <font>
                <b/>
                <i val="0"/>
                <color rgb="FF0592CB"/>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x14:dxf>
          </x14:cfRule>
          <xm:sqref>C17</xm:sqref>
        </x14:conditionalFormatting>
        <x14:conditionalFormatting xmlns:xm="http://schemas.microsoft.com/office/excel/2006/main">
          <x14:cfRule type="expression" priority="5" id="{69231DCB-F504-4118-91E3-E725677D8924}">
            <xm:f>AUXILIAR!$S$5="SÍ"</xm:f>
            <x14:dxf>
              <font>
                <b/>
                <i val="0"/>
                <color rgb="FF0592CB"/>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x14:dxf>
          </x14:cfRule>
          <xm:sqref>F25</xm:sqref>
        </x14:conditionalFormatting>
        <x14:conditionalFormatting xmlns:xm="http://schemas.microsoft.com/office/excel/2006/main">
          <x14:cfRule type="expression" priority="2" stopIfTrue="1" id="{00000000-000E-0000-0100-000003000000}">
            <xm:f>OR(USUARIO!$C$2="",AUXILIAR!$W$6&lt;&gt;USUARIO!$C$2)</xm:f>
            <x14:dxf>
              <font>
                <color theme="0"/>
              </font>
              <fill>
                <patternFill patternType="none">
                  <bgColor auto="1"/>
                </patternFill>
              </fill>
              <border>
                <left/>
                <right/>
                <top/>
                <bottom/>
                <vertical/>
                <horizontal/>
              </border>
            </x14:dxf>
          </x14:cfRule>
          <xm:sqref>H24:I29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22E0FDD3-E31A-4F44-9CED-D573BB9F99BF}">
          <x14:formula1>
            <xm:f>OFFSET(AUXILIAR!$M$7,0,,COUNTIF(LÍNEA,"&lt;&gt;X"))</xm:f>
          </x14:formula1>
          <xm:sqref>C17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CC0F8-E231-4136-A650-435AF994CF14}">
  <sheetPr>
    <tabColor rgb="FF0592CB"/>
    <pageSetUpPr fitToPage="1"/>
  </sheetPr>
  <dimension ref="A1:AC63"/>
  <sheetViews>
    <sheetView showGridLines="0" zoomScaleNormal="100" workbookViewId="0">
      <selection activeCell="D12" sqref="D12:F12"/>
    </sheetView>
  </sheetViews>
  <sheetFormatPr baseColWidth="10" defaultColWidth="11.42578125" defaultRowHeight="15" x14ac:dyDescent="0.3"/>
  <cols>
    <col min="1" max="1" width="5.5703125" style="43" customWidth="1"/>
    <col min="2" max="2" width="12.5703125" style="43" customWidth="1"/>
    <col min="3" max="4" width="12.7109375" style="43" customWidth="1"/>
    <col min="5" max="6" width="20.7109375" style="43" customWidth="1"/>
    <col min="7" max="7" width="5.7109375" style="43" customWidth="1"/>
    <col min="8" max="8" width="12.5703125" style="43" customWidth="1"/>
    <col min="9" max="10" width="12.7109375" style="43" customWidth="1"/>
    <col min="11" max="12" width="20.7109375" style="43" customWidth="1"/>
    <col min="13" max="13" width="5.7109375" style="43" customWidth="1"/>
    <col min="14" max="14" width="12.5703125" style="43" customWidth="1"/>
    <col min="15" max="16" width="12.7109375" style="43" customWidth="1"/>
    <col min="17" max="18" width="20.7109375" style="43" customWidth="1"/>
    <col min="19" max="19" width="5.7109375" style="43" customWidth="1"/>
    <col min="20" max="20" width="12.5703125" style="43" customWidth="1"/>
    <col min="21" max="22" width="12.7109375" style="43" customWidth="1"/>
    <col min="23" max="24" width="20.7109375" style="43" customWidth="1"/>
    <col min="25" max="25" width="5.7109375" style="43" customWidth="1"/>
    <col min="26" max="29" width="11.42578125" style="53" hidden="1" customWidth="1"/>
    <col min="30" max="16384" width="11.42578125" style="43"/>
  </cols>
  <sheetData>
    <row r="1" spans="1:20" ht="15" customHeight="1" x14ac:dyDescent="0.3">
      <c r="A1" s="465">
        <f>EXPEDIENTE!A2</f>
        <v>1</v>
      </c>
    </row>
    <row r="2" spans="1:20" ht="15" customHeight="1" x14ac:dyDescent="0.3">
      <c r="A2" s="465">
        <f>IF(OR(AND($D$11="",$D$12="",$D$13=""),OR($F$18="",$F$19=""),AND($F$18="NO",$F$19=""),$H$19&lt;&gt;"",$H$20&lt;&gt;"",$H$21&lt;&gt;"",SUM(Z48:AC48)&gt;0),1,0)</f>
        <v>1</v>
      </c>
      <c r="B2" s="74"/>
      <c r="D2" s="769" t="str">
        <f>IF(A1=1,"PENDIENTE CUMPLIMENTAR DATOS EN
LA PESTAÑA ''EXPEDIENTE''","")</f>
        <v>PENDIENTE CUMPLIMENTAR DATOS EN
LA PESTAÑA ''EXPEDIENTE''</v>
      </c>
      <c r="E2" s="769"/>
      <c r="F2" s="769"/>
      <c r="H2" s="74"/>
      <c r="N2" s="74"/>
      <c r="T2" s="74"/>
    </row>
    <row r="3" spans="1:20" ht="15" customHeight="1" x14ac:dyDescent="0.3">
      <c r="A3" s="46"/>
      <c r="B3" s="75"/>
      <c r="D3" s="769"/>
      <c r="E3" s="769"/>
      <c r="F3" s="769"/>
      <c r="H3" s="75"/>
      <c r="N3" s="75"/>
      <c r="T3" s="75"/>
    </row>
    <row r="4" spans="1:20" ht="15" customHeight="1" x14ac:dyDescent="0.3">
      <c r="D4" s="769"/>
      <c r="E4" s="769"/>
      <c r="F4" s="769"/>
    </row>
    <row r="5" spans="1:20" ht="15" customHeight="1" x14ac:dyDescent="0.3">
      <c r="F5" s="76" t="str">
        <f>IF(EXPEDIENTE!$A$2=1,"",CONCATENATE("Nº DE EXPEDIENTE: ",EXPEDIENTE!C13,".",TEXT(EXPEDIENTE!C15,"00"),".",EXPEDIENTE!C17,".",TEXT(EXPEDIENTE!D19,"0000")))</f>
        <v/>
      </c>
    </row>
    <row r="6" spans="1:20" ht="15" customHeight="1" x14ac:dyDescent="0.3">
      <c r="E6" s="773" t="str">
        <f>IF(EXPEDIENTE!$I$25="","ERROR: no se ha cumplimentado la fecha de inicio en la pestaña EXPEDIENTE",IF(EXPEDIENTE!$I$27="","ERROR: no se ha cumplimentado la fecha de final en la pestaña EXPEDIENTE",""))</f>
        <v>ERROR: no se ha cumplimentado la fecha de final en la pestaña EXPEDIENTE</v>
      </c>
      <c r="F6" s="773"/>
    </row>
    <row r="7" spans="1:20" ht="15" customHeight="1" x14ac:dyDescent="0.3">
      <c r="E7" s="773"/>
      <c r="F7" s="773"/>
    </row>
    <row r="8" spans="1:20" ht="15" customHeight="1" thickBot="1" x14ac:dyDescent="0.35"/>
    <row r="9" spans="1:20" ht="21" customHeight="1" thickBot="1" x14ac:dyDescent="0.35">
      <c r="B9" s="761" t="s">
        <v>71</v>
      </c>
      <c r="C9" s="762"/>
      <c r="D9" s="762"/>
      <c r="E9" s="762"/>
      <c r="F9" s="763"/>
    </row>
    <row r="10" spans="1:20" ht="5.0999999999999996" customHeight="1" x14ac:dyDescent="0.3"/>
    <row r="11" spans="1:20" ht="20.100000000000001" customHeight="1" x14ac:dyDescent="0.3">
      <c r="B11" s="774" t="s">
        <v>72</v>
      </c>
      <c r="C11" s="775"/>
      <c r="D11" s="758"/>
      <c r="E11" s="758"/>
      <c r="F11" s="758"/>
    </row>
    <row r="12" spans="1:20" ht="20.100000000000001" customHeight="1" x14ac:dyDescent="0.3">
      <c r="B12" s="774" t="s">
        <v>73</v>
      </c>
      <c r="C12" s="775"/>
      <c r="D12" s="758"/>
      <c r="E12" s="758"/>
      <c r="F12" s="758"/>
    </row>
    <row r="13" spans="1:20" ht="20.100000000000001" customHeight="1" x14ac:dyDescent="0.3">
      <c r="B13" s="774" t="s">
        <v>74</v>
      </c>
      <c r="C13" s="775"/>
      <c r="D13" s="758"/>
      <c r="E13" s="758"/>
      <c r="F13" s="758"/>
    </row>
    <row r="14" spans="1:20" ht="20.100000000000001" customHeight="1" x14ac:dyDescent="0.3">
      <c r="B14" s="774" t="s">
        <v>75</v>
      </c>
      <c r="C14" s="775"/>
      <c r="D14" s="44" t="str">
        <f>SUBSTITUTE( SUBSTITUTE( SUBSTITUTE( SUBSTITUTE( SUBSTITUTE(E14, "Á", "A"), "É", "E"), "Í", "I"), "Ó", "O"), "Ú", "U")</f>
        <v/>
      </c>
      <c r="E14" s="45" t="str">
        <f>UPPER(CONCATENATE(LEFT(D12,2),LEFT(D13,2),LEFT(D11,1)))</f>
        <v/>
      </c>
    </row>
    <row r="15" spans="1:20" ht="15" customHeight="1" thickBot="1" x14ac:dyDescent="0.35"/>
    <row r="16" spans="1:20" ht="21" customHeight="1" thickBot="1" x14ac:dyDescent="0.35">
      <c r="B16" s="761" t="s">
        <v>76</v>
      </c>
      <c r="C16" s="762"/>
      <c r="D16" s="762"/>
      <c r="E16" s="762"/>
      <c r="F16" s="763"/>
    </row>
    <row r="17" spans="1:24" ht="5.0999999999999996" customHeight="1" x14ac:dyDescent="0.3"/>
    <row r="18" spans="1:24" ht="39.950000000000003" customHeight="1" x14ac:dyDescent="0.3">
      <c r="B18" s="764" t="s">
        <v>77</v>
      </c>
      <c r="C18" s="764"/>
      <c r="D18" s="764"/>
      <c r="E18" s="764"/>
      <c r="F18" s="61"/>
      <c r="H18" s="46"/>
      <c r="I18" s="46"/>
      <c r="J18" s="46"/>
      <c r="L18" s="46"/>
      <c r="N18" s="46"/>
      <c r="O18" s="46"/>
      <c r="P18" s="46"/>
      <c r="R18" s="46"/>
      <c r="T18" s="46"/>
      <c r="U18" s="46"/>
      <c r="V18" s="46"/>
      <c r="X18" s="46"/>
    </row>
    <row r="19" spans="1:24" ht="20.100000000000001" customHeight="1" x14ac:dyDescent="0.3">
      <c r="B19" s="764" t="s">
        <v>79</v>
      </c>
      <c r="C19" s="764"/>
      <c r="D19" s="764"/>
      <c r="E19" s="764"/>
      <c r="F19" s="73"/>
      <c r="H19" s="759" t="str">
        <f>IF($F$19&gt;$E$24,"ERROR: LA FECHA DE INICIO DEL CONTRATO ES POSTERIOR A LA FINALIZACIÓN DEL PLAZO DE EJECUCIÓN",IF(AND($F$18="SÍ",$F$19&gt;$E$23),"ERROR: LA FECHA DE INICIO DE CONTRATO ES POSTERIOR AL INICIO DEL PLAZO DE EJECUCIÓN.",""))</f>
        <v/>
      </c>
      <c r="I19" s="759"/>
      <c r="J19" s="759"/>
      <c r="K19" s="759"/>
      <c r="L19" s="759"/>
      <c r="M19" s="759"/>
      <c r="N19" s="759"/>
      <c r="O19" s="759"/>
      <c r="P19" s="46"/>
      <c r="R19" s="46"/>
      <c r="T19" s="46"/>
      <c r="U19" s="46"/>
      <c r="V19" s="46"/>
      <c r="X19" s="46"/>
    </row>
    <row r="20" spans="1:24" ht="39.950000000000003" customHeight="1" x14ac:dyDescent="0.3">
      <c r="B20" s="765" t="s">
        <v>80</v>
      </c>
      <c r="C20" s="766"/>
      <c r="D20" s="766"/>
      <c r="E20" s="767"/>
      <c r="F20" s="73"/>
      <c r="H20" s="760" t="str">
        <f>IF(AND($F$18="NO",$F$19&lt;&gt;"",$F$20=""),"INDICAR SI EL TRABAJADOR SEGUÍA CONTRATADO EN EL MOMENTO DE FINALIZAR EL PLAZO DE EJECUCIÓN.","")</f>
        <v/>
      </c>
      <c r="I20" s="760"/>
      <c r="J20" s="760"/>
      <c r="K20" s="760"/>
      <c r="L20" s="760"/>
      <c r="M20" s="760"/>
      <c r="N20" s="760"/>
      <c r="O20" s="760"/>
      <c r="P20" s="46"/>
      <c r="R20" s="46"/>
      <c r="T20" s="46"/>
      <c r="U20" s="46"/>
      <c r="V20" s="46"/>
      <c r="X20" s="46"/>
    </row>
    <row r="21" spans="1:24" ht="20.100000000000001" customHeight="1" x14ac:dyDescent="0.3">
      <c r="B21" s="768" t="s">
        <v>81</v>
      </c>
      <c r="C21" s="768"/>
      <c r="D21" s="768"/>
      <c r="E21" s="768"/>
      <c r="F21" s="73"/>
      <c r="H21" s="759" t="str">
        <f>IF(AND($F$20="NO",$F$21=""),"CUMPLIMENTAR FECHA FINALIZACIÓN DEL CONTRATO.",IF(AND($E$26&lt;&gt;"",$F$21&lt;&gt;"",$E$26&lt;$F$19),"ERROR: LA FECHA DE FIN DE CONTRATO ES ANTERIOR A LA DE SU FIRMA.",IF(AND($F$18="NO",$F$20="NO",$F$21&gt;$E$24),"ERROR: A LA FINALIZACIÓN DEL PLAZO DE EJECUCIÓN EL TRABAJADOR SÍ SEGUÍA CONTRATADO.",IF(AND($F$19&lt;&gt;"",$F$21&lt;&gt;"",$F$21&lt;$E$23),"ERROR: LA FECHA DE FIN DE CONTRATO ES ANTERIOR AL INICIO DEL PLAZO DE EJECUCIÓN",""))))</f>
        <v/>
      </c>
      <c r="I21" s="759"/>
      <c r="J21" s="759"/>
      <c r="K21" s="759"/>
      <c r="L21" s="759"/>
      <c r="M21" s="759"/>
      <c r="N21" s="759"/>
      <c r="O21" s="759"/>
      <c r="P21" s="46"/>
      <c r="R21" s="46"/>
      <c r="T21" s="46"/>
      <c r="U21" s="46"/>
      <c r="V21" s="46"/>
      <c r="X21" s="46"/>
    </row>
    <row r="22" spans="1:24" ht="15" customHeight="1" thickBot="1" x14ac:dyDescent="0.35">
      <c r="B22" s="46"/>
      <c r="C22" s="46"/>
      <c r="D22" s="46"/>
      <c r="F22" s="46"/>
      <c r="H22" s="46"/>
      <c r="I22" s="46"/>
      <c r="J22" s="46"/>
      <c r="L22" s="46"/>
      <c r="N22" s="46"/>
      <c r="O22" s="46"/>
      <c r="P22" s="46"/>
      <c r="R22" s="46"/>
      <c r="T22" s="46"/>
      <c r="U22" s="46"/>
      <c r="V22" s="46"/>
      <c r="X22" s="46"/>
    </row>
    <row r="23" spans="1:24" ht="15" hidden="1" customHeight="1" x14ac:dyDescent="0.3">
      <c r="A23" s="636"/>
      <c r="B23" s="48" t="s">
        <v>82</v>
      </c>
      <c r="C23" s="49"/>
      <c r="D23" s="50"/>
      <c r="E23" s="72">
        <f>EXPEDIENTE!$I$25</f>
        <v>45658</v>
      </c>
      <c r="F23" s="46"/>
      <c r="H23" s="46"/>
      <c r="I23" s="46"/>
      <c r="J23" s="46"/>
      <c r="L23" s="46"/>
      <c r="N23" s="46"/>
      <c r="O23" s="46"/>
      <c r="P23" s="46"/>
      <c r="R23" s="46"/>
      <c r="T23" s="46"/>
      <c r="U23" s="46"/>
      <c r="V23" s="46"/>
      <c r="X23" s="46"/>
    </row>
    <row r="24" spans="1:24" ht="15" hidden="1" customHeight="1" x14ac:dyDescent="0.3">
      <c r="A24" s="636"/>
      <c r="B24" s="48" t="s">
        <v>83</v>
      </c>
      <c r="C24" s="49"/>
      <c r="D24" s="50"/>
      <c r="E24" s="72" t="str">
        <f>EXPEDIENTE!$I$27</f>
        <v/>
      </c>
      <c r="F24" s="46"/>
      <c r="H24" s="46"/>
      <c r="I24" s="46"/>
      <c r="J24" s="46"/>
      <c r="L24" s="46"/>
      <c r="N24" s="46"/>
      <c r="O24" s="46"/>
      <c r="P24" s="46"/>
      <c r="R24" s="46"/>
      <c r="T24" s="46"/>
      <c r="U24" s="46"/>
      <c r="V24" s="46"/>
      <c r="X24" s="46"/>
    </row>
    <row r="25" spans="1:24" ht="15" hidden="1" customHeight="1" x14ac:dyDescent="0.3">
      <c r="A25" s="636"/>
      <c r="B25" s="48" t="s">
        <v>84</v>
      </c>
      <c r="C25" s="49"/>
      <c r="D25" s="50"/>
      <c r="E25" s="72">
        <f>IF($F$18="SÍ",$E$23,IF(AND($F$18="NO",$F$19=""),"",MAX($E$23,$F$19)))</f>
        <v>45658</v>
      </c>
      <c r="F25" s="46"/>
      <c r="H25" s="46"/>
      <c r="I25" s="46"/>
      <c r="J25" s="46"/>
      <c r="L25" s="46"/>
      <c r="N25" s="46"/>
      <c r="O25" s="46"/>
      <c r="P25" s="46"/>
      <c r="R25" s="46"/>
      <c r="T25" s="46"/>
      <c r="U25" s="46"/>
      <c r="V25" s="46"/>
      <c r="X25" s="46"/>
    </row>
    <row r="26" spans="1:24" ht="15" hidden="1" customHeight="1" x14ac:dyDescent="0.3">
      <c r="A26" s="636"/>
      <c r="B26" s="48" t="s">
        <v>85</v>
      </c>
      <c r="C26" s="49"/>
      <c r="D26" s="50"/>
      <c r="E26" s="72" t="b">
        <f>IF($F$18="SÍ",$E$24,IF(F18="NO",MIN($F$21,E24)))</f>
        <v>0</v>
      </c>
      <c r="F26" s="46"/>
      <c r="H26" s="46"/>
      <c r="I26" s="46"/>
      <c r="J26" s="46"/>
      <c r="L26" s="46"/>
      <c r="N26" s="46"/>
      <c r="O26" s="46"/>
      <c r="P26" s="46"/>
      <c r="R26" s="46"/>
      <c r="T26" s="46"/>
      <c r="U26" s="46"/>
      <c r="V26" s="46"/>
      <c r="X26" s="46"/>
    </row>
    <row r="27" spans="1:24" ht="15" hidden="1" customHeight="1" x14ac:dyDescent="0.3">
      <c r="A27" s="636"/>
      <c r="B27" s="46"/>
      <c r="C27" s="46"/>
      <c r="D27" s="46"/>
      <c r="F27" s="46"/>
      <c r="H27" s="46"/>
      <c r="I27" s="46"/>
      <c r="J27" s="46"/>
      <c r="L27" s="46"/>
      <c r="N27" s="46"/>
      <c r="O27" s="46"/>
      <c r="P27" s="46"/>
      <c r="R27" s="46"/>
      <c r="T27" s="46"/>
      <c r="U27" s="46"/>
      <c r="V27" s="46"/>
      <c r="X27" s="46"/>
    </row>
    <row r="28" spans="1:24" ht="15" hidden="1" customHeight="1" x14ac:dyDescent="0.3">
      <c r="A28" s="636"/>
      <c r="B28" s="52" t="str">
        <f>IF(EXPEDIENTE!$F$25="","EJERCICIO",CONCATENATE("EJERCICIO ",YEAR(EXPEDIENTE!$F$25)))</f>
        <v>EJERCICIO 2025</v>
      </c>
      <c r="C28" s="47"/>
      <c r="D28" s="47"/>
      <c r="E28" s="53" t="s">
        <v>86</v>
      </c>
      <c r="F28" s="53" t="s">
        <v>78</v>
      </c>
      <c r="H28" s="46"/>
      <c r="I28" s="46"/>
      <c r="J28" s="46"/>
      <c r="L28" s="46"/>
      <c r="N28" s="46"/>
      <c r="O28" s="46"/>
      <c r="P28" s="46"/>
      <c r="R28" s="46"/>
      <c r="T28" s="46"/>
      <c r="U28" s="46"/>
      <c r="V28" s="46"/>
      <c r="X28" s="46"/>
    </row>
    <row r="29" spans="1:24" ht="15" hidden="1" customHeight="1" x14ac:dyDescent="0.3">
      <c r="A29" s="636"/>
      <c r="B29" s="47"/>
      <c r="C29" s="54">
        <f>IF($E$23="","",DATE(YEAR($E$23),1,1))</f>
        <v>45658</v>
      </c>
      <c r="D29" s="55" t="s">
        <v>87</v>
      </c>
      <c r="E29" s="51" t="str">
        <f>IF(OR($F$19="",$F$18="",$E$23="",$E$24=""),"",IF($F$18="NO","",IF($E$24&lt;C29,"",IF(AND($F$18="SÍ",$E$23&lt;C29),C29,IF(AND($F$18="SÍ",YEAR($E$23)=YEAR(C29)),C29,IF(AND($F$18="SÍ",$E$23&gt;C30),"Error"))))))</f>
        <v/>
      </c>
      <c r="F29" s="51" t="str">
        <f>IF(OR($F$19="",$F$18="",$E$23="",$E$24="",$E$26=""),"",IF($F$18="SÍ","",IF($E$26&lt;$F$19,"",IF(AND($F$19&lt;C29,$E$26&lt;C29),"",IF(AND($F$19&lt;C29,$E$26&gt;=C29,$E$26&lt;=C30),C29,IF(AND($F$19&lt;C29,$E$26&gt;C30),C29,IF(AND($F$19&gt;=C29,$F$19&lt;=C30,$E$26&gt;=C29,$E$26&lt;=C30),$F$19,IF(AND($F$19&gt;=C29,$F$19&lt;=C30,$E$26&gt;C30),$F$19,IF(AND($F$19&gt;C30,$E$26&gt;C30),"","Error")))))))))</f>
        <v/>
      </c>
      <c r="H29" s="46"/>
      <c r="I29" s="46"/>
      <c r="J29" s="46"/>
      <c r="L29" s="46"/>
      <c r="N29" s="46"/>
      <c r="O29" s="46"/>
      <c r="P29" s="46"/>
      <c r="R29" s="46"/>
      <c r="T29" s="46"/>
      <c r="U29" s="46"/>
      <c r="V29" s="46"/>
      <c r="X29" s="46"/>
    </row>
    <row r="30" spans="1:24" ht="15" hidden="1" customHeight="1" x14ac:dyDescent="0.3">
      <c r="A30" s="636"/>
      <c r="B30" s="47"/>
      <c r="C30" s="54" t="str">
        <f>IF($E$24="","",DATE(YEAR($E$23),12,31))</f>
        <v/>
      </c>
      <c r="D30" s="55" t="s">
        <v>88</v>
      </c>
      <c r="E30" s="51" t="str">
        <f>IF(OR($F$19="",$F$18="",$E$23="",$E$24=""),"",IF($F$18="NO","",IF($E$24&lt;C29,"",IF($F$18="SÍ",MIN(DATE(YEAR(EXPEDIENTE!$I$25),12,31),$E$24),"Error"))))</f>
        <v/>
      </c>
      <c r="F30" s="51" t="str">
        <f>IF(OR($F$19="",$F$18="",$E$23="",$E$24="",$E$26=""),"",IF($F$18="SÍ","",IF($E$26&lt;$F$19,"",IF(AND($F$19&lt;C29,$E$26&lt;C29),"",IF(AND($F$19&lt;C29,$E$26&gt;=C29,$E$26&lt;=C30),$E$26,IF(AND($F$19&lt;C29,$E$26&gt;C30),C30,IF(AND($F$19&gt;=C29,$F$19&lt;=C30,$E$26&gt;=C29,$E$26&lt;=C30),$E$26,IF(AND($F$19&gt;=C29,$F$19&lt;=C30,$E$26&gt;C30),C30,IF(AND($F$19&gt;C30,$E$26&gt;C30),"","Error")))))))))</f>
        <v/>
      </c>
      <c r="H30" s="46"/>
      <c r="I30" s="46"/>
      <c r="J30" s="46"/>
      <c r="L30" s="46"/>
      <c r="N30" s="46"/>
      <c r="O30" s="46"/>
      <c r="P30" s="46"/>
      <c r="R30" s="46"/>
      <c r="T30" s="46"/>
      <c r="U30" s="46"/>
      <c r="V30" s="46"/>
      <c r="X30" s="46"/>
    </row>
    <row r="31" spans="1:24" ht="15" hidden="1" customHeight="1" x14ac:dyDescent="0.3">
      <c r="A31" s="636"/>
      <c r="B31" s="47"/>
      <c r="C31" s="47"/>
      <c r="D31" s="55" t="s">
        <v>89</v>
      </c>
      <c r="E31" s="56" t="str">
        <f>IF(OR($E$23="",$E$24="",$F$19="",$F$18=""),"",IF(AND($F$18="SÍ",E29&lt;&gt;"",E30&lt;&gt;""),DAYS360(E29,E30),IF(AND($F$18="NO",F29&lt;&gt;"",F30&lt;&gt;""),DAYS360(F29,F30),"")))</f>
        <v/>
      </c>
      <c r="F31" s="57"/>
      <c r="H31" s="46"/>
      <c r="I31" s="46"/>
      <c r="J31" s="46"/>
      <c r="L31" s="46"/>
      <c r="N31" s="46"/>
      <c r="O31" s="46"/>
      <c r="P31" s="46"/>
      <c r="R31" s="46"/>
      <c r="T31" s="46"/>
      <c r="U31" s="46"/>
      <c r="V31" s="46"/>
      <c r="X31" s="46"/>
    </row>
    <row r="32" spans="1:24" ht="15" hidden="1" customHeight="1" x14ac:dyDescent="0.3">
      <c r="A32" s="636"/>
      <c r="B32" s="52" t="str">
        <f>IF(EXPEDIENTE!$F$25="","EJERCICIO",CONCATENATE("EJERCICIO ",YEAR(EXPEDIENTE!$F$25)+1))</f>
        <v>EJERCICIO 2026</v>
      </c>
      <c r="C32" s="47"/>
      <c r="D32" s="58"/>
      <c r="E32" s="57"/>
      <c r="F32" s="57"/>
      <c r="H32" s="46"/>
      <c r="I32" s="46"/>
      <c r="J32" s="46"/>
      <c r="L32" s="46"/>
      <c r="N32" s="46"/>
      <c r="O32" s="46"/>
      <c r="P32" s="46"/>
      <c r="R32" s="46"/>
      <c r="T32" s="46"/>
      <c r="U32" s="46"/>
      <c r="V32" s="46"/>
      <c r="X32" s="46"/>
    </row>
    <row r="33" spans="1:29" ht="15" hidden="1" customHeight="1" x14ac:dyDescent="0.3">
      <c r="A33" s="636"/>
      <c r="B33" s="47"/>
      <c r="C33" s="54">
        <f>IF($E$23="","",DATE(YEAR($E$23)+1,1,1))</f>
        <v>46023</v>
      </c>
      <c r="D33" s="55" t="s">
        <v>87</v>
      </c>
      <c r="E33" s="51" t="str">
        <f>IF(OR($F$19="",$F$18="",$E$23="",$E$24=""),"",IF($F$18="NO","",IF($E$24&lt;C33,"",IF(AND($F$18="SÍ",$E$23&lt;C33),C33,IF(AND($F$18="SÍ",YEAR($E$23)=YEAR(C33)),C33,IF(AND($F$18="SÍ",$E$23&gt;C34),"Error"))))))</f>
        <v/>
      </c>
      <c r="F33" s="51" t="str">
        <f>IF(OR($F$19="",$F$18="",$E$23="",$E$24="",$E$26=""),"",IF($F$18="SÍ","",IF($E$26&lt;$F$19,"",IF(AND($F$19&lt;C33,$E$26&lt;C33),"",IF(AND($F$19&lt;C33,$E$26&gt;=C33,$E$26&lt;=C34),C33,IF(AND($F$19&lt;C33,$E$26&gt;C34),C33,IF(AND($F$19&gt;=C33,$F$19&lt;=C34,$E$26&gt;=C33,$E$26&lt;=C34),$F$19,IF(AND($F$19&gt;=C33,$F$19&lt;=C34,$E$26&gt;C34),$F$19,IF(AND($F$19&gt;C34,$E$26&gt;C34),"","Error")))))))))</f>
        <v/>
      </c>
      <c r="H33" s="46"/>
      <c r="I33" s="46"/>
      <c r="J33" s="46"/>
      <c r="L33" s="46"/>
      <c r="N33" s="46"/>
      <c r="O33" s="46"/>
      <c r="P33" s="46"/>
      <c r="R33" s="46"/>
      <c r="T33" s="46"/>
      <c r="U33" s="46"/>
      <c r="V33" s="46"/>
      <c r="X33" s="46"/>
    </row>
    <row r="34" spans="1:29" ht="15" hidden="1" customHeight="1" x14ac:dyDescent="0.3">
      <c r="A34" s="636"/>
      <c r="B34" s="47"/>
      <c r="C34" s="54" t="str">
        <f>IF($E$24="","",DATE(YEAR($E$23)+1,12,31))</f>
        <v/>
      </c>
      <c r="D34" s="55" t="s">
        <v>88</v>
      </c>
      <c r="E34" s="51" t="str">
        <f>IF(OR($F$19="",$F$18="",$E$23="",$E$24=""),"",IF($F$18="NO","",IF($E$24&lt;C33,"",IF($F$18="SÍ",MIN(DATE(YEAR(EXPEDIENTE!$I$25)+1,12,31),$E$24),"Error"))))</f>
        <v/>
      </c>
      <c r="F34" s="51" t="str">
        <f>IF(OR($F$19="",$F$18="",$E$23="",$E$24="",$E$26=""),"",IF($F$18="SÍ","",IF($E$26&lt;$F$19,"",IF(AND($F$19&lt;C33,$E$26&lt;C33),"",IF(AND($F$19&lt;C33,$E$26&gt;=C33,$E$26&lt;=C34),$E$26,IF(AND($F$19&lt;C33,$E$26&gt;C34),C34,IF(AND($F$19&gt;=C33,$F$19&lt;=C34,$E$26&gt;=C33,$E$26&lt;=C34),$E$26,IF(AND($F$19&gt;=C33,$F$19&lt;=C34,$E$26&gt;C34),C34,IF(AND($F$19&gt;C34,$E$26&gt;C34),"","Error")))))))))</f>
        <v/>
      </c>
      <c r="H34" s="46"/>
      <c r="I34" s="46"/>
      <c r="J34" s="46"/>
      <c r="L34" s="46"/>
      <c r="N34" s="46"/>
      <c r="O34" s="46"/>
      <c r="P34" s="46"/>
      <c r="R34" s="46"/>
      <c r="T34" s="46"/>
      <c r="U34" s="46"/>
      <c r="V34" s="46"/>
      <c r="X34" s="46"/>
    </row>
    <row r="35" spans="1:29" ht="15" hidden="1" customHeight="1" x14ac:dyDescent="0.3">
      <c r="A35" s="636"/>
      <c r="B35" s="47"/>
      <c r="C35" s="47"/>
      <c r="D35" s="55" t="s">
        <v>89</v>
      </c>
      <c r="E35" s="56" t="str">
        <f>IF(OR($E$23="",$E$24="",$F$19="",$F$18=""),"",IF(AND($F$18="SÍ",E33&lt;&gt;"",E34&lt;&gt;""),DAYS360(E33,E34),IF(AND($F$18="NO",F33&lt;&gt;"",F34&lt;&gt;""),DAYS360(F33,F34),"")))</f>
        <v/>
      </c>
      <c r="F35" s="57"/>
      <c r="H35" s="46"/>
      <c r="I35" s="46"/>
      <c r="J35" s="46"/>
      <c r="L35" s="46"/>
      <c r="N35" s="46"/>
      <c r="O35" s="46"/>
      <c r="P35" s="46"/>
      <c r="R35" s="46"/>
      <c r="T35" s="46"/>
      <c r="U35" s="46"/>
      <c r="V35" s="46"/>
      <c r="X35" s="46"/>
    </row>
    <row r="36" spans="1:29" ht="15" hidden="1" customHeight="1" x14ac:dyDescent="0.3">
      <c r="A36" s="636"/>
      <c r="B36" s="52" t="str">
        <f>IF(EXPEDIENTE!$F$25="","EJERCICIO",CONCATENATE("EJERCICIO ",YEAR(EXPEDIENTE!$F$25)+2))</f>
        <v>EJERCICIO 2027</v>
      </c>
      <c r="C36" s="47"/>
      <c r="D36" s="58"/>
      <c r="E36" s="57"/>
      <c r="F36" s="57"/>
      <c r="H36" s="46"/>
      <c r="I36" s="46"/>
      <c r="J36" s="46"/>
      <c r="L36" s="46"/>
      <c r="N36" s="46"/>
      <c r="O36" s="46"/>
      <c r="P36" s="46"/>
      <c r="R36" s="46"/>
      <c r="T36" s="46"/>
      <c r="U36" s="46"/>
      <c r="V36" s="46"/>
      <c r="X36" s="46"/>
    </row>
    <row r="37" spans="1:29" ht="15" hidden="1" customHeight="1" x14ac:dyDescent="0.3">
      <c r="A37" s="636"/>
      <c r="B37" s="47"/>
      <c r="C37" s="54">
        <f>IF($E$23="","",DATE(YEAR($E$23)+2,1,1))</f>
        <v>46388</v>
      </c>
      <c r="D37" s="55" t="s">
        <v>87</v>
      </c>
      <c r="E37" s="51" t="str">
        <f>IF(OR($F$19="",$F$18="",$E$23="",$E$24=""),"",IF($F$18="NO","",IF($E$24&lt;C37,"",IF(AND($F$18="SÍ",$E$23&lt;C37),C37,IF(AND($F$18="SÍ",YEAR($E$23)=YEAR(C37)),C37,IF(AND($F$18="SÍ",$E$23&gt;C38),"Error"))))))</f>
        <v/>
      </c>
      <c r="F37" s="51" t="str">
        <f>IF(OR($F$19="",$F$18="",$E$23="",$E$24="",$E$26=""),"",IF($F$18="SÍ","",IF($E$26&lt;$F$19,"",IF(AND($F$19&lt;C37,$E$26&lt;C37),"",IF(AND($F$19&lt;C37,$E$26&gt;=C37,$E$26&lt;=C38),C37,IF(AND($F$19&lt;C37,$E$26&gt;C38),C37,IF(AND($F$19&gt;=C37,$F$19&lt;=C38,$E$26&gt;=C37,$E$26&lt;=C38),$F$19,IF(AND($F$19&gt;=C37,$F$19&lt;=C38,$E$26&gt;C38),$F$19,IF(AND($F$19&gt;C38,$E$26&gt;C38),"","Error")))))))))</f>
        <v/>
      </c>
      <c r="H37" s="46"/>
      <c r="I37" s="46"/>
      <c r="J37" s="46"/>
      <c r="L37" s="46"/>
      <c r="N37" s="46"/>
      <c r="O37" s="46"/>
      <c r="P37" s="46"/>
      <c r="R37" s="46"/>
      <c r="T37" s="46"/>
      <c r="U37" s="46"/>
      <c r="V37" s="46"/>
      <c r="X37" s="46"/>
    </row>
    <row r="38" spans="1:29" ht="15" hidden="1" customHeight="1" x14ac:dyDescent="0.3">
      <c r="A38" s="636"/>
      <c r="B38" s="47"/>
      <c r="C38" s="54" t="str">
        <f>IF($E$24="","",DATE(YEAR($E$23)+2,12,31))</f>
        <v/>
      </c>
      <c r="D38" s="55" t="s">
        <v>88</v>
      </c>
      <c r="E38" s="51" t="str">
        <f>IF(OR($F$19="",$F$18="",$E$23="",$E$24=""),"",IF($F$18="NO","",IF($E$24&lt;C37,"",IF($F$18="SÍ",MIN(DATE(YEAR(EXPEDIENTE!$I$25)+2,12,31),$E$24),"Error"))))</f>
        <v/>
      </c>
      <c r="F38" s="51" t="str">
        <f>IF(OR($F$19="",$F$18="",$E$23="",$E$24="",$E$26=""),"",IF($F$18="SÍ","",IF($E$26&lt;$F$19,"",IF(AND($F$19&lt;C37,$E$26&lt;C37),"",IF(AND($F$19&lt;C37,$E$26&gt;=C37,$E$26&lt;=C38),$E$26,IF(AND($F$19&lt;C37,$E$26&gt;C38),C38,IF(AND($F$19&gt;=C37,$F$19&lt;=C38,$E$26&gt;=C37,$E$26&lt;=C38),$E$26,IF(AND($F$19&gt;=C37,$F$19&lt;=C38,$E$26&gt;C38),C38,IF(AND($F$19&gt;C38,$E$26&gt;C38),"","Error")))))))))</f>
        <v/>
      </c>
      <c r="H38" s="46"/>
      <c r="I38" s="46"/>
      <c r="J38" s="46"/>
      <c r="L38" s="46"/>
      <c r="N38" s="46"/>
      <c r="O38" s="46"/>
      <c r="P38" s="46"/>
      <c r="R38" s="46"/>
      <c r="T38" s="46"/>
      <c r="U38" s="46"/>
      <c r="V38" s="46"/>
      <c r="X38" s="46"/>
    </row>
    <row r="39" spans="1:29" ht="15" hidden="1" customHeight="1" x14ac:dyDescent="0.3">
      <c r="A39" s="636"/>
      <c r="B39" s="47"/>
      <c r="C39" s="47"/>
      <c r="D39" s="55" t="s">
        <v>89</v>
      </c>
      <c r="E39" s="56" t="str">
        <f>IF(OR($E$23="",$E$24="",$F$19="",$F$18=""),"",IF(AND($F$18="SÍ",E37&lt;&gt;"",E38&lt;&gt;""),DAYS360(E37,E38),IF(AND($F$18="NO",F37&lt;&gt;"",F38&lt;&gt;""),DAYS360(F37,F38),"")))</f>
        <v/>
      </c>
      <c r="F39" s="57"/>
      <c r="H39" s="46"/>
      <c r="I39" s="46"/>
      <c r="J39" s="46"/>
      <c r="L39" s="46"/>
      <c r="N39" s="46"/>
      <c r="O39" s="46"/>
      <c r="P39" s="46"/>
      <c r="R39" s="46"/>
      <c r="T39" s="46"/>
      <c r="U39" s="46"/>
      <c r="V39" s="46"/>
      <c r="X39" s="46"/>
    </row>
    <row r="40" spans="1:29" ht="15" hidden="1" customHeight="1" x14ac:dyDescent="0.3">
      <c r="A40" s="636"/>
      <c r="B40" s="52" t="str">
        <f>IF(EXPEDIENTE!$F$25="","EJERCICIO",CONCATENATE("EJERCICIO ",YEAR(EXPEDIENTE!$F$25)+3))</f>
        <v>EJERCICIO 2028</v>
      </c>
      <c r="C40" s="47"/>
      <c r="D40" s="58"/>
      <c r="E40" s="57"/>
      <c r="F40" s="57"/>
      <c r="H40" s="46"/>
      <c r="I40" s="46"/>
      <c r="J40" s="46"/>
      <c r="L40" s="46"/>
      <c r="N40" s="46"/>
      <c r="O40" s="46"/>
      <c r="P40" s="46"/>
      <c r="R40" s="46"/>
      <c r="T40" s="46"/>
      <c r="U40" s="46"/>
      <c r="V40" s="46"/>
      <c r="X40" s="46"/>
    </row>
    <row r="41" spans="1:29" ht="15" hidden="1" customHeight="1" x14ac:dyDescent="0.3">
      <c r="A41" s="636"/>
      <c r="B41" s="47"/>
      <c r="C41" s="54">
        <f>IF($E$23="","",DATE(YEAR($E$23)+3,1,1))</f>
        <v>46753</v>
      </c>
      <c r="D41" s="55" t="s">
        <v>87</v>
      </c>
      <c r="E41" s="51" t="str">
        <f>IF(OR($F$19="",$F$18="",$E$23="",$E$24=""),"",IF($F$18="NO","",IF($E$24&lt;C41,"",IF(AND($F$18="SÍ",$E$23&lt;C41),C41,IF(AND($F$18="SÍ",YEAR($E$23)=YEAR(C41)),C41,IF(AND($F$18="SÍ",$E$23&gt;C42),"Error"))))))</f>
        <v/>
      </c>
      <c r="F41" s="51" t="str">
        <f>IF(OR($F$19="",$F$18="",$E$23="",$E$24="",$E$26=""),"",IF($F$18="SÍ","",IF($E$26&lt;$F$19,"",IF(AND($F$19&lt;C41,$E$26&lt;C41),"",IF(AND($F$19&lt;C41,$E$26&gt;=C41,$E$26&lt;=C42),C41,IF(AND($F$19&lt;C41,$E$26&gt;C42),C41,IF(AND($F$19&gt;=C41,$F$19&lt;=C42,$E$26&gt;=C41,$E$26&lt;=C42),$F$19,IF(AND($F$19&gt;=C41,$F$19&lt;=C42,$E$26&gt;C42),$F$19,IF(AND($F$19&gt;C42,$E$26&gt;C42),"","Error")))))))))</f>
        <v/>
      </c>
      <c r="H41" s="46"/>
      <c r="I41" s="46"/>
      <c r="J41" s="46"/>
      <c r="L41" s="46"/>
      <c r="N41" s="46"/>
      <c r="O41" s="46"/>
      <c r="P41" s="46"/>
      <c r="R41" s="46"/>
      <c r="T41" s="46"/>
      <c r="U41" s="46"/>
      <c r="V41" s="46"/>
      <c r="X41" s="46"/>
    </row>
    <row r="42" spans="1:29" ht="15" hidden="1" customHeight="1" x14ac:dyDescent="0.3">
      <c r="A42" s="636"/>
      <c r="B42" s="47"/>
      <c r="C42" s="54" t="str">
        <f>IF($E$24="","",DATE(YEAR($E$23)+3,12,31))</f>
        <v/>
      </c>
      <c r="D42" s="55" t="s">
        <v>88</v>
      </c>
      <c r="E42" s="51" t="str">
        <f>IF(OR($F$19="",$F$18="",$E$23="",$E$24=""),"",IF($F$18="NO","",IF($E$24&lt;C41,"",IF($F$18="SÍ",MIN(DATE(YEAR(EXPEDIENTE!$I$25)+3,12,31),$E$24),"Error"))))</f>
        <v/>
      </c>
      <c r="F42" s="51" t="str">
        <f>IF(OR($F$19="",$F$18="",$E$23="",$E$24="",$E$26=""),"",IF($F$18="SÍ","",IF($E$26&lt;$F$19,"",IF(AND($F$19&lt;C41,$E$26&lt;C41),"",IF(AND($F$19&lt;C41,$E$26&gt;=C41,$E$26&lt;=C42),$E$26,IF(AND($F$19&lt;C41,$E$26&gt;C42),C42,IF(AND($F$19&gt;=C41,$F$19&lt;=C42,$E$26&gt;=C41,$E$26&lt;=C42),$E$26,IF(AND($F$19&gt;=C41,$F$19&lt;=C42,$E$26&gt;C42),C42,IF(AND($F$19&gt;C42,$E$26&gt;C42),"","Error")))))))))</f>
        <v/>
      </c>
      <c r="H42" s="46"/>
      <c r="I42" s="46"/>
      <c r="J42" s="46"/>
      <c r="L42" s="46"/>
      <c r="N42" s="46"/>
      <c r="O42" s="46"/>
      <c r="P42" s="46"/>
      <c r="R42" s="46"/>
      <c r="T42" s="46"/>
      <c r="U42" s="46"/>
      <c r="V42" s="46"/>
      <c r="X42" s="46"/>
    </row>
    <row r="43" spans="1:29" ht="15" hidden="1" customHeight="1" x14ac:dyDescent="0.3">
      <c r="A43" s="636"/>
      <c r="B43" s="47"/>
      <c r="C43" s="47"/>
      <c r="D43" s="55" t="s">
        <v>89</v>
      </c>
      <c r="E43" s="56" t="str">
        <f>IF(OR($E$23="",$E$24="",$F$19="",$F$18=""),"",IF(AND($F$18="SÍ",E41&lt;&gt;"",E42&lt;&gt;""),DAYS360(E41,E42),IF(AND($F$18="NO",F41&lt;&gt;"",F42&lt;&gt;""),DAYS360(F41,F42),"")))</f>
        <v/>
      </c>
      <c r="F43" s="57"/>
      <c r="H43" s="46"/>
      <c r="I43" s="46"/>
      <c r="J43" s="46"/>
      <c r="L43" s="46"/>
      <c r="N43" s="46"/>
      <c r="O43" s="46"/>
      <c r="P43" s="46"/>
      <c r="R43" s="46"/>
      <c r="T43" s="46"/>
      <c r="U43" s="46"/>
      <c r="V43" s="46"/>
      <c r="X43" s="46"/>
    </row>
    <row r="44" spans="1:29" ht="15" hidden="1" customHeight="1" x14ac:dyDescent="0.3">
      <c r="A44" s="636"/>
      <c r="B44" s="46"/>
      <c r="C44" s="46"/>
      <c r="D44" s="46"/>
      <c r="F44" s="46"/>
      <c r="H44" s="46"/>
      <c r="I44" s="46"/>
      <c r="J44" s="46"/>
      <c r="L44" s="46"/>
      <c r="N44" s="46"/>
      <c r="O44" s="46"/>
      <c r="P44" s="46"/>
      <c r="R44" s="46"/>
      <c r="T44" s="46"/>
      <c r="U44" s="46"/>
      <c r="V44" s="46"/>
      <c r="X44" s="46"/>
    </row>
    <row r="45" spans="1:29" ht="15" hidden="1" customHeight="1" x14ac:dyDescent="0.3">
      <c r="A45" s="636"/>
      <c r="B45" s="46"/>
      <c r="C45" s="46"/>
      <c r="D45" s="46"/>
      <c r="F45" s="46"/>
      <c r="H45" s="46"/>
      <c r="I45" s="46"/>
      <c r="J45" s="46"/>
      <c r="L45" s="46"/>
      <c r="N45" s="46"/>
      <c r="O45" s="46"/>
      <c r="P45" s="46"/>
      <c r="R45" s="46"/>
      <c r="T45" s="46"/>
      <c r="U45" s="46"/>
      <c r="V45" s="46"/>
      <c r="X45" s="46"/>
    </row>
    <row r="46" spans="1:29" ht="15" hidden="1" customHeight="1" thickBot="1" x14ac:dyDescent="0.35">
      <c r="A46" s="636"/>
      <c r="B46" s="59">
        <f>SUM(C46:D46)</f>
        <v>0</v>
      </c>
      <c r="C46" s="59">
        <f>SUM(C52:C63)</f>
        <v>0</v>
      </c>
      <c r="D46" s="59">
        <f>SUM(D52:D63)</f>
        <v>0</v>
      </c>
      <c r="F46" s="59">
        <f>VLOOKUP(B46,AUXILIAR!$JF$4:$JG$104,2,FALSE)</f>
        <v>0</v>
      </c>
      <c r="H46" s="59">
        <f>SUM(I46:J46)</f>
        <v>0</v>
      </c>
      <c r="I46" s="59">
        <f>SUM(I52:I63)</f>
        <v>0</v>
      </c>
      <c r="J46" s="59">
        <f>SUM(J52:J63)</f>
        <v>0</v>
      </c>
      <c r="L46" s="59">
        <f>VLOOKUP(H46,AUXILIAR!$JF$4:$JG$104,2,FALSE)</f>
        <v>0</v>
      </c>
      <c r="N46" s="59">
        <f>SUM(O46:P46)</f>
        <v>0</v>
      </c>
      <c r="O46" s="59">
        <f>SUM(O52:O63)</f>
        <v>0</v>
      </c>
      <c r="P46" s="59">
        <f>SUM(P52:P63)</f>
        <v>0</v>
      </c>
      <c r="R46" s="59">
        <f>VLOOKUP(N46,AUXILIAR!$JF$4:$JG$104,2,FALSE)</f>
        <v>0</v>
      </c>
      <c r="T46" s="59">
        <f>SUM(U46:V46)</f>
        <v>0</v>
      </c>
      <c r="U46" s="59">
        <f>SUM(U52:U63)</f>
        <v>0</v>
      </c>
      <c r="V46" s="59">
        <f>SUM(V52:V63)</f>
        <v>0</v>
      </c>
      <c r="X46" s="59">
        <f>VLOOKUP(T46,AUXILIAR!$JF$4:$JG$104,2,FALSE)</f>
        <v>0</v>
      </c>
    </row>
    <row r="47" spans="1:29" ht="21" customHeight="1" thickBot="1" x14ac:dyDescent="0.35">
      <c r="B47" s="761" t="str">
        <f>IF(EXPEDIENTE!$I$25="","",CONCATENATE("EJERCICIO ",YEAR(EXPEDIENTE!F25)))</f>
        <v>EJERCICIO 2025</v>
      </c>
      <c r="C47" s="762"/>
      <c r="D47" s="762"/>
      <c r="E47" s="762"/>
      <c r="F47" s="763"/>
      <c r="H47" s="761" t="str">
        <f>IF(EXPEDIENTE!$I$25="","",CONCATENATE("EJERCICIO ",YEAR(EXPEDIENTE!F25)+1))</f>
        <v>EJERCICIO 2026</v>
      </c>
      <c r="I47" s="762"/>
      <c r="J47" s="762"/>
      <c r="K47" s="762"/>
      <c r="L47" s="763"/>
      <c r="N47" s="761" t="str">
        <f>IF(EXPEDIENTE!$I$25="","",CONCATENATE("EJERCICIO ",YEAR(EXPEDIENTE!F25)+2))</f>
        <v>EJERCICIO 2027</v>
      </c>
      <c r="O47" s="762"/>
      <c r="P47" s="762"/>
      <c r="Q47" s="762"/>
      <c r="R47" s="763"/>
      <c r="T47" s="761" t="str">
        <f>IF(EXPEDIENTE!$I$25="","",CONCATENATE("EJERCICIO ",YEAR(EXPEDIENTE!F25)+3))</f>
        <v>EJERCICIO 2028</v>
      </c>
      <c r="U47" s="762"/>
      <c r="V47" s="762"/>
      <c r="W47" s="762"/>
      <c r="X47" s="763"/>
      <c r="Z47" s="757" t="s">
        <v>90</v>
      </c>
      <c r="AA47" s="757"/>
      <c r="AB47" s="757"/>
      <c r="AC47" s="757"/>
    </row>
    <row r="48" spans="1:29" ht="80.099999999999994" customHeight="1" thickBot="1" x14ac:dyDescent="0.35">
      <c r="B48" s="770" t="str">
        <f>IF(Z48&lt;&gt;0,"PARA EL MES INDICADO EN COLOR NARANJA LA SUMA DE LOS DÍAS DE VACACIONES Y DE PERMISO RETRIBUIDO ES INCOHERENTE",CONCATENATE("RELACIÓN DE MESES DEL EJERCICIO ",YEAR(EXPEDIENTE!F25)," EN LOS QUE EL TRABAJADOR HA
DISFRUTADO DE ALGÚN DIA DE VACACIONES O PERMISO RETRIBUIDO
Nota: seleccionar únicamente los meses del ejercicio con disfrute de vacaciones
y/o permiso retribuido"))</f>
        <v>RELACIÓN DE MESES DEL EJERCICIO 2025 EN LOS QUE EL TRABAJADOR HA
DISFRUTADO DE ALGÚN DIA DE VACACIONES O PERMISO RETRIBUIDO
Nota: seleccionar únicamente los meses del ejercicio con disfrute de vacaciones
y/o permiso retribuido</v>
      </c>
      <c r="C48" s="771"/>
      <c r="D48" s="771"/>
      <c r="E48" s="771"/>
      <c r="F48" s="772"/>
      <c r="H48" s="770" t="str">
        <f>IF(AA48&lt;&gt;0,"PARA EL MES INDICADO EN COLOR NARANJA LA SUMA DE LOS DÍAS DE VACACIONES Y DE PERMISO RETRIBUIDO ES INCOHERENTE",CONCATENATE("RELACIÓN DE MESES DEL EJERCICIO ",YEAR(EXPEDIENTE!F25)+1," EN LOS QUE EL TRABAJADOR HA
DISFRUTADO DE ALGÚN DIA DE VACACIONES O PERMISO RETRIBUIDO
Nota: seleccionar únicamente los meses del ejercicio con disfrute de vacaciones
y/o permiso retribuido"))</f>
        <v>RELACIÓN DE MESES DEL EJERCICIO 2026 EN LOS QUE EL TRABAJADOR HA
DISFRUTADO DE ALGÚN DIA DE VACACIONES O PERMISO RETRIBUIDO
Nota: seleccionar únicamente los meses del ejercicio con disfrute de vacaciones
y/o permiso retribuido</v>
      </c>
      <c r="I48" s="771"/>
      <c r="J48" s="771"/>
      <c r="K48" s="771"/>
      <c r="L48" s="772"/>
      <c r="N48" s="770" t="str">
        <f>IF(AB48&lt;&gt;0,"PARA EL MES INDICADO EN COLOR NARANJA LA SUMA DE LOS DÍAS DE VACACIONES Y DE PERMISO RETRIBUIDO ES INCOHERENTE",CONCATENATE("RELACIÓN DE MESES DEL EJERCICIO ",YEAR(EXPEDIENTE!F25)+2," EN LOS QUE EL TRABAJADOR HA
DISFRUTADO DE ALGÚN DIA DE VACACIONES O PERMISO RETRIBUIDO
Nota: seleccionar únicamente los meses del ejercicio con disfrute de vacaciones
y/o permiso retribuido"))</f>
        <v>RELACIÓN DE MESES DEL EJERCICIO 2027 EN LOS QUE EL TRABAJADOR HA
DISFRUTADO DE ALGÚN DIA DE VACACIONES O PERMISO RETRIBUIDO
Nota: seleccionar únicamente los meses del ejercicio con disfrute de vacaciones
y/o permiso retribuido</v>
      </c>
      <c r="O48" s="771"/>
      <c r="P48" s="771"/>
      <c r="Q48" s="771"/>
      <c r="R48" s="772"/>
      <c r="T48" s="770" t="str">
        <f>IF(AC48&lt;&gt;0,"PARA EL MES INDICADO EN COLOR NARANJA LA SUMA DE LOS DÍAS DE VACACIONES Y DE PERMISO RETRIBUIDO ES INCOHERENTE",CONCATENATE("RELACIÓN DE MESES DEL EJERCICIO ",YEAR(EXPEDIENTE!F25)+3," EN LOS QUE EL TRABAJADOR HA
DISFRUTADO DE ALGÚN DIA DE VACACIONES O PERMISO RETRIBUIDO
Nota: seleccionar únicamente los meses del ejercicio con disfrute de vacaciones
y/o permiso retribuido"))</f>
        <v>RELACIÓN DE MESES DEL EJERCICIO 2028 EN LOS QUE EL TRABAJADOR HA
DISFRUTADO DE ALGÚN DIA DE VACACIONES O PERMISO RETRIBUIDO
Nota: seleccionar únicamente los meses del ejercicio con disfrute de vacaciones
y/o permiso retribuido</v>
      </c>
      <c r="U48" s="771"/>
      <c r="V48" s="771"/>
      <c r="W48" s="771"/>
      <c r="X48" s="772"/>
      <c r="Z48" s="53">
        <f>SUM(Z52:Z63)</f>
        <v>0</v>
      </c>
      <c r="AA48" s="53">
        <f t="shared" ref="AA48:AC48" si="0">SUM(AA52:AA63)</f>
        <v>0</v>
      </c>
      <c r="AB48" s="53">
        <f t="shared" si="0"/>
        <v>0</v>
      </c>
      <c r="AC48" s="53">
        <f t="shared" si="0"/>
        <v>0</v>
      </c>
    </row>
    <row r="49" spans="2:29" ht="5.0999999999999996" customHeight="1" thickBot="1" x14ac:dyDescent="0.35"/>
    <row r="50" spans="2:29" s="46" customFormat="1" ht="80.099999999999994" customHeight="1" thickBot="1" x14ac:dyDescent="0.35">
      <c r="B50" s="77" t="s">
        <v>91</v>
      </c>
      <c r="C50" s="78" t="s">
        <v>92</v>
      </c>
      <c r="D50" s="78" t="s">
        <v>93</v>
      </c>
      <c r="E50" s="79" t="s">
        <v>94</v>
      </c>
      <c r="F50" s="80" t="s">
        <v>95</v>
      </c>
      <c r="H50" s="77" t="s">
        <v>91</v>
      </c>
      <c r="I50" s="78" t="s">
        <v>92</v>
      </c>
      <c r="J50" s="78" t="s">
        <v>93</v>
      </c>
      <c r="K50" s="79" t="s">
        <v>94</v>
      </c>
      <c r="L50" s="80" t="s">
        <v>95</v>
      </c>
      <c r="N50" s="77" t="s">
        <v>91</v>
      </c>
      <c r="O50" s="78" t="s">
        <v>92</v>
      </c>
      <c r="P50" s="78" t="s">
        <v>93</v>
      </c>
      <c r="Q50" s="79" t="s">
        <v>94</v>
      </c>
      <c r="R50" s="80" t="s">
        <v>95</v>
      </c>
      <c r="T50" s="77" t="s">
        <v>91</v>
      </c>
      <c r="U50" s="78" t="s">
        <v>92</v>
      </c>
      <c r="V50" s="78" t="s">
        <v>93</v>
      </c>
      <c r="W50" s="79" t="s">
        <v>94</v>
      </c>
      <c r="X50" s="80" t="s">
        <v>95</v>
      </c>
      <c r="Z50" s="53"/>
      <c r="AA50" s="53"/>
      <c r="AB50" s="53"/>
      <c r="AC50" s="53"/>
    </row>
    <row r="51" spans="2:29" s="46" customFormat="1" ht="5.0999999999999996" customHeight="1" x14ac:dyDescent="0.3">
      <c r="Z51" s="53"/>
      <c r="AA51" s="53"/>
      <c r="AB51" s="53"/>
      <c r="AC51" s="53"/>
    </row>
    <row r="52" spans="2:29" ht="30" customHeight="1" x14ac:dyDescent="0.3">
      <c r="B52" s="60"/>
      <c r="C52" s="61"/>
      <c r="D52" s="61"/>
      <c r="E52" s="62"/>
      <c r="F52" s="62"/>
      <c r="G52" s="53"/>
      <c r="H52" s="60"/>
      <c r="I52" s="61"/>
      <c r="J52" s="61"/>
      <c r="K52" s="62"/>
      <c r="L52" s="62"/>
      <c r="N52" s="60"/>
      <c r="O52" s="61"/>
      <c r="P52" s="61"/>
      <c r="Q52" s="62"/>
      <c r="R52" s="62"/>
      <c r="T52" s="60"/>
      <c r="U52" s="61"/>
      <c r="V52" s="61"/>
      <c r="W52" s="62"/>
      <c r="X52" s="62"/>
      <c r="Z52" s="53">
        <f>IF(C52+D52&gt;23,1,0)</f>
        <v>0</v>
      </c>
      <c r="AA52" s="53">
        <f>IF(I52+J52&gt;23,1,0)</f>
        <v>0</v>
      </c>
      <c r="AB52" s="53">
        <f>IF(O52+P52&gt;23,1,0)</f>
        <v>0</v>
      </c>
      <c r="AC52" s="53">
        <f>IF(U52+V52&gt;23,1,0)</f>
        <v>0</v>
      </c>
    </row>
    <row r="53" spans="2:29" ht="30" customHeight="1" x14ac:dyDescent="0.3">
      <c r="B53" s="63"/>
      <c r="C53" s="64"/>
      <c r="D53" s="64"/>
      <c r="E53" s="65"/>
      <c r="F53" s="65"/>
      <c r="G53" s="53"/>
      <c r="H53" s="63"/>
      <c r="I53" s="64"/>
      <c r="J53" s="64"/>
      <c r="K53" s="65"/>
      <c r="L53" s="65"/>
      <c r="N53" s="63"/>
      <c r="O53" s="64"/>
      <c r="P53" s="64"/>
      <c r="Q53" s="65"/>
      <c r="R53" s="65"/>
      <c r="T53" s="63"/>
      <c r="U53" s="64"/>
      <c r="V53" s="64"/>
      <c r="W53" s="65"/>
      <c r="X53" s="65"/>
      <c r="Z53" s="53">
        <f t="shared" ref="Z53:Z63" si="1">IF(C53+D53&gt;23,1,0)</f>
        <v>0</v>
      </c>
      <c r="AA53" s="53">
        <f t="shared" ref="AA53:AA63" si="2">IF(I53+J53&gt;23,1,0)</f>
        <v>0</v>
      </c>
      <c r="AB53" s="53">
        <f t="shared" ref="AB53:AB63" si="3">IF(O53+P53&gt;23,1,0)</f>
        <v>0</v>
      </c>
      <c r="AC53" s="53">
        <f t="shared" ref="AC53:AC63" si="4">IF(U53+V53&gt;23,1,0)</f>
        <v>0</v>
      </c>
    </row>
    <row r="54" spans="2:29" ht="30" customHeight="1" x14ac:dyDescent="0.3">
      <c r="B54" s="63"/>
      <c r="C54" s="64"/>
      <c r="D54" s="64"/>
      <c r="E54" s="66"/>
      <c r="F54" s="66"/>
      <c r="G54" s="53"/>
      <c r="H54" s="63"/>
      <c r="I54" s="64"/>
      <c r="J54" s="64"/>
      <c r="K54" s="66"/>
      <c r="L54" s="66"/>
      <c r="N54" s="63"/>
      <c r="O54" s="64"/>
      <c r="P54" s="64"/>
      <c r="Q54" s="66"/>
      <c r="R54" s="66"/>
      <c r="T54" s="63"/>
      <c r="U54" s="64"/>
      <c r="V54" s="64"/>
      <c r="W54" s="66"/>
      <c r="X54" s="66"/>
      <c r="Z54" s="53">
        <f t="shared" si="1"/>
        <v>0</v>
      </c>
      <c r="AA54" s="53">
        <f t="shared" si="2"/>
        <v>0</v>
      </c>
      <c r="AB54" s="53">
        <f t="shared" si="3"/>
        <v>0</v>
      </c>
      <c r="AC54" s="53">
        <f t="shared" si="4"/>
        <v>0</v>
      </c>
    </row>
    <row r="55" spans="2:29" ht="30" customHeight="1" x14ac:dyDescent="0.3">
      <c r="B55" s="63"/>
      <c r="C55" s="64"/>
      <c r="D55" s="64"/>
      <c r="E55" s="66"/>
      <c r="F55" s="66"/>
      <c r="G55" s="53"/>
      <c r="H55" s="63"/>
      <c r="I55" s="64"/>
      <c r="J55" s="64"/>
      <c r="K55" s="66"/>
      <c r="L55" s="66"/>
      <c r="N55" s="63"/>
      <c r="O55" s="64"/>
      <c r="P55" s="64"/>
      <c r="Q55" s="66"/>
      <c r="R55" s="66"/>
      <c r="T55" s="63"/>
      <c r="U55" s="64"/>
      <c r="V55" s="64"/>
      <c r="W55" s="66"/>
      <c r="X55" s="66"/>
      <c r="Z55" s="53">
        <f t="shared" si="1"/>
        <v>0</v>
      </c>
      <c r="AA55" s="53">
        <f t="shared" si="2"/>
        <v>0</v>
      </c>
      <c r="AB55" s="53">
        <f t="shared" si="3"/>
        <v>0</v>
      </c>
      <c r="AC55" s="53">
        <f t="shared" si="4"/>
        <v>0</v>
      </c>
    </row>
    <row r="56" spans="2:29" ht="30" customHeight="1" x14ac:dyDescent="0.3">
      <c r="B56" s="63"/>
      <c r="C56" s="64"/>
      <c r="D56" s="64"/>
      <c r="E56" s="66"/>
      <c r="F56" s="66"/>
      <c r="G56" s="53"/>
      <c r="H56" s="63"/>
      <c r="I56" s="64"/>
      <c r="J56" s="64"/>
      <c r="K56" s="66"/>
      <c r="L56" s="66"/>
      <c r="N56" s="63"/>
      <c r="O56" s="64"/>
      <c r="P56" s="64"/>
      <c r="Q56" s="66"/>
      <c r="R56" s="66"/>
      <c r="T56" s="63"/>
      <c r="U56" s="64"/>
      <c r="V56" s="64"/>
      <c r="W56" s="66"/>
      <c r="X56" s="66"/>
      <c r="Z56" s="53">
        <f t="shared" si="1"/>
        <v>0</v>
      </c>
      <c r="AA56" s="53">
        <f t="shared" si="2"/>
        <v>0</v>
      </c>
      <c r="AB56" s="53">
        <f t="shared" si="3"/>
        <v>0</v>
      </c>
      <c r="AC56" s="53">
        <f t="shared" si="4"/>
        <v>0</v>
      </c>
    </row>
    <row r="57" spans="2:29" ht="30" customHeight="1" x14ac:dyDescent="0.3">
      <c r="B57" s="63"/>
      <c r="C57" s="64"/>
      <c r="D57" s="64"/>
      <c r="E57" s="66"/>
      <c r="F57" s="66"/>
      <c r="G57" s="53"/>
      <c r="H57" s="63"/>
      <c r="I57" s="64"/>
      <c r="J57" s="64"/>
      <c r="K57" s="66"/>
      <c r="L57" s="66"/>
      <c r="N57" s="63"/>
      <c r="O57" s="64"/>
      <c r="P57" s="64"/>
      <c r="Q57" s="66"/>
      <c r="R57" s="66"/>
      <c r="T57" s="63"/>
      <c r="U57" s="64"/>
      <c r="V57" s="64"/>
      <c r="W57" s="66"/>
      <c r="X57" s="66"/>
      <c r="Z57" s="53">
        <f t="shared" si="1"/>
        <v>0</v>
      </c>
      <c r="AA57" s="53">
        <f t="shared" si="2"/>
        <v>0</v>
      </c>
      <c r="AB57" s="53">
        <f t="shared" si="3"/>
        <v>0</v>
      </c>
      <c r="AC57" s="53">
        <f t="shared" si="4"/>
        <v>0</v>
      </c>
    </row>
    <row r="58" spans="2:29" ht="30" customHeight="1" x14ac:dyDescent="0.3">
      <c r="B58" s="63"/>
      <c r="C58" s="64"/>
      <c r="D58" s="64"/>
      <c r="E58" s="66"/>
      <c r="F58" s="66"/>
      <c r="G58" s="53"/>
      <c r="H58" s="63"/>
      <c r="I58" s="64"/>
      <c r="J58" s="64"/>
      <c r="K58" s="66"/>
      <c r="L58" s="66"/>
      <c r="N58" s="63"/>
      <c r="O58" s="64"/>
      <c r="P58" s="64"/>
      <c r="Q58" s="66"/>
      <c r="R58" s="66"/>
      <c r="T58" s="63"/>
      <c r="U58" s="64"/>
      <c r="V58" s="64"/>
      <c r="W58" s="66"/>
      <c r="X58" s="66"/>
      <c r="Z58" s="53">
        <f t="shared" si="1"/>
        <v>0</v>
      </c>
      <c r="AA58" s="53">
        <f t="shared" si="2"/>
        <v>0</v>
      </c>
      <c r="AB58" s="53">
        <f t="shared" si="3"/>
        <v>0</v>
      </c>
      <c r="AC58" s="53">
        <f t="shared" si="4"/>
        <v>0</v>
      </c>
    </row>
    <row r="59" spans="2:29" ht="30" customHeight="1" x14ac:dyDescent="0.3">
      <c r="B59" s="63"/>
      <c r="C59" s="64"/>
      <c r="D59" s="64"/>
      <c r="E59" s="66"/>
      <c r="F59" s="66"/>
      <c r="G59" s="53"/>
      <c r="H59" s="63"/>
      <c r="I59" s="64"/>
      <c r="J59" s="64"/>
      <c r="K59" s="66"/>
      <c r="L59" s="66"/>
      <c r="N59" s="63"/>
      <c r="O59" s="64"/>
      <c r="P59" s="64"/>
      <c r="Q59" s="66"/>
      <c r="R59" s="66"/>
      <c r="T59" s="63"/>
      <c r="U59" s="64"/>
      <c r="V59" s="64"/>
      <c r="W59" s="66"/>
      <c r="X59" s="66"/>
      <c r="Z59" s="53">
        <f t="shared" si="1"/>
        <v>0</v>
      </c>
      <c r="AA59" s="53">
        <f t="shared" si="2"/>
        <v>0</v>
      </c>
      <c r="AB59" s="53">
        <f t="shared" si="3"/>
        <v>0</v>
      </c>
      <c r="AC59" s="53">
        <f t="shared" si="4"/>
        <v>0</v>
      </c>
    </row>
    <row r="60" spans="2:29" ht="30" customHeight="1" x14ac:dyDescent="0.3">
      <c r="B60" s="63"/>
      <c r="C60" s="64"/>
      <c r="D60" s="64"/>
      <c r="E60" s="66"/>
      <c r="F60" s="66"/>
      <c r="G60" s="53"/>
      <c r="H60" s="63"/>
      <c r="I60" s="64"/>
      <c r="J60" s="64"/>
      <c r="K60" s="66"/>
      <c r="L60" s="66"/>
      <c r="N60" s="63"/>
      <c r="O60" s="64"/>
      <c r="P60" s="64"/>
      <c r="Q60" s="66"/>
      <c r="R60" s="66"/>
      <c r="T60" s="63"/>
      <c r="U60" s="64"/>
      <c r="V60" s="64"/>
      <c r="W60" s="66"/>
      <c r="X60" s="66"/>
      <c r="Z60" s="53">
        <f t="shared" si="1"/>
        <v>0</v>
      </c>
      <c r="AA60" s="53">
        <f t="shared" si="2"/>
        <v>0</v>
      </c>
      <c r="AB60" s="53">
        <f t="shared" si="3"/>
        <v>0</v>
      </c>
      <c r="AC60" s="53">
        <f t="shared" si="4"/>
        <v>0</v>
      </c>
    </row>
    <row r="61" spans="2:29" ht="30" customHeight="1" x14ac:dyDescent="0.3">
      <c r="B61" s="63"/>
      <c r="C61" s="64"/>
      <c r="D61" s="64"/>
      <c r="E61" s="66"/>
      <c r="F61" s="66"/>
      <c r="G61" s="53"/>
      <c r="H61" s="63"/>
      <c r="I61" s="64"/>
      <c r="J61" s="64"/>
      <c r="K61" s="66"/>
      <c r="L61" s="66"/>
      <c r="N61" s="63"/>
      <c r="O61" s="64"/>
      <c r="P61" s="64"/>
      <c r="Q61" s="66"/>
      <c r="R61" s="66"/>
      <c r="T61" s="63"/>
      <c r="U61" s="64"/>
      <c r="V61" s="64"/>
      <c r="W61" s="66"/>
      <c r="X61" s="66"/>
      <c r="Z61" s="53">
        <f t="shared" si="1"/>
        <v>0</v>
      </c>
      <c r="AA61" s="53">
        <f t="shared" si="2"/>
        <v>0</v>
      </c>
      <c r="AB61" s="53">
        <f t="shared" si="3"/>
        <v>0</v>
      </c>
      <c r="AC61" s="53">
        <f t="shared" si="4"/>
        <v>0</v>
      </c>
    </row>
    <row r="62" spans="2:29" ht="30" customHeight="1" x14ac:dyDescent="0.3">
      <c r="B62" s="63"/>
      <c r="C62" s="64"/>
      <c r="D62" s="64"/>
      <c r="E62" s="66"/>
      <c r="F62" s="66"/>
      <c r="G62" s="53"/>
      <c r="H62" s="63"/>
      <c r="I62" s="64"/>
      <c r="J62" s="64"/>
      <c r="K62" s="66"/>
      <c r="L62" s="66"/>
      <c r="N62" s="63"/>
      <c r="O62" s="64"/>
      <c r="P62" s="64"/>
      <c r="Q62" s="66"/>
      <c r="R62" s="66"/>
      <c r="T62" s="63"/>
      <c r="U62" s="64"/>
      <c r="V62" s="64"/>
      <c r="W62" s="66"/>
      <c r="X62" s="66"/>
      <c r="Z62" s="53">
        <f t="shared" si="1"/>
        <v>0</v>
      </c>
      <c r="AA62" s="53">
        <f t="shared" si="2"/>
        <v>0</v>
      </c>
      <c r="AB62" s="53">
        <f t="shared" si="3"/>
        <v>0</v>
      </c>
      <c r="AC62" s="53">
        <f t="shared" si="4"/>
        <v>0</v>
      </c>
    </row>
    <row r="63" spans="2:29" ht="30" customHeight="1" x14ac:dyDescent="0.3">
      <c r="B63" s="63"/>
      <c r="C63" s="64"/>
      <c r="D63" s="64"/>
      <c r="E63" s="66"/>
      <c r="F63" s="66"/>
      <c r="G63" s="53"/>
      <c r="H63" s="63"/>
      <c r="I63" s="64"/>
      <c r="J63" s="64"/>
      <c r="K63" s="66"/>
      <c r="L63" s="66"/>
      <c r="N63" s="63"/>
      <c r="O63" s="64"/>
      <c r="P63" s="64"/>
      <c r="Q63" s="66"/>
      <c r="R63" s="66"/>
      <c r="T63" s="63"/>
      <c r="U63" s="64"/>
      <c r="V63" s="64"/>
      <c r="W63" s="66"/>
      <c r="X63" s="66"/>
      <c r="Z63" s="53">
        <f t="shared" si="1"/>
        <v>0</v>
      </c>
      <c r="AA63" s="53">
        <f t="shared" si="2"/>
        <v>0</v>
      </c>
      <c r="AB63" s="53">
        <f t="shared" si="3"/>
        <v>0</v>
      </c>
      <c r="AC63" s="53">
        <f t="shared" si="4"/>
        <v>0</v>
      </c>
    </row>
  </sheetData>
  <sheetProtection algorithmName="SHA-512" hashValue="mwPgnWJVPqEbx0F/sFxo94rt+Wz42fIIdvoSRnsu+DCEgbaKsubds+gTcxMbYLC5+9cgAW5to58HzDysum6d1g==" saltValue="p/yRgfRDyLa0tsn/hiUsMQ==" spinCount="100000" sheet="1" selectLockedCells="1"/>
  <mergeCells count="27">
    <mergeCell ref="D2:F4"/>
    <mergeCell ref="T47:X47"/>
    <mergeCell ref="T48:X48"/>
    <mergeCell ref="H47:L47"/>
    <mergeCell ref="H48:L48"/>
    <mergeCell ref="N47:R47"/>
    <mergeCell ref="N48:R48"/>
    <mergeCell ref="E6:F7"/>
    <mergeCell ref="B48:F48"/>
    <mergeCell ref="B47:F47"/>
    <mergeCell ref="B9:F9"/>
    <mergeCell ref="B11:C11"/>
    <mergeCell ref="B12:C12"/>
    <mergeCell ref="B13:C13"/>
    <mergeCell ref="B14:C14"/>
    <mergeCell ref="D11:F11"/>
    <mergeCell ref="Z47:AC47"/>
    <mergeCell ref="D12:F12"/>
    <mergeCell ref="D13:F13"/>
    <mergeCell ref="H19:O19"/>
    <mergeCell ref="H21:O21"/>
    <mergeCell ref="H20:O20"/>
    <mergeCell ref="B16:F16"/>
    <mergeCell ref="B18:E18"/>
    <mergeCell ref="B19:E19"/>
    <mergeCell ref="B20:E20"/>
    <mergeCell ref="B21:E21"/>
  </mergeCells>
  <phoneticPr fontId="3" type="noConversion"/>
  <conditionalFormatting sqref="A16:XFD63">
    <cfRule type="expression" dxfId="551" priority="3" stopIfTrue="1">
      <formula>AND($D$11="",$D$12="",$D$13="")</formula>
    </cfRule>
  </conditionalFormatting>
  <conditionalFormatting sqref="A23:XFD63">
    <cfRule type="expression" dxfId="550" priority="4" stopIfTrue="1">
      <formula>OR($F$18="",$F$19="")</formula>
    </cfRule>
    <cfRule type="expression" dxfId="548" priority="7" stopIfTrue="1">
      <formula>OR($H$20&lt;&gt;"",$H$21&lt;&gt;"")</formula>
    </cfRule>
  </conditionalFormatting>
  <conditionalFormatting sqref="B52:D63">
    <cfRule type="expression" dxfId="547" priority="8">
      <formula>$Z52&gt;0</formula>
    </cfRule>
  </conditionalFormatting>
  <conditionalFormatting sqref="B53:D63">
    <cfRule type="expression" dxfId="546" priority="39">
      <formula>$B52&lt;&gt;""</formula>
    </cfRule>
  </conditionalFormatting>
  <conditionalFormatting sqref="B20:F20">
    <cfRule type="expression" dxfId="545" priority="22" stopIfTrue="1">
      <formula>OR($F$18="",$F$18="SÍ")</formula>
    </cfRule>
  </conditionalFormatting>
  <conditionalFormatting sqref="B21:F21">
    <cfRule type="expression" dxfId="544" priority="19" stopIfTrue="1">
      <formula>OR($F$18="",$F$18="SÍ",$F$20="")</formula>
    </cfRule>
    <cfRule type="expression" dxfId="543" priority="21" stopIfTrue="1">
      <formula>OR($F$18="",$F$18="SÍ",$F$20="",$F$20="SÍ")</formula>
    </cfRule>
    <cfRule type="expression" dxfId="542" priority="18" stopIfTrue="1">
      <formula>OR($F$18="",$F$18="SÍ")</formula>
    </cfRule>
  </conditionalFormatting>
  <conditionalFormatting sqref="B48:F48">
    <cfRule type="expression" dxfId="541" priority="12">
      <formula>$Z$48&lt;&gt;0</formula>
    </cfRule>
  </conditionalFormatting>
  <conditionalFormatting sqref="D2:F4">
    <cfRule type="expression" dxfId="540" priority="6">
      <formula>$A$1=1</formula>
    </cfRule>
  </conditionalFormatting>
  <conditionalFormatting sqref="E52:F63">
    <cfRule type="expression" dxfId="539" priority="43">
      <formula>OR($C52&gt;0,$D52&gt;0)</formula>
    </cfRule>
  </conditionalFormatting>
  <conditionalFormatting sqref="F18:F19">
    <cfRule type="expression" dxfId="538" priority="16">
      <formula>$H$19&lt;&gt;""</formula>
    </cfRule>
  </conditionalFormatting>
  <conditionalFormatting sqref="F20:F21">
    <cfRule type="expression" dxfId="537" priority="17">
      <formula>AND($F$20="NO",$F$21&gt;$E$24)</formula>
    </cfRule>
  </conditionalFormatting>
  <conditionalFormatting sqref="H52:J63">
    <cfRule type="expression" dxfId="536" priority="9">
      <formula>$AA52&gt;0</formula>
    </cfRule>
  </conditionalFormatting>
  <conditionalFormatting sqref="H53:J63">
    <cfRule type="expression" dxfId="535" priority="40">
      <formula>$H52&lt;&gt;""</formula>
    </cfRule>
  </conditionalFormatting>
  <conditionalFormatting sqref="H48:L48">
    <cfRule type="expression" dxfId="534" priority="13">
      <formula>$AA$48&lt;&gt;0</formula>
    </cfRule>
  </conditionalFormatting>
  <conditionalFormatting sqref="H19:O21">
    <cfRule type="cellIs" dxfId="533" priority="27" operator="notEqual">
      <formula>""</formula>
    </cfRule>
  </conditionalFormatting>
  <conditionalFormatting sqref="K52:L63">
    <cfRule type="expression" dxfId="530" priority="46">
      <formula>OR($I52&gt;0,$J52&gt;0)</formula>
    </cfRule>
  </conditionalFormatting>
  <conditionalFormatting sqref="N52:P63">
    <cfRule type="expression" dxfId="529" priority="10">
      <formula>$AB52&lt;&gt;0</formula>
    </cfRule>
  </conditionalFormatting>
  <conditionalFormatting sqref="N53:P63">
    <cfRule type="expression" dxfId="528" priority="41">
      <formula>$N52&lt;&gt;""</formula>
    </cfRule>
  </conditionalFormatting>
  <conditionalFormatting sqref="N48:R48">
    <cfRule type="expression" dxfId="527" priority="14">
      <formula>$AB$48&lt;&gt;0</formula>
    </cfRule>
  </conditionalFormatting>
  <conditionalFormatting sqref="Q52:R63">
    <cfRule type="expression" dxfId="525" priority="47">
      <formula>OR($O52&gt;0,$P52&gt;0)</formula>
    </cfRule>
  </conditionalFormatting>
  <conditionalFormatting sqref="T52:V63">
    <cfRule type="expression" dxfId="524" priority="11">
      <formula>$AC52&lt;&gt;0</formula>
    </cfRule>
  </conditionalFormatting>
  <conditionalFormatting sqref="T53:V63">
    <cfRule type="expression" dxfId="523" priority="42">
      <formula>$T52&lt;&gt;""</formula>
    </cfRule>
  </conditionalFormatting>
  <conditionalFormatting sqref="T48:X48">
    <cfRule type="expression" dxfId="521" priority="15">
      <formula>$AC$48&lt;&gt;0</formula>
    </cfRule>
  </conditionalFormatting>
  <conditionalFormatting sqref="W52:X63">
    <cfRule type="expression" dxfId="520" priority="232">
      <formula>OR($U52&gt;0,$V52&gt;0)</formula>
    </cfRule>
  </conditionalFormatting>
  <dataValidations count="1">
    <dataValidation type="list" allowBlank="1" showInputMessage="1" showErrorMessage="1" sqref="F18 F20" xr:uid="{5765E232-ED99-4C67-9D72-5A12828F20CE}">
      <formula1>"SÍ,NO"</formula1>
    </dataValidation>
  </dataValidations>
  <printOptions horizontalCentered="1" verticalCentered="1"/>
  <pageMargins left="0.39370078740157483" right="0.39370078740157483" top="0.59055118110236227" bottom="0.39370078740157483" header="0.19685039370078741" footer="0.19685039370078741"/>
  <pageSetup paperSize="8" scale="59" orientation="landscape" r:id="rId1"/>
  <headerFooter>
    <oddFooter>&amp;L&amp;"Nunito Sans,Normal"&amp;8MOD60&amp;C&amp;"Nunito Sans,Normal"&amp;8&amp;A&amp;R&amp;"Nunito Sans,Normal"&amp;8&amp;P de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1" stopIfTrue="1" id="{8564D631-C6D2-4AC9-BD19-9084C2F383FA}">
            <xm:f>EXPEDIENTE!$A$2=1</xm:f>
            <x14:dxf>
              <font>
                <color theme="0"/>
              </font>
              <fill>
                <patternFill>
                  <bgColor theme="0"/>
                </patternFill>
              </fill>
              <border>
                <left/>
                <right/>
                <top/>
                <bottom/>
                <vertical/>
                <horizontal/>
              </border>
            </x14:dxf>
          </x14:cfRule>
          <xm:sqref>A5:XFD63</xm:sqref>
        </x14:conditionalFormatting>
        <x14:conditionalFormatting xmlns:xm="http://schemas.microsoft.com/office/excel/2006/main">
          <x14:cfRule type="expression" priority="5" stopIfTrue="1" id="{46D8D413-31FE-4439-BBED-917ABE8243FD}">
            <xm:f>OR(AND($F$18="NO",OR($F$19="",$F$20="")),AND($F$18="NO",$F$19&lt;&gt;"",$F$20="NO",OR($F$21="",$F$21&gt;EXPEDIENTE!$F$27)))</xm:f>
            <x14:dxf>
              <font>
                <color theme="0"/>
              </font>
              <fill>
                <patternFill>
                  <bgColor theme="0"/>
                </patternFill>
              </fill>
              <border>
                <left style="thin">
                  <color theme="0"/>
                </left>
                <right style="thin">
                  <color theme="0"/>
                </right>
                <top style="thin">
                  <color theme="0"/>
                </top>
                <bottom style="thin">
                  <color theme="0"/>
                </bottom>
                <vertical/>
                <horizontal/>
              </border>
            </x14:dxf>
          </x14:cfRule>
          <xm:sqref>A23:XFD63</xm:sqref>
        </x14:conditionalFormatting>
        <x14:conditionalFormatting xmlns:xm="http://schemas.microsoft.com/office/excel/2006/main">
          <x14:cfRule type="expression" priority="35" stopIfTrue="1" id="{E8ACAB0A-67E0-4A80-8109-6F26B2B59850}">
            <xm:f>OR(EXPEDIENTE!$I$25="",EXPEDIENTE!$I$27="",YEAR(EXPEDIENTE!$I$27)&lt;YEAR(EXPEDIENTE!$I$25)+1)</xm:f>
            <x14:dxf>
              <font>
                <color theme="0"/>
              </font>
              <fill>
                <patternFill>
                  <bgColor theme="0"/>
                </patternFill>
              </fill>
              <border>
                <left/>
                <right/>
                <top/>
                <bottom/>
                <vertical/>
                <horizontal/>
              </border>
            </x14:dxf>
          </x14:cfRule>
          <xm:sqref>H1:X9</xm:sqref>
        </x14:conditionalFormatting>
        <x14:conditionalFormatting xmlns:xm="http://schemas.microsoft.com/office/excel/2006/main">
          <x14:cfRule type="expression" priority="36" stopIfTrue="1" id="{7EA63C44-1C99-4345-9673-922BB74A2097}">
            <xm:f>OR(EXPEDIENTE!$I$25="",EXPEDIENTE!$I$27="",YEAR(EXPEDIENTE!$I$27)&lt;YEAR(EXPEDIENTE!$I$25)+1,AND($F$21&lt;&gt;"",YEAR($F$21)&lt;YEAR(EXPEDIENTE!$I$25)+1))</xm:f>
            <x14:dxf>
              <font>
                <color theme="0"/>
              </font>
              <fill>
                <patternFill>
                  <bgColor theme="0"/>
                </patternFill>
              </fill>
              <border>
                <left/>
                <right/>
                <top/>
                <bottom/>
                <vertical/>
                <horizontal/>
              </border>
            </x14:dxf>
          </x14:cfRule>
          <xm:sqref>H22:X63</xm:sqref>
        </x14:conditionalFormatting>
        <x14:conditionalFormatting xmlns:xm="http://schemas.microsoft.com/office/excel/2006/main">
          <x14:cfRule type="expression" priority="37" stopIfTrue="1" id="{6E181690-BDDF-4D19-B44A-55F9D6FEFD18}">
            <xm:f>OR(EXPEDIENTE!$I$25="",EXPEDIENTE!$I$27="",YEAR(EXPEDIENTE!$I$27)&lt;YEAR(EXPEDIENTE!$I$25)+2,AND($F$21&lt;&gt;"",YEAR($F$21)&lt;YEAR(EXPEDIENTE!$I$25)+2))</xm:f>
            <x14:dxf>
              <font>
                <color theme="0"/>
              </font>
              <fill>
                <patternFill>
                  <bgColor theme="0"/>
                </patternFill>
              </fill>
              <border>
                <left/>
                <right/>
                <top/>
                <bottom/>
                <vertical/>
                <horizontal/>
              </border>
            </x14:dxf>
          </x14:cfRule>
          <xm:sqref>N1:X63</xm:sqref>
        </x14:conditionalFormatting>
        <x14:conditionalFormatting xmlns:xm="http://schemas.microsoft.com/office/excel/2006/main">
          <x14:cfRule type="expression" priority="38" stopIfTrue="1" id="{5F5D8030-B60E-4174-994A-193F60F1A7B0}">
            <xm:f>OR(EXPEDIENTE!$I$25="",EXPEDIENTE!$I$27="",YEAR(EXPEDIENTE!$I$27)&lt;YEAR(EXPEDIENTE!$I$25)+3,AND($F$21&lt;&gt;"",YEAR($F$21)&lt;YEAR(EXPEDIENTE!$I$25)+3))</xm:f>
            <x14:dxf>
              <font>
                <color theme="0"/>
              </font>
              <fill>
                <patternFill>
                  <bgColor theme="0"/>
                </patternFill>
              </fill>
              <border>
                <left/>
                <right/>
                <top/>
                <bottom/>
                <vertical/>
                <horizontal/>
              </border>
            </x14:dxf>
          </x14:cfRule>
          <xm:sqref>T1:X63</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CD6A44FC-DBC4-42FF-A53D-A9E22F3299AD}">
          <x14:formula1>
            <xm:f>AUXILIAR!$AB$6:$AB$53</xm:f>
          </x14:formula1>
          <xm:sqref>B52:B63</xm:sqref>
        </x14:dataValidation>
        <x14:dataValidation type="list" allowBlank="1" showInputMessage="1" showErrorMessage="1" xr:uid="{2B9C3285-9109-4FDE-AD52-16C31C7D8DA1}">
          <x14:formula1>
            <xm:f>AUXILIAR!$AC$6:$AC$53</xm:f>
          </x14:formula1>
          <xm:sqref>H53:H63 H52</xm:sqref>
        </x14:dataValidation>
        <x14:dataValidation type="list" allowBlank="1" showInputMessage="1" showErrorMessage="1" xr:uid="{B25091C4-C90C-4971-82F7-A98D968E144D}">
          <x14:formula1>
            <xm:f>AUXILIAR!$AD$6:$AD$53</xm:f>
          </x14:formula1>
          <xm:sqref>N52:N63</xm:sqref>
        </x14:dataValidation>
        <x14:dataValidation type="list" allowBlank="1" showInputMessage="1" showErrorMessage="1" xr:uid="{338EDA8D-9F4F-48D6-877D-8A821E22B236}">
          <x14:formula1>
            <xm:f>AUXILIAR!$AE$6:$AE$53</xm:f>
          </x14:formula1>
          <xm:sqref>T52:T63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B8DFE-8AAD-4928-9234-6674A7B0C12D}">
  <sheetPr>
    <tabColor rgb="FF0592CB"/>
    <pageSetUpPr fitToPage="1"/>
  </sheetPr>
  <dimension ref="A1:AH80"/>
  <sheetViews>
    <sheetView showGridLines="0" zoomScaleNormal="100" workbookViewId="0">
      <selection activeCell="F9" sqref="F9"/>
    </sheetView>
  </sheetViews>
  <sheetFormatPr baseColWidth="10" defaultColWidth="10.85546875" defaultRowHeight="15" x14ac:dyDescent="0.3"/>
  <cols>
    <col min="1" max="1" width="5.5703125" style="82" customWidth="1"/>
    <col min="2" max="2" width="7.42578125" style="81" hidden="1" customWidth="1"/>
    <col min="3" max="4" width="10.7109375" style="81" hidden="1" customWidth="1"/>
    <col min="5" max="6" width="30.5703125" style="82" customWidth="1"/>
    <col min="7" max="18" width="7.7109375" style="82" customWidth="1"/>
    <col min="19" max="19" width="5.5703125" style="81" customWidth="1"/>
    <col min="20" max="20" width="92.7109375" style="82" customWidth="1"/>
    <col min="21" max="21" width="12.42578125" style="83" customWidth="1"/>
    <col min="22" max="22" width="10.85546875" style="83" hidden="1" customWidth="1"/>
    <col min="23" max="26" width="0" style="82" hidden="1" customWidth="1"/>
    <col min="27" max="30" width="0" style="81" hidden="1" customWidth="1"/>
    <col min="31" max="34" width="0" style="82" hidden="1" customWidth="1"/>
    <col min="35" max="16384" width="10.85546875" style="82"/>
  </cols>
  <sheetData>
    <row r="1" spans="1:34" ht="15" customHeight="1" x14ac:dyDescent="0.3">
      <c r="A1" s="466">
        <f>SUM('IDENTIFICACIÓN TRABAJADOR'!$A$1:$A$2)</f>
        <v>2</v>
      </c>
      <c r="B1" s="634"/>
      <c r="C1" s="634"/>
      <c r="D1" s="634"/>
      <c r="V1" s="732"/>
      <c r="W1" s="549"/>
      <c r="X1" s="549"/>
      <c r="Y1" s="549"/>
      <c r="Z1" s="549"/>
      <c r="AA1" s="634"/>
      <c r="AB1" s="634"/>
      <c r="AC1" s="634"/>
      <c r="AD1" s="634"/>
      <c r="AE1" s="549"/>
      <c r="AF1" s="549"/>
      <c r="AG1" s="549"/>
      <c r="AH1" s="549"/>
    </row>
    <row r="2" spans="1:34" ht="15" customHeight="1" x14ac:dyDescent="0.3">
      <c r="A2" s="466">
        <f>IF(F9="",1,0)</f>
        <v>1</v>
      </c>
      <c r="F2" s="769" t="str">
        <f>IF(A1&gt;0,"PENDIENTE CUMPLIMENTAR O VERIFICAR DATOS
EN PESTAÑAS ANTERIORES","")</f>
        <v>PENDIENTE CUMPLIMENTAR O VERIFICAR DATOS
EN PESTAÑAS ANTERIORES</v>
      </c>
      <c r="G2" s="769"/>
      <c r="H2" s="769"/>
      <c r="I2" s="769"/>
    </row>
    <row r="3" spans="1:34" ht="15" customHeight="1" x14ac:dyDescent="0.3">
      <c r="F3" s="769"/>
      <c r="G3" s="769"/>
      <c r="H3" s="769"/>
      <c r="I3" s="769"/>
    </row>
    <row r="4" spans="1:34" ht="15" customHeight="1" x14ac:dyDescent="0.3">
      <c r="F4" s="769"/>
      <c r="G4" s="769"/>
      <c r="H4" s="769"/>
      <c r="I4" s="769"/>
    </row>
    <row r="5" spans="1:34" ht="15" customHeight="1" x14ac:dyDescent="0.3">
      <c r="F5" s="105" t="str">
        <f>IF(EXPEDIENTE!$A$2=1,"",CONCATENATE("Nº DE EXPEDIENTE: ",EXPEDIENTE!C13,".",TEXT(EXPEDIENTE!C15,"00"),".",EXPEDIENTE!C17,".",TEXT(EXPEDIENTE!D19,"0000")))</f>
        <v/>
      </c>
    </row>
    <row r="6" spans="1:34" ht="15" customHeight="1" x14ac:dyDescent="0.3"/>
    <row r="7" spans="1:34" ht="15" customHeight="1" x14ac:dyDescent="0.3">
      <c r="F7" s="776" t="str" cm="1">
        <f t="array" ref="F7">IF(AND('IDENTIFICACIÓN TRABAJADOR'!D11:E11="",'IDENTIFICACIÓN TRABAJADOR'!D12:E12="",'IDENTIFICACIÓN TRABAJADOR'!D13:E13=""),"TRABAJADOR:",CONCATENATE("TRABAJADOR: ",CONCATENATE(UPPER('IDENTIFICACIÓN TRABAJADOR'!$D$11)," ",UPPER('IDENTIFICACIÓN TRABAJADOR'!$D$12)," ",UPPER('IDENTIFICACIÓN TRABAJADOR'!$D$13)," - (",'IDENTIFICACIÓN TRABAJADOR'!D14),")"))</f>
        <v>TRABAJADOR:</v>
      </c>
      <c r="G7" s="776"/>
      <c r="H7" s="776"/>
      <c r="I7" s="776"/>
      <c r="J7" s="776"/>
      <c r="K7" s="776"/>
      <c r="L7" s="776"/>
      <c r="M7" s="776"/>
      <c r="N7" s="776"/>
      <c r="O7" s="776"/>
    </row>
    <row r="8" spans="1:34" ht="15" customHeight="1" thickBot="1" x14ac:dyDescent="0.35">
      <c r="B8" s="84"/>
    </row>
    <row r="9" spans="1:34" ht="21" customHeight="1" thickBot="1" x14ac:dyDescent="0.35">
      <c r="B9" s="85" t="str">
        <f>IF(F9="","",IF(EXPEDIENTE!F27="",1,IF(F9&gt;F22,2,IF(F25&lt;F26,3,IF(F9&lt;'IDENTIFICACIÓN TRABAJADOR'!$F$19,4,0)))))</f>
        <v/>
      </c>
      <c r="E9" s="112" t="s">
        <v>96</v>
      </c>
      <c r="F9" s="685"/>
      <c r="H9" s="780" t="str">
        <f>IF(B9=1,"ERROR: FALTA INDICAR FECHA DE FINALIZACIÓN DEL PROYECTO (PESTAÑA EXPEDIENTE)",IF(B9=2,"ERROR: LA FECHA DE EMISIÓN ES POSTERIOR A LA FINALIZACIÓN DEL PLAZO DE EJECUCIÓN",IF(B9=3,"ERROR: EXISTE DEDICACIÓN AL PROYECTO ANTERIOR A LA FECHA DE EMISIÓN DEL FORMULARIO",IF(B9=4,"ERROR: LA FECHA DE EMISIÓN ES ANTERIOR A LA FECHA DE CONTRATACIÓN DEL TRABAJADOR",""))))</f>
        <v/>
      </c>
      <c r="I9" s="780"/>
      <c r="J9" s="780"/>
      <c r="K9" s="780"/>
      <c r="L9" s="780"/>
      <c r="M9" s="780"/>
      <c r="N9" s="780"/>
      <c r="O9" s="780"/>
      <c r="P9" s="780"/>
      <c r="Q9" s="780"/>
      <c r="R9" s="780"/>
    </row>
    <row r="10" spans="1:34" ht="9.9499999999999993" customHeight="1" thickBot="1" x14ac:dyDescent="0.35">
      <c r="B10" s="82"/>
      <c r="F10" s="625"/>
    </row>
    <row r="11" spans="1:34" ht="20.100000000000001" customHeight="1" thickBot="1" x14ac:dyDescent="0.35">
      <c r="E11" s="129" t="s">
        <v>97</v>
      </c>
      <c r="F11" s="781" t="s">
        <v>98</v>
      </c>
      <c r="G11" s="781"/>
      <c r="H11" s="781"/>
      <c r="I11" s="781"/>
      <c r="J11" s="781"/>
      <c r="K11" s="781"/>
      <c r="L11" s="781"/>
      <c r="M11" s="781"/>
      <c r="N11" s="781"/>
      <c r="O11" s="781"/>
      <c r="P11" s="781"/>
      <c r="Q11" s="781"/>
      <c r="R11" s="782"/>
    </row>
    <row r="12" spans="1:34" ht="9.9499999999999993" customHeight="1" thickBot="1" x14ac:dyDescent="0.35"/>
    <row r="13" spans="1:34" s="86" customFormat="1" ht="39.950000000000003" customHeight="1" thickBot="1" x14ac:dyDescent="0.3">
      <c r="E13" s="111" t="s">
        <v>99</v>
      </c>
      <c r="F13" s="111" t="s">
        <v>100</v>
      </c>
    </row>
    <row r="14" spans="1:34" ht="75" customHeight="1" thickBot="1" x14ac:dyDescent="0.35">
      <c r="E14" s="106"/>
      <c r="F14" s="106"/>
      <c r="G14" s="81"/>
      <c r="I14" s="81"/>
      <c r="J14" s="81"/>
      <c r="K14" s="81"/>
      <c r="L14" s="81"/>
      <c r="M14" s="81"/>
      <c r="N14" s="81"/>
      <c r="O14" s="81"/>
      <c r="P14" s="81"/>
      <c r="Q14" s="81"/>
      <c r="R14" s="81"/>
    </row>
    <row r="15" spans="1:34" ht="9.9499999999999993" customHeight="1" thickBot="1" x14ac:dyDescent="0.35"/>
    <row r="16" spans="1:34" s="87" customFormat="1" ht="21" customHeight="1" thickBot="1" x14ac:dyDescent="0.45">
      <c r="B16" s="81"/>
      <c r="C16" s="88"/>
      <c r="D16" s="88"/>
      <c r="E16" s="783" t="s">
        <v>101</v>
      </c>
      <c r="F16" s="784"/>
      <c r="G16" s="784"/>
      <c r="H16" s="784"/>
      <c r="I16" s="784"/>
      <c r="J16" s="784"/>
      <c r="K16" s="784"/>
      <c r="L16" s="784"/>
      <c r="M16" s="784"/>
      <c r="N16" s="784"/>
      <c r="O16" s="784"/>
      <c r="P16" s="784"/>
      <c r="Q16" s="784"/>
      <c r="R16" s="785"/>
      <c r="S16" s="100"/>
      <c r="T16" s="101"/>
      <c r="U16" s="102"/>
      <c r="V16" s="102"/>
      <c r="AA16" s="100"/>
      <c r="AB16" s="100"/>
      <c r="AC16" s="100"/>
      <c r="AD16" s="100"/>
    </row>
    <row r="17" spans="1:18" ht="9.9499999999999993" customHeight="1" thickBot="1" x14ac:dyDescent="0.35"/>
    <row r="18" spans="1:18" ht="69.95" customHeight="1" thickBot="1" x14ac:dyDescent="0.35">
      <c r="E18" s="129" t="s">
        <v>102</v>
      </c>
      <c r="F18" s="792" t="s">
        <v>103</v>
      </c>
      <c r="G18" s="792"/>
      <c r="H18" s="792"/>
      <c r="I18" s="792"/>
      <c r="J18" s="792"/>
      <c r="K18" s="792"/>
      <c r="L18" s="792"/>
      <c r="M18" s="792"/>
      <c r="N18" s="792"/>
      <c r="O18" s="792"/>
      <c r="P18" s="792"/>
      <c r="Q18" s="792"/>
      <c r="R18" s="793"/>
    </row>
    <row r="19" spans="1:18" ht="80.099999999999994" customHeight="1" thickBot="1" x14ac:dyDescent="0.35">
      <c r="E19" s="129" t="s">
        <v>104</v>
      </c>
      <c r="F19" s="781" t="s">
        <v>105</v>
      </c>
      <c r="G19" s="794"/>
      <c r="H19" s="794"/>
      <c r="I19" s="794"/>
      <c r="J19" s="794"/>
      <c r="K19" s="794"/>
      <c r="L19" s="794"/>
      <c r="M19" s="794"/>
      <c r="N19" s="794"/>
      <c r="O19" s="794"/>
      <c r="P19" s="794"/>
      <c r="Q19" s="794"/>
      <c r="R19" s="795"/>
    </row>
    <row r="20" spans="1:18" hidden="1" x14ac:dyDescent="0.3">
      <c r="A20" s="549"/>
    </row>
    <row r="21" spans="1:18" ht="15" hidden="1" customHeight="1" x14ac:dyDescent="0.3">
      <c r="A21" s="635"/>
      <c r="C21" s="88"/>
      <c r="D21" s="88"/>
      <c r="E21" s="82" t="s">
        <v>106</v>
      </c>
      <c r="F21" s="89">
        <f>EXPEDIENTE!F25</f>
        <v>45658</v>
      </c>
      <c r="G21" s="90"/>
      <c r="H21" s="90"/>
      <c r="I21" s="90"/>
      <c r="J21" s="90"/>
      <c r="K21" s="90"/>
      <c r="L21" s="90"/>
      <c r="M21" s="90"/>
      <c r="N21" s="90"/>
      <c r="O21" s="90"/>
      <c r="P21" s="90"/>
      <c r="Q21" s="90"/>
      <c r="R21" s="90"/>
    </row>
    <row r="22" spans="1:18" ht="15" hidden="1" customHeight="1" x14ac:dyDescent="0.3">
      <c r="A22" s="635"/>
      <c r="C22" s="88"/>
      <c r="D22" s="88"/>
      <c r="E22" s="82" t="s">
        <v>107</v>
      </c>
      <c r="F22" s="89">
        <f>EXPEDIENTE!F27</f>
        <v>0</v>
      </c>
      <c r="G22" s="90"/>
      <c r="H22" s="90"/>
      <c r="I22" s="90"/>
      <c r="J22" s="90"/>
      <c r="K22" s="90"/>
      <c r="L22" s="90"/>
      <c r="M22" s="90"/>
      <c r="N22" s="90"/>
      <c r="O22" s="90"/>
      <c r="P22" s="90"/>
      <c r="Q22" s="90"/>
      <c r="R22" s="90"/>
    </row>
    <row r="23" spans="1:18" ht="15" hidden="1" customHeight="1" x14ac:dyDescent="0.3">
      <c r="A23" s="635"/>
      <c r="C23" s="88"/>
      <c r="D23" s="88"/>
      <c r="E23" s="82" t="s">
        <v>108</v>
      </c>
      <c r="F23" s="89">
        <f>DATE(YEAR($F$21),MONTH($F$21),1)</f>
        <v>45658</v>
      </c>
      <c r="G23" s="90"/>
      <c r="H23" s="90"/>
      <c r="I23" s="90"/>
      <c r="J23" s="90"/>
      <c r="K23" s="90"/>
      <c r="L23" s="90"/>
      <c r="M23" s="90"/>
      <c r="N23" s="90"/>
      <c r="O23" s="90"/>
      <c r="P23" s="90"/>
      <c r="Q23" s="90"/>
      <c r="R23" s="90"/>
    </row>
    <row r="24" spans="1:18" ht="15" hidden="1" customHeight="1" x14ac:dyDescent="0.3">
      <c r="A24" s="635"/>
      <c r="C24" s="88"/>
      <c r="D24" s="88"/>
      <c r="E24" s="82" t="s">
        <v>109</v>
      </c>
      <c r="F24" s="89">
        <f>IF('IDENTIFICACIÓN TRABAJADOR'!$F$21="",DATE(YEAR($F$22),MONTH($F$22)+1,1)-1,MIN(DATE(YEAR('IDENTIFICACIÓN TRABAJADOR'!$F$21),MONTH('IDENTIFICACIÓN TRABAJADOR'!$F$21)+1,0),DATE(YEAR($F$22),MONTH($F$22)+1,1)-1))</f>
        <v>31</v>
      </c>
      <c r="G24" s="90"/>
      <c r="H24" s="90"/>
      <c r="I24" s="90"/>
      <c r="J24" s="90"/>
      <c r="K24" s="90"/>
      <c r="L24" s="90"/>
      <c r="M24" s="90"/>
      <c r="N24" s="90"/>
      <c r="O24" s="90"/>
      <c r="P24" s="90"/>
      <c r="Q24" s="90"/>
      <c r="R24" s="90"/>
    </row>
    <row r="25" spans="1:18" ht="15" hidden="1" customHeight="1" x14ac:dyDescent="0.3">
      <c r="A25" s="635"/>
      <c r="C25" s="88"/>
      <c r="D25" s="88"/>
      <c r="E25" s="82" t="s">
        <v>110</v>
      </c>
      <c r="F25" s="91" t="str">
        <f>IF(AND(C39="",C41="",C43="",C45=""),"SIN DEDICACIÓN",MIN(G28:R28,G30:R30,G32:R32,G34:R34))</f>
        <v>SIN DEDICACIÓN</v>
      </c>
      <c r="G25" s="90"/>
      <c r="H25" s="90"/>
      <c r="I25" s="90"/>
      <c r="J25" s="90"/>
      <c r="K25" s="90"/>
      <c r="L25" s="90"/>
      <c r="M25" s="90"/>
      <c r="N25" s="90"/>
      <c r="O25" s="90"/>
      <c r="P25" s="90"/>
      <c r="Q25" s="90"/>
      <c r="R25" s="90"/>
    </row>
    <row r="26" spans="1:18" ht="15" hidden="1" customHeight="1" x14ac:dyDescent="0.3">
      <c r="A26" s="635"/>
      <c r="C26" s="88"/>
      <c r="D26" s="88"/>
      <c r="E26" s="82" t="s">
        <v>111</v>
      </c>
      <c r="F26" s="89">
        <f>DATE(YEAR($F$9),MONTH($F$9),1)</f>
        <v>1</v>
      </c>
      <c r="G26" s="90"/>
      <c r="H26" s="90"/>
      <c r="I26" s="90"/>
      <c r="J26" s="90"/>
      <c r="K26" s="90"/>
      <c r="L26" s="90"/>
      <c r="M26" s="90"/>
      <c r="N26" s="90"/>
      <c r="O26" s="90"/>
      <c r="P26" s="90"/>
      <c r="Q26" s="90"/>
      <c r="R26" s="90"/>
    </row>
    <row r="27" spans="1:18" ht="15" hidden="1" customHeight="1" x14ac:dyDescent="0.3">
      <c r="A27" s="635"/>
      <c r="C27" s="88"/>
      <c r="D27" s="88"/>
      <c r="E27" s="92" t="s">
        <v>112</v>
      </c>
      <c r="F27" s="93">
        <f>YEAR(F21)</f>
        <v>2025</v>
      </c>
      <c r="G27" s="94" t="str">
        <f t="shared" ref="G27:R27" si="0">IF(G$39&gt;0,G35,"")</f>
        <v/>
      </c>
      <c r="H27" s="94" t="str">
        <f t="shared" si="0"/>
        <v/>
      </c>
      <c r="I27" s="94" t="str">
        <f t="shared" si="0"/>
        <v/>
      </c>
      <c r="J27" s="94" t="str">
        <f t="shared" si="0"/>
        <v/>
      </c>
      <c r="K27" s="94" t="str">
        <f t="shared" si="0"/>
        <v/>
      </c>
      <c r="L27" s="94" t="str">
        <f t="shared" si="0"/>
        <v/>
      </c>
      <c r="M27" s="94" t="str">
        <f t="shared" si="0"/>
        <v/>
      </c>
      <c r="N27" s="94" t="str">
        <f t="shared" si="0"/>
        <v/>
      </c>
      <c r="O27" s="94" t="str">
        <f t="shared" si="0"/>
        <v/>
      </c>
      <c r="P27" s="94" t="str">
        <f t="shared" si="0"/>
        <v/>
      </c>
      <c r="Q27" s="94" t="str">
        <f t="shared" si="0"/>
        <v/>
      </c>
      <c r="R27" s="95" t="str">
        <f t="shared" si="0"/>
        <v/>
      </c>
    </row>
    <row r="28" spans="1:18" ht="15" hidden="1" customHeight="1" x14ac:dyDescent="0.3">
      <c r="A28" s="635"/>
      <c r="C28" s="88"/>
      <c r="D28" s="88"/>
      <c r="E28" s="96"/>
      <c r="F28" s="97" t="s">
        <v>113</v>
      </c>
      <c r="G28" s="98" t="str">
        <f>IF(G27="","",DATE($F$27,G27,1))</f>
        <v/>
      </c>
      <c r="H28" s="98" t="str">
        <f t="shared" ref="H28:R28" si="1">IF(H27="","",DATE($F$27,H27,1))</f>
        <v/>
      </c>
      <c r="I28" s="98" t="str">
        <f t="shared" si="1"/>
        <v/>
      </c>
      <c r="J28" s="98" t="str">
        <f t="shared" si="1"/>
        <v/>
      </c>
      <c r="K28" s="98" t="str">
        <f t="shared" si="1"/>
        <v/>
      </c>
      <c r="L28" s="98" t="str">
        <f t="shared" si="1"/>
        <v/>
      </c>
      <c r="M28" s="98" t="str">
        <f t="shared" si="1"/>
        <v/>
      </c>
      <c r="N28" s="98" t="str">
        <f t="shared" si="1"/>
        <v/>
      </c>
      <c r="O28" s="98" t="str">
        <f t="shared" si="1"/>
        <v/>
      </c>
      <c r="P28" s="98" t="str">
        <f t="shared" si="1"/>
        <v/>
      </c>
      <c r="Q28" s="98" t="str">
        <f t="shared" si="1"/>
        <v/>
      </c>
      <c r="R28" s="99" t="str">
        <f t="shared" si="1"/>
        <v/>
      </c>
    </row>
    <row r="29" spans="1:18" ht="15" hidden="1" customHeight="1" x14ac:dyDescent="0.3">
      <c r="A29" s="635"/>
      <c r="C29" s="88"/>
      <c r="D29" s="88"/>
      <c r="E29" s="92" t="s">
        <v>112</v>
      </c>
      <c r="F29" s="93" t="str">
        <f>IF(YEAR(EXPEDIENTE!$F$27)&gt;=YEAR(EXPEDIENTE!$F$25)+1,YEAR(EXPEDIENTE!$F$25)+1,"")</f>
        <v/>
      </c>
      <c r="G29" s="94" t="str">
        <f t="shared" ref="G29:R29" si="2">IF(G$41&gt;0,G35,"")</f>
        <v/>
      </c>
      <c r="H29" s="94" t="str">
        <f t="shared" si="2"/>
        <v/>
      </c>
      <c r="I29" s="94" t="str">
        <f t="shared" si="2"/>
        <v/>
      </c>
      <c r="J29" s="94" t="str">
        <f t="shared" si="2"/>
        <v/>
      </c>
      <c r="K29" s="94" t="str">
        <f t="shared" si="2"/>
        <v/>
      </c>
      <c r="L29" s="94" t="str">
        <f t="shared" si="2"/>
        <v/>
      </c>
      <c r="M29" s="94" t="str">
        <f t="shared" si="2"/>
        <v/>
      </c>
      <c r="N29" s="94" t="str">
        <f t="shared" si="2"/>
        <v/>
      </c>
      <c r="O29" s="94" t="str">
        <f t="shared" si="2"/>
        <v/>
      </c>
      <c r="P29" s="94" t="str">
        <f t="shared" si="2"/>
        <v/>
      </c>
      <c r="Q29" s="94" t="str">
        <f t="shared" si="2"/>
        <v/>
      </c>
      <c r="R29" s="95" t="str">
        <f t="shared" si="2"/>
        <v/>
      </c>
    </row>
    <row r="30" spans="1:18" ht="15" hidden="1" customHeight="1" x14ac:dyDescent="0.3">
      <c r="A30" s="635"/>
      <c r="C30" s="88"/>
      <c r="D30" s="88"/>
      <c r="E30" s="96"/>
      <c r="F30" s="97" t="s">
        <v>113</v>
      </c>
      <c r="G30" s="98" t="str">
        <f>IF($F$29="","",IF(G29="","",DATE($F$29,G29,1)))</f>
        <v/>
      </c>
      <c r="H30" s="98" t="str">
        <f t="shared" ref="H30:R30" si="3">IF($F$29="","",IF(H29="","",DATE($F$29,H29,1)))</f>
        <v/>
      </c>
      <c r="I30" s="98" t="str">
        <f t="shared" si="3"/>
        <v/>
      </c>
      <c r="J30" s="98" t="str">
        <f t="shared" si="3"/>
        <v/>
      </c>
      <c r="K30" s="98" t="str">
        <f t="shared" si="3"/>
        <v/>
      </c>
      <c r="L30" s="98" t="str">
        <f t="shared" si="3"/>
        <v/>
      </c>
      <c r="M30" s="98" t="str">
        <f t="shared" si="3"/>
        <v/>
      </c>
      <c r="N30" s="98" t="str">
        <f t="shared" si="3"/>
        <v/>
      </c>
      <c r="O30" s="98" t="str">
        <f t="shared" si="3"/>
        <v/>
      </c>
      <c r="P30" s="98" t="str">
        <f t="shared" si="3"/>
        <v/>
      </c>
      <c r="Q30" s="98" t="str">
        <f t="shared" si="3"/>
        <v/>
      </c>
      <c r="R30" s="99" t="str">
        <f t="shared" si="3"/>
        <v/>
      </c>
    </row>
    <row r="31" spans="1:18" ht="15" hidden="1" customHeight="1" x14ac:dyDescent="0.3">
      <c r="A31" s="635"/>
      <c r="C31" s="88"/>
      <c r="D31" s="88"/>
      <c r="E31" s="92" t="s">
        <v>112</v>
      </c>
      <c r="F31" s="93" t="str">
        <f>IF(YEAR(EXPEDIENTE!$F$27)&gt;=YEAR(EXPEDIENTE!$F$25)+2,YEAR(EXPEDIENTE!$F$25)+2,"")</f>
        <v/>
      </c>
      <c r="G31" s="94" t="str">
        <f t="shared" ref="G31:R31" si="4">IF(G$43&gt;0,G35,"")</f>
        <v/>
      </c>
      <c r="H31" s="94" t="str">
        <f t="shared" si="4"/>
        <v/>
      </c>
      <c r="I31" s="94" t="str">
        <f t="shared" si="4"/>
        <v/>
      </c>
      <c r="J31" s="94" t="str">
        <f t="shared" si="4"/>
        <v/>
      </c>
      <c r="K31" s="94" t="str">
        <f t="shared" si="4"/>
        <v/>
      </c>
      <c r="L31" s="94" t="str">
        <f t="shared" si="4"/>
        <v/>
      </c>
      <c r="M31" s="94" t="str">
        <f t="shared" si="4"/>
        <v/>
      </c>
      <c r="N31" s="94" t="str">
        <f t="shared" si="4"/>
        <v/>
      </c>
      <c r="O31" s="94" t="str">
        <f t="shared" si="4"/>
        <v/>
      </c>
      <c r="P31" s="94" t="str">
        <f t="shared" si="4"/>
        <v/>
      </c>
      <c r="Q31" s="94" t="str">
        <f t="shared" si="4"/>
        <v/>
      </c>
      <c r="R31" s="95" t="str">
        <f t="shared" si="4"/>
        <v/>
      </c>
    </row>
    <row r="32" spans="1:18" ht="15" hidden="1" customHeight="1" x14ac:dyDescent="0.3">
      <c r="A32" s="635"/>
      <c r="C32" s="88"/>
      <c r="D32" s="88"/>
      <c r="E32" s="96"/>
      <c r="F32" s="97" t="s">
        <v>113</v>
      </c>
      <c r="G32" s="98" t="str">
        <f>IF($F$31="","",IF(G31="","",DATE($F$31,G31,1)))</f>
        <v/>
      </c>
      <c r="H32" s="98" t="str">
        <f t="shared" ref="H32:R32" si="5">IF($F$31="","",IF(H31="","",DATE($F$31,H31,1)))</f>
        <v/>
      </c>
      <c r="I32" s="98" t="str">
        <f t="shared" si="5"/>
        <v/>
      </c>
      <c r="J32" s="98" t="str">
        <f t="shared" si="5"/>
        <v/>
      </c>
      <c r="K32" s="98" t="str">
        <f t="shared" si="5"/>
        <v/>
      </c>
      <c r="L32" s="98" t="str">
        <f t="shared" si="5"/>
        <v/>
      </c>
      <c r="M32" s="98" t="str">
        <f t="shared" si="5"/>
        <v/>
      </c>
      <c r="N32" s="98" t="str">
        <f t="shared" si="5"/>
        <v/>
      </c>
      <c r="O32" s="98" t="str">
        <f t="shared" si="5"/>
        <v/>
      </c>
      <c r="P32" s="98" t="str">
        <f t="shared" si="5"/>
        <v/>
      </c>
      <c r="Q32" s="98" t="str">
        <f t="shared" si="5"/>
        <v/>
      </c>
      <c r="R32" s="99" t="str">
        <f t="shared" si="5"/>
        <v/>
      </c>
    </row>
    <row r="33" spans="1:20" ht="15" hidden="1" customHeight="1" x14ac:dyDescent="0.3">
      <c r="A33" s="635"/>
      <c r="C33" s="88"/>
      <c r="D33" s="88"/>
      <c r="E33" s="92" t="s">
        <v>112</v>
      </c>
      <c r="F33" s="93" t="str">
        <f>IF(YEAR(EXPEDIENTE!$F$27)&gt;=YEAR(EXPEDIENTE!$F$25)+3,YEAR(EXPEDIENTE!$F$25)+3,"")</f>
        <v/>
      </c>
      <c r="G33" s="94" t="str">
        <f t="shared" ref="G33:R33" si="6">IF(G$45&gt;0,G35,"")</f>
        <v/>
      </c>
      <c r="H33" s="94" t="str">
        <f t="shared" si="6"/>
        <v/>
      </c>
      <c r="I33" s="94" t="str">
        <f t="shared" si="6"/>
        <v/>
      </c>
      <c r="J33" s="94" t="str">
        <f t="shared" si="6"/>
        <v/>
      </c>
      <c r="K33" s="94" t="str">
        <f t="shared" si="6"/>
        <v/>
      </c>
      <c r="L33" s="94" t="str">
        <f t="shared" si="6"/>
        <v/>
      </c>
      <c r="M33" s="94" t="str">
        <f t="shared" si="6"/>
        <v/>
      </c>
      <c r="N33" s="94" t="str">
        <f t="shared" si="6"/>
        <v/>
      </c>
      <c r="O33" s="94" t="str">
        <f t="shared" si="6"/>
        <v/>
      </c>
      <c r="P33" s="94" t="str">
        <f t="shared" si="6"/>
        <v/>
      </c>
      <c r="Q33" s="94" t="str">
        <f t="shared" si="6"/>
        <v/>
      </c>
      <c r="R33" s="95" t="str">
        <f t="shared" si="6"/>
        <v/>
      </c>
    </row>
    <row r="34" spans="1:20" ht="15" hidden="1" customHeight="1" x14ac:dyDescent="0.3">
      <c r="A34" s="635"/>
      <c r="C34" s="88"/>
      <c r="D34" s="88"/>
      <c r="E34" s="96"/>
      <c r="F34" s="97" t="s">
        <v>113</v>
      </c>
      <c r="G34" s="98" t="str">
        <f>IF($F$33="","",IF(G33="","",DATE($F$33,G33,1)))</f>
        <v/>
      </c>
      <c r="H34" s="98" t="str">
        <f t="shared" ref="H34:R34" si="7">IF($F$33="","",IF(H33="","",DATE($F$33,H33,1)))</f>
        <v/>
      </c>
      <c r="I34" s="98" t="str">
        <f t="shared" si="7"/>
        <v/>
      </c>
      <c r="J34" s="98" t="str">
        <f t="shared" si="7"/>
        <v/>
      </c>
      <c r="K34" s="98" t="str">
        <f t="shared" si="7"/>
        <v/>
      </c>
      <c r="L34" s="98" t="str">
        <f t="shared" si="7"/>
        <v/>
      </c>
      <c r="M34" s="98" t="str">
        <f t="shared" si="7"/>
        <v/>
      </c>
      <c r="N34" s="98" t="str">
        <f t="shared" si="7"/>
        <v/>
      </c>
      <c r="O34" s="98" t="str">
        <f t="shared" si="7"/>
        <v/>
      </c>
      <c r="P34" s="98" t="str">
        <f t="shared" si="7"/>
        <v/>
      </c>
      <c r="Q34" s="98" t="str">
        <f t="shared" si="7"/>
        <v/>
      </c>
      <c r="R34" s="99" t="str">
        <f t="shared" si="7"/>
        <v/>
      </c>
    </row>
    <row r="35" spans="1:20" ht="15" hidden="1" customHeight="1" x14ac:dyDescent="0.3">
      <c r="A35" s="635"/>
      <c r="C35" s="88"/>
      <c r="D35" s="88"/>
      <c r="E35" s="107" t="s">
        <v>91</v>
      </c>
      <c r="F35" s="108"/>
      <c r="G35" s="109">
        <v>1</v>
      </c>
      <c r="H35" s="109">
        <v>2</v>
      </c>
      <c r="I35" s="109">
        <v>3</v>
      </c>
      <c r="J35" s="109">
        <v>4</v>
      </c>
      <c r="K35" s="109">
        <v>5</v>
      </c>
      <c r="L35" s="109">
        <v>6</v>
      </c>
      <c r="M35" s="109">
        <v>7</v>
      </c>
      <c r="N35" s="109">
        <v>8</v>
      </c>
      <c r="O35" s="109">
        <v>9</v>
      </c>
      <c r="P35" s="109">
        <v>10</v>
      </c>
      <c r="Q35" s="109">
        <v>11</v>
      </c>
      <c r="R35" s="110">
        <v>12</v>
      </c>
    </row>
    <row r="36" spans="1:20" ht="9.9499999999999993" customHeight="1" x14ac:dyDescent="0.3"/>
    <row r="37" spans="1:20" ht="15" customHeight="1" x14ac:dyDescent="0.3">
      <c r="B37" s="81" t="s">
        <v>114</v>
      </c>
      <c r="C37" s="778" t="s">
        <v>115</v>
      </c>
      <c r="D37" s="778" t="s">
        <v>116</v>
      </c>
      <c r="E37" s="777" t="s">
        <v>101</v>
      </c>
      <c r="F37" s="777"/>
      <c r="G37" s="468" t="s">
        <v>117</v>
      </c>
      <c r="H37" s="468" t="s">
        <v>118</v>
      </c>
      <c r="I37" s="468" t="s">
        <v>119</v>
      </c>
      <c r="J37" s="468" t="s">
        <v>120</v>
      </c>
      <c r="K37" s="468" t="s">
        <v>121</v>
      </c>
      <c r="L37" s="468" t="s">
        <v>122</v>
      </c>
      <c r="M37" s="468" t="s">
        <v>123</v>
      </c>
      <c r="N37" s="468" t="s">
        <v>124</v>
      </c>
      <c r="O37" s="468" t="s">
        <v>125</v>
      </c>
      <c r="P37" s="468" t="s">
        <v>126</v>
      </c>
      <c r="Q37" s="468" t="s">
        <v>127</v>
      </c>
      <c r="R37" s="468" t="s">
        <v>128</v>
      </c>
      <c r="T37" s="101"/>
    </row>
    <row r="38" spans="1:20" ht="20.100000000000001" customHeight="1" x14ac:dyDescent="0.3">
      <c r="C38" s="779"/>
      <c r="D38" s="779"/>
      <c r="E38" s="777"/>
      <c r="F38" s="777"/>
      <c r="G38" s="786" t="s">
        <v>129</v>
      </c>
      <c r="H38" s="786"/>
      <c r="I38" s="786"/>
      <c r="J38" s="786"/>
      <c r="K38" s="786"/>
      <c r="L38" s="786"/>
      <c r="M38" s="786"/>
      <c r="N38" s="786"/>
      <c r="O38" s="786"/>
      <c r="P38" s="786"/>
      <c r="Q38" s="786"/>
      <c r="R38" s="786"/>
    </row>
    <row r="39" spans="1:20" ht="35.1" customHeight="1" x14ac:dyDescent="0.3">
      <c r="B39" s="81">
        <f>COUNTIF(G39:R39,"&gt;100%")</f>
        <v>0</v>
      </c>
      <c r="C39" s="103" t="str">
        <f>IF(SUM(G39:R39)=0,"",IF(SUM($G$27:$R$27)=0,$F$21,MIN($G$28:$R$28)))</f>
        <v/>
      </c>
      <c r="D39" s="103" t="str">
        <f>IF(SUM(G39:R39)=0,"",IF(SUM($G$27:$R$27)=0,$F$22,DATE($F$27,MAX($G$27:$R$27)+1,1)-1))</f>
        <v/>
      </c>
      <c r="E39" s="800" t="str">
        <f>CONCATENATE("DEDICACIÓN EJERCICIO ",YEAR(EXPEDIENTE!F25))</f>
        <v>DEDICACIÓN EJERCICIO 2025</v>
      </c>
      <c r="F39" s="800"/>
      <c r="G39" s="686"/>
      <c r="H39" s="686"/>
      <c r="I39" s="686"/>
      <c r="J39" s="686"/>
      <c r="K39" s="686"/>
      <c r="L39" s="686"/>
      <c r="M39" s="686"/>
      <c r="N39" s="686"/>
      <c r="O39" s="686"/>
      <c r="P39" s="686"/>
      <c r="Q39" s="686"/>
      <c r="R39" s="686"/>
      <c r="T39" s="82" t="str">
        <f>IF(SUM(G39:R39)=0,"",IF(AND(SUM(G39:R39)&gt;0,OR(C39&lt;$F$23,D39&gt;$F$24)),"ERROR: SE HA INDICADO % DEDICACIÓN FUERA DEL PLAZO DE EJECUCIÓN O DE CONTRATACIÓN.",IF(AND($F$25&lt;&gt;"SIN DEDICACIÓN",DATE(YEAR(C39),MONTH(C39)+1,1)-1&lt;DATE(YEAR($F$9),MONTH($F$9),1)),"ERROR: EXISTE DEDICACIÓN AL PROYECTO ANTERIOR A LA FECHA DE EMISÓN DE FORMULARIO.",IF(B39&gt;0,"ERROR: EL PORCENTAJE INDICADO ES SUPERIOR AL 100%.",IF(SUM(G39:R39)&gt;1100%,"LA SUMA DE PORCENTAJES MENSUALES SUPERA EL MÁXIMO",IF(F40=1,"REVISAR EL PORCENTAJE DE DEDICACIÓN Y LOS DÍAS DE VACACIONES Y/O PERMISO RETRIBUIDO",""))))))</f>
        <v/>
      </c>
    </row>
    <row r="40" spans="1:20" ht="35.1" hidden="1" customHeight="1" x14ac:dyDescent="0.3">
      <c r="C40" s="103"/>
      <c r="D40" s="103"/>
      <c r="E40" s="104"/>
      <c r="F40" s="113">
        <f>IF(OR(AND(G39&lt;&gt;"",G40&lt;G39),AND(H39&lt;&gt;"",H40&lt;H39),AND(I39&lt;&gt;"",I40&lt;I39),AND(J39&lt;&gt;"",J40&lt;J39),AND(K39&lt;&gt;"",K40&lt;K39),AND(L39&lt;&gt;"",L40&lt;L39),AND(M39&lt;&gt;"",M40&lt;M39),AND(N39&lt;&gt;"",N40&lt;N39),AND(O39&lt;&gt;"",O40&lt;O39),AND(P39&lt;&gt;"",P40&lt;P39),AND(Q39&lt;&gt;"",Q40&lt;Q39),AND(R39&lt;&gt;"",R40&lt;R39)),1,0)</f>
        <v>0</v>
      </c>
      <c r="G40" s="687">
        <f t="shared" ref="G40:R40" si="8">VLOOKUP(G37,$Z$57:$AH$68,6,FALSE)</f>
        <v>1</v>
      </c>
      <c r="H40" s="687">
        <f t="shared" si="8"/>
        <v>1</v>
      </c>
      <c r="I40" s="687">
        <f t="shared" si="8"/>
        <v>1</v>
      </c>
      <c r="J40" s="687">
        <f t="shared" si="8"/>
        <v>1</v>
      </c>
      <c r="K40" s="687">
        <f t="shared" si="8"/>
        <v>1</v>
      </c>
      <c r="L40" s="687">
        <f t="shared" si="8"/>
        <v>1</v>
      </c>
      <c r="M40" s="687">
        <f t="shared" si="8"/>
        <v>1</v>
      </c>
      <c r="N40" s="687">
        <f t="shared" si="8"/>
        <v>1</v>
      </c>
      <c r="O40" s="687">
        <f t="shared" si="8"/>
        <v>1</v>
      </c>
      <c r="P40" s="687">
        <f t="shared" si="8"/>
        <v>1</v>
      </c>
      <c r="Q40" s="687">
        <f t="shared" si="8"/>
        <v>1</v>
      </c>
      <c r="R40" s="687">
        <f t="shared" si="8"/>
        <v>1</v>
      </c>
    </row>
    <row r="41" spans="1:20" ht="35.1" customHeight="1" x14ac:dyDescent="0.3">
      <c r="B41" s="81">
        <f>COUNTIF(G41:R41,"&gt;100%")</f>
        <v>0</v>
      </c>
      <c r="C41" s="103" t="str">
        <f>IF(SUM(G41:R41)=0,"",IF(SUM($G$29:$R$29)=0,$F$21,MIN($G$30:$R$30)))</f>
        <v/>
      </c>
      <c r="D41" s="103" t="str">
        <f>IF(F29="","",IF(SUM(G41:R41)=0,"",IF(SUM($G$29:$R$29)=0,$F$22,DATE($F$29,MAX($G$29:$R$29)+1,1)-1)))</f>
        <v/>
      </c>
      <c r="E41" s="799" t="str">
        <f>IF(YEAR(EXPEDIENTE!F27)=YEAR(EXPEDIENTE!F25),"",IF(YEAR(EXPEDIENTE!F27)&gt;=YEAR(EXPEDIENTE!F25)+1,CONCATENATE("DEDICACIÓN EJERCICIO ",YEAR(EXPEDIENTE!F25)+1),""))</f>
        <v/>
      </c>
      <c r="F41" s="799"/>
      <c r="G41" s="688"/>
      <c r="H41" s="688"/>
      <c r="I41" s="688"/>
      <c r="J41" s="688"/>
      <c r="K41" s="688"/>
      <c r="L41" s="688"/>
      <c r="M41" s="688"/>
      <c r="N41" s="688"/>
      <c r="O41" s="688"/>
      <c r="P41" s="688"/>
      <c r="Q41" s="688"/>
      <c r="R41" s="688"/>
      <c r="T41" s="82" t="str">
        <f>IF(SUM(G41:R41)=0,"",IF(AND(SUM(G41:R41)&gt;0,OR(C41&lt;$F$23,D41&gt;$F$24)),"ERROR: SE HA INDICADO % DEDICACIÓN FUERA DEL PLAZO DE EJECUCIÓN O DE CONTRATACIÓN.",IF(AND($F$25&lt;&gt;"SIN DEDICACIÓN",DATE(YEAR(C41),MONTH(C41)+1,1)-1&lt;DATE(YEAR($F$9),MONTH($F$9),1)),"ERROR: EXISTE DEDICACIÓN AL PROYECTO ANTERIOR A LA FECHA DE EMISÓN DE FORMULARIO.",IF(B41&gt;0,"ERROR: EL PORCENTAJE INDICADO ES SUPERIOR AL 100%.",IF(SUM(G41:R41)&gt;1100%,"LA SUMA DE PORCENTAJES MENSUALES SUPERA EL MÁXIMO",IF(F42=1,"REVISAR EL PORCENTAJE DE DEDICACIÓN Y LOS DÍAS DE VACACIONES Y/O PERMISO RETRIBUIDO",""))))))</f>
        <v/>
      </c>
    </row>
    <row r="42" spans="1:20" ht="35.1" hidden="1" customHeight="1" x14ac:dyDescent="0.3">
      <c r="C42" s="103"/>
      <c r="D42" s="103"/>
      <c r="E42" s="104"/>
      <c r="F42" s="113">
        <f>IF(OR(AND(G41&lt;&gt;"",G42&lt;G41),AND(H41&lt;&gt;"",H42&lt;H41),AND(I41&lt;&gt;"",I42&lt;I41),AND(J41&lt;&gt;"",J42&lt;J41),AND(K41&lt;&gt;"",K42&lt;K41),AND(L41&lt;&gt;"",L42&lt;L41),AND(M41&lt;&gt;"",M42&lt;M41),AND(N41&lt;&gt;"",N42&lt;N41),AND(O41&lt;&gt;"",O42&lt;O41),AND(P41&lt;&gt;"",P42&lt;P41),AND(Q41&lt;&gt;"",Q42&lt;Q41),AND(R41&lt;&gt;"",R42&lt;R41)),1,0)</f>
        <v>0</v>
      </c>
      <c r="G42" s="687">
        <f t="shared" ref="G42:R42" si="9">VLOOKUP(G37,$Z$57:$AH$68,7,FALSE)</f>
        <v>1</v>
      </c>
      <c r="H42" s="687">
        <f t="shared" si="9"/>
        <v>1</v>
      </c>
      <c r="I42" s="687">
        <f t="shared" si="9"/>
        <v>1</v>
      </c>
      <c r="J42" s="687">
        <f t="shared" si="9"/>
        <v>1</v>
      </c>
      <c r="K42" s="687">
        <f t="shared" si="9"/>
        <v>1</v>
      </c>
      <c r="L42" s="687">
        <f t="shared" si="9"/>
        <v>1</v>
      </c>
      <c r="M42" s="687">
        <f t="shared" si="9"/>
        <v>1</v>
      </c>
      <c r="N42" s="687">
        <f t="shared" si="9"/>
        <v>1</v>
      </c>
      <c r="O42" s="687">
        <f t="shared" si="9"/>
        <v>1</v>
      </c>
      <c r="P42" s="687">
        <f t="shared" si="9"/>
        <v>1</v>
      </c>
      <c r="Q42" s="687">
        <f t="shared" si="9"/>
        <v>1</v>
      </c>
      <c r="R42" s="687">
        <f t="shared" si="9"/>
        <v>1</v>
      </c>
    </row>
    <row r="43" spans="1:20" ht="35.1" customHeight="1" x14ac:dyDescent="0.3">
      <c r="B43" s="81">
        <f>COUNTIF(G43:R43,"&gt;100%")</f>
        <v>0</v>
      </c>
      <c r="C43" s="103" t="str">
        <f>IF(SUM(G43:R43)=0,"",IF(SUM($G$31:$R$31)=0,$F$21,MIN($G$32:$R$32)))</f>
        <v/>
      </c>
      <c r="D43" s="103" t="str">
        <f>IF(F31="","",IF(SUM(G43:R43)=0,"",IF(SUM($G$31:$R$31)=0,$F$22,DATE($F$31,MAX($G$31:$R$31)+1,1)-1)))</f>
        <v/>
      </c>
      <c r="E43" s="799" t="str">
        <f>IF(YEAR(EXPEDIENTE!F27)&gt;=YEAR(EXPEDIENTE!F25)+2,CONCATENATE("DEDICACIÓN EJERCICIO ",YEAR(EXPEDIENTE!F25)+2),"")</f>
        <v/>
      </c>
      <c r="F43" s="799"/>
      <c r="G43" s="688"/>
      <c r="H43" s="688"/>
      <c r="I43" s="688"/>
      <c r="J43" s="688"/>
      <c r="K43" s="688"/>
      <c r="L43" s="688"/>
      <c r="M43" s="688"/>
      <c r="N43" s="688"/>
      <c r="O43" s="688"/>
      <c r="P43" s="688"/>
      <c r="Q43" s="688"/>
      <c r="R43" s="688"/>
      <c r="T43" s="82" t="str">
        <f>IF(SUM(G43:R43)=0,"",IF(AND(SUM(G43:R43)&gt;0,OR(C43&lt;$F$23,D43&gt;$F$24)),"ERROR: SE HA INDICADO % DEDICACIÓN FUERA DEL PLAZO DE EJECUCIÓN O DE CONTRATACIÓN.",IF(AND($F$25&lt;&gt;"SIN DEDICACIÓN",DATE(YEAR(C43),MONTH(C43)+1,1)-1&lt;DATE(YEAR($F$9),MONTH($F$9),1)),"ERROR: EXISTE DEDICACIÓN AL PROYECTO ANTERIOR A LA FECHA DE EMISÓN DE FORMULARIO.",IF(B43&gt;0,"ERROR: EL PORCENTAJE INDICADO ES SUPERIOR AL 100%.",IF(SUM(G43:R43)&gt;1100%,"LA SUMA DE PORCENTAJES MENSUALES SUPERA EL MÁXIMO",IF(F44=1,"REVISAR EL PORCENTAJE DE DEDICACIÓN Y LOS DÍAS DE VACACIONES Y/O PERMISO RETRIBUIDO",""))))))</f>
        <v/>
      </c>
    </row>
    <row r="44" spans="1:20" ht="35.1" hidden="1" customHeight="1" x14ac:dyDescent="0.3">
      <c r="C44" s="103"/>
      <c r="D44" s="103"/>
      <c r="E44" s="104"/>
      <c r="F44" s="113">
        <f>IF(OR(AND(G43&lt;&gt;"",G44&lt;G43),AND(H43&lt;&gt;"",H44&lt;H43),AND(I43&lt;&gt;"",I44&lt;I43),AND(J43&lt;&gt;"",J44&lt;J43),AND(K43&lt;&gt;"",K44&lt;K43),AND(L43&lt;&gt;"",L44&lt;L43),AND(M43&lt;&gt;"",M44&lt;M43),AND(N43&lt;&gt;"",N44&lt;N43),AND(O43&lt;&gt;"",O44&lt;O43),AND(P43&lt;&gt;"",P44&lt;P43),AND(Q43&lt;&gt;"",Q44&lt;Q43),AND(R43&lt;&gt;"",R44&lt;R43)),1,0)</f>
        <v>0</v>
      </c>
      <c r="G44" s="687">
        <f t="shared" ref="G44:R44" si="10">VLOOKUP(G37,$Z$57:$AH$68,8,FALSE)</f>
        <v>1</v>
      </c>
      <c r="H44" s="687">
        <f t="shared" si="10"/>
        <v>1</v>
      </c>
      <c r="I44" s="687">
        <f t="shared" si="10"/>
        <v>1</v>
      </c>
      <c r="J44" s="687">
        <f t="shared" si="10"/>
        <v>1</v>
      </c>
      <c r="K44" s="687">
        <f t="shared" si="10"/>
        <v>1</v>
      </c>
      <c r="L44" s="687">
        <f t="shared" si="10"/>
        <v>1</v>
      </c>
      <c r="M44" s="687">
        <f t="shared" si="10"/>
        <v>1</v>
      </c>
      <c r="N44" s="687">
        <f t="shared" si="10"/>
        <v>1</v>
      </c>
      <c r="O44" s="687">
        <f t="shared" si="10"/>
        <v>1</v>
      </c>
      <c r="P44" s="687">
        <f t="shared" si="10"/>
        <v>1</v>
      </c>
      <c r="Q44" s="687">
        <f t="shared" si="10"/>
        <v>1</v>
      </c>
      <c r="R44" s="687">
        <f t="shared" si="10"/>
        <v>1</v>
      </c>
    </row>
    <row r="45" spans="1:20" ht="35.1" customHeight="1" x14ac:dyDescent="0.3">
      <c r="B45" s="81">
        <f>COUNTIF(G45:R45,"&gt;100%")</f>
        <v>0</v>
      </c>
      <c r="C45" s="103" t="str">
        <f>IF(SUM(G45:R45)=0,"",IF(SUM($G$33:$R$33)=0,$F$21,MIN($G$34:$R$34)))</f>
        <v/>
      </c>
      <c r="D45" s="103" t="str">
        <f>IF(F33="","",IF(SUM(G45:R45)=0,"",IF(SUM($G$33:$R$33)=0,$F$22,DATE($F$33,MAX($G$33:$R$33)+1,1)-1)))</f>
        <v/>
      </c>
      <c r="E45" s="799" t="str">
        <f>IF(YEAR(EXPEDIENTE!F27)&gt;=YEAR(EXPEDIENTE!F25)+3,CONCATENATE("DEDICACIÓN EJERCICIO ",YEAR(EXPEDIENTE!F25)+3),"")</f>
        <v/>
      </c>
      <c r="F45" s="799"/>
      <c r="G45" s="688"/>
      <c r="H45" s="688"/>
      <c r="I45" s="688"/>
      <c r="J45" s="688"/>
      <c r="K45" s="688"/>
      <c r="L45" s="688"/>
      <c r="M45" s="688"/>
      <c r="N45" s="688"/>
      <c r="O45" s="688"/>
      <c r="P45" s="688"/>
      <c r="Q45" s="688"/>
      <c r="R45" s="688"/>
      <c r="T45" s="82" t="str">
        <f>IF(SUM(G45:R45)=0,"",IF(AND(SUM(G45:R45)&gt;0,OR(C45&lt;$F$23,D45&gt;$F$24)),"ERROR: SE HA INDICADO % DEDICACIÓN FUERA DEL PLAZO DE EJECUCIÓN O DE CONTRATACIÓN.",IF(AND($F$25&lt;&gt;"SIN DEDICACIÓN",DATE(YEAR(C45),MONTH(C45)+1,1)-1&lt;DATE(YEAR($F$9),MONTH($F$9),1)),"ERROR: EXISTE DEDICACIÓN AL PROYECTO ANTERIOR A LA FECHA DE EMISÓN DE FORMULARIO.",IF(B45&gt;0,"ERROR: EL PORCENTAJE INDICADO ES SUPERIOR AL 100%.",IF(SUM(G45:R45)&gt;1100%,"LA SUMA DE PORCENTAJES MENSUALES SUPERA EL MÁXIMO",IF(F46=1,"REVISAR EL PORCENTAJE DE DEDICACIÓN Y LOS DÍAS DE VACACIONES Y/O PERMISO RETRIBUIDO",""))))))</f>
        <v/>
      </c>
    </row>
    <row r="46" spans="1:20" ht="35.1" hidden="1" customHeight="1" x14ac:dyDescent="0.3">
      <c r="C46" s="103"/>
      <c r="D46" s="103"/>
      <c r="E46" s="104"/>
      <c r="F46" s="113">
        <f>IF(OR(AND(G45&lt;&gt;"",G46&lt;G45),AND(H45&lt;&gt;"",H46&lt;H45),AND(I45&lt;&gt;"",I46&lt;I45),AND(J45&lt;&gt;"",J46&lt;J45),AND(K45&lt;&gt;"",K46&lt;K45),AND(L45&lt;&gt;"",L46&lt;L45),AND(M45&lt;&gt;"",M46&lt;M45),AND(N45&lt;&gt;"",N46&lt;N45),AND(O45&lt;&gt;"",O46&lt;O45),AND(P45&lt;&gt;"",P46&lt;P45),AND(Q45&lt;&gt;"",Q46&lt;Q45),AND(R45&lt;&gt;"",R46&lt;R45)),1,0)</f>
        <v>0</v>
      </c>
      <c r="G46" s="114">
        <f t="shared" ref="G46:R46" si="11">VLOOKUP(G37,$Z$57:$AH$68,9,FALSE)</f>
        <v>1</v>
      </c>
      <c r="H46" s="114">
        <f t="shared" si="11"/>
        <v>1</v>
      </c>
      <c r="I46" s="114">
        <f t="shared" si="11"/>
        <v>1</v>
      </c>
      <c r="J46" s="114">
        <f t="shared" si="11"/>
        <v>1</v>
      </c>
      <c r="K46" s="114">
        <f t="shared" si="11"/>
        <v>1</v>
      </c>
      <c r="L46" s="114">
        <f t="shared" si="11"/>
        <v>1</v>
      </c>
      <c r="M46" s="114">
        <f t="shared" si="11"/>
        <v>1</v>
      </c>
      <c r="N46" s="114">
        <f t="shared" si="11"/>
        <v>1</v>
      </c>
      <c r="O46" s="114">
        <f t="shared" si="11"/>
        <v>1</v>
      </c>
      <c r="P46" s="114">
        <f t="shared" si="11"/>
        <v>1</v>
      </c>
      <c r="Q46" s="114">
        <f t="shared" si="11"/>
        <v>1</v>
      </c>
      <c r="R46" s="114">
        <f t="shared" si="11"/>
        <v>1</v>
      </c>
    </row>
    <row r="47" spans="1:20" ht="9.9499999999999993" customHeight="1" thickBot="1" x14ac:dyDescent="0.35"/>
    <row r="48" spans="1:20" ht="15" customHeight="1" x14ac:dyDescent="0.3">
      <c r="E48" s="801" t="s">
        <v>130</v>
      </c>
      <c r="F48" s="802"/>
      <c r="G48" s="802"/>
      <c r="H48" s="802"/>
      <c r="I48" s="802"/>
      <c r="J48" s="802"/>
      <c r="K48" s="802"/>
      <c r="L48" s="802"/>
      <c r="M48" s="802"/>
      <c r="N48" s="802"/>
      <c r="O48" s="802"/>
      <c r="P48" s="802"/>
      <c r="Q48" s="802"/>
      <c r="R48" s="803"/>
    </row>
    <row r="49" spans="2:34" ht="15" customHeight="1" x14ac:dyDescent="0.3">
      <c r="E49" s="806" t="s">
        <v>131</v>
      </c>
      <c r="F49" s="807"/>
      <c r="G49" s="807"/>
      <c r="H49" s="809"/>
      <c r="I49" s="809"/>
      <c r="J49" s="127" t="s">
        <v>132</v>
      </c>
      <c r="K49" s="127"/>
      <c r="L49" s="127"/>
      <c r="M49" s="127"/>
      <c r="N49" s="127"/>
      <c r="O49" s="127"/>
      <c r="P49" s="127"/>
      <c r="Q49" s="127"/>
      <c r="R49" s="128"/>
    </row>
    <row r="50" spans="2:34" ht="80.099999999999994" customHeight="1" thickBot="1" x14ac:dyDescent="0.35">
      <c r="E50" s="804" t="s">
        <v>133</v>
      </c>
      <c r="F50" s="805"/>
      <c r="G50" s="805"/>
      <c r="H50" s="810"/>
      <c r="I50" s="810"/>
      <c r="J50" s="805" t="s">
        <v>134</v>
      </c>
      <c r="K50" s="805"/>
      <c r="L50" s="805"/>
      <c r="M50" s="805"/>
      <c r="N50" s="805"/>
      <c r="O50" s="805"/>
      <c r="P50" s="805"/>
      <c r="Q50" s="805"/>
      <c r="R50" s="808"/>
    </row>
    <row r="51" spans="2:34" ht="9.9499999999999993" customHeight="1" thickBot="1" x14ac:dyDescent="0.35">
      <c r="B51" s="82"/>
      <c r="C51" s="82"/>
      <c r="D51" s="82"/>
      <c r="S51" s="82"/>
    </row>
    <row r="52" spans="2:34" s="86" customFormat="1" ht="30" customHeight="1" thickBot="1" x14ac:dyDescent="0.3">
      <c r="E52" s="111" t="s">
        <v>135</v>
      </c>
      <c r="F52" s="111" t="s">
        <v>136</v>
      </c>
      <c r="G52" s="789" t="s">
        <v>137</v>
      </c>
      <c r="H52" s="790"/>
      <c r="I52" s="790"/>
      <c r="J52" s="791"/>
      <c r="K52" s="82"/>
      <c r="L52" s="82"/>
      <c r="M52" s="82"/>
      <c r="N52" s="82"/>
      <c r="O52" s="82"/>
      <c r="W52" s="82"/>
    </row>
    <row r="53" spans="2:34" ht="75" customHeight="1" thickBot="1" x14ac:dyDescent="0.35">
      <c r="E53" s="124"/>
      <c r="F53" s="124"/>
      <c r="G53" s="796"/>
      <c r="H53" s="797"/>
      <c r="I53" s="797"/>
      <c r="J53" s="798"/>
      <c r="S53" s="82"/>
    </row>
    <row r="54" spans="2:34" ht="15.75" thickBot="1" x14ac:dyDescent="0.35"/>
    <row r="55" spans="2:34" x14ac:dyDescent="0.3">
      <c r="V55" s="119" t="s">
        <v>138</v>
      </c>
      <c r="W55" s="119" t="s">
        <v>139</v>
      </c>
      <c r="X55" s="119" t="s">
        <v>140</v>
      </c>
      <c r="Z55" s="787"/>
      <c r="AA55" s="704" t="s">
        <v>141</v>
      </c>
      <c r="AB55" s="705" t="s">
        <v>142</v>
      </c>
      <c r="AC55" s="705" t="s">
        <v>143</v>
      </c>
      <c r="AD55" s="706" t="s">
        <v>144</v>
      </c>
      <c r="AE55" s="704" t="s">
        <v>141</v>
      </c>
      <c r="AF55" s="705" t="s">
        <v>142</v>
      </c>
      <c r="AG55" s="705" t="s">
        <v>143</v>
      </c>
      <c r="AH55" s="706" t="s">
        <v>144</v>
      </c>
    </row>
    <row r="56" spans="2:34" ht="15.75" thickBot="1" x14ac:dyDescent="0.35">
      <c r="V56" s="118"/>
      <c r="W56" s="120">
        <v>1</v>
      </c>
      <c r="X56" s="118"/>
      <c r="Z56" s="788"/>
      <c r="AA56" s="707" t="str">
        <f>RIGHT(YEAR(EXPEDIENTE!F25),2)</f>
        <v>25</v>
      </c>
      <c r="AB56" s="708">
        <f>AA56+1</f>
        <v>26</v>
      </c>
      <c r="AC56" s="708">
        <f>AB56+1</f>
        <v>27</v>
      </c>
      <c r="AD56" s="709">
        <f>AC56+1</f>
        <v>28</v>
      </c>
      <c r="AE56" s="710"/>
      <c r="AF56" s="711"/>
      <c r="AG56" s="711"/>
      <c r="AH56" s="712"/>
    </row>
    <row r="57" spans="2:34" x14ac:dyDescent="0.3">
      <c r="V57" s="118">
        <v>0</v>
      </c>
      <c r="W57" s="118">
        <f t="shared" ref="W57:W80" si="12">V57*$W$56</f>
        <v>0</v>
      </c>
      <c r="X57" s="121">
        <f t="shared" ref="X57:X80" si="13">($W$80-W57)/$W$80</f>
        <v>1</v>
      </c>
      <c r="Z57" s="713" t="s">
        <v>145</v>
      </c>
      <c r="AA57" s="716">
        <f>IFERROR(VLOOKUP(CONCATENATE($Z57,"-",$AA$56),'IDENTIFICACIÓN TRABAJADOR'!$B$52:$D$63,2,FALSE),0)+IFERROR(VLOOKUP(CONCATENATE($Z57,"-",$AA$56),'IDENTIFICACIÓN TRABAJADOR'!$B$52:$D$63,3,FALSE),0)</f>
        <v>0</v>
      </c>
      <c r="AB57" s="717">
        <f>IFERROR(VLOOKUP(CONCATENATE($Z57,"-",$AB$56),'IDENTIFICACIÓN TRABAJADOR'!$H$52:$J$63,2,FALSE),0)+IFERROR(VLOOKUP(CONCATENATE($Z57,"-",$AB$56),'IDENTIFICACIÓN TRABAJADOR'!$H$52:$J$63,3,FALSE),0)</f>
        <v>0</v>
      </c>
      <c r="AC57" s="717">
        <f>IFERROR(VLOOKUP(CONCATENATE($Z57,"-",$AC$56),'IDENTIFICACIÓN TRABAJADOR'!$N$52:$P$63,2,FALSE),0)+IFERROR(VLOOKUP(CONCATENATE($Z57,"-",$AC$56),'IDENTIFICACIÓN TRABAJADOR'!$N$52:$P$63,3,FALSE),0)</f>
        <v>0</v>
      </c>
      <c r="AD57" s="718">
        <f>IFERROR(VLOOKUP(CONCATENATE($Z57,"-",$AD$56),'IDENTIFICACIÓN TRABAJADOR'!$T$52:$V$63,2,FALSE),0)+IFERROR(VLOOKUP(CONCATENATE($Z57,"-",$AD$56),'IDENTIFICACIÓN TRABAJADOR'!$T$52:$V$63,3,FALSE),0)</f>
        <v>0</v>
      </c>
      <c r="AE57" s="724">
        <f>VLOOKUP(AA57,$V$57:$X$80,3)</f>
        <v>1</v>
      </c>
      <c r="AF57" s="725">
        <f>VLOOKUP(AB57,$V$57:$X$80,3)</f>
        <v>1</v>
      </c>
      <c r="AG57" s="725">
        <f>VLOOKUP(AC57,$V$57:$X$80,3)</f>
        <v>1</v>
      </c>
      <c r="AH57" s="726">
        <f>VLOOKUP(AD57,$V$57:$X$80,3)</f>
        <v>1</v>
      </c>
    </row>
    <row r="58" spans="2:34" x14ac:dyDescent="0.3">
      <c r="V58" s="118">
        <v>1</v>
      </c>
      <c r="W58" s="118">
        <f t="shared" si="12"/>
        <v>1</v>
      </c>
      <c r="X58" s="121">
        <f t="shared" si="13"/>
        <v>0.95652173913043481</v>
      </c>
      <c r="Z58" s="714" t="s">
        <v>146</v>
      </c>
      <c r="AA58" s="719">
        <f>IFERROR(VLOOKUP(CONCATENATE($Z58,"-",$AA$56),'IDENTIFICACIÓN TRABAJADOR'!$B$52:$D$63,2,FALSE),0)+IFERROR(VLOOKUP(CONCATENATE($Z58,"-",$AA$56),'IDENTIFICACIÓN TRABAJADOR'!$B$52:$D$63,3,FALSE),0)</f>
        <v>0</v>
      </c>
      <c r="AB58" s="118">
        <f>IFERROR(VLOOKUP(CONCATENATE($Z58,"-",$AB$56),'IDENTIFICACIÓN TRABAJADOR'!$H$52:$J$63,2,FALSE),0)+IFERROR(VLOOKUP(CONCATENATE($Z58,"-",$AB$56),'IDENTIFICACIÓN TRABAJADOR'!$H$52:$J$63,3,FALSE),0)</f>
        <v>0</v>
      </c>
      <c r="AC58" s="118">
        <f>IFERROR(VLOOKUP(CONCATENATE($Z58,"-",$AC$56),'IDENTIFICACIÓN TRABAJADOR'!$N$52:$P$63,2,FALSE),0)+IFERROR(VLOOKUP(CONCATENATE($Z58,"-",$AC$56),'IDENTIFICACIÓN TRABAJADOR'!$N$52:$P$63,3,FALSE),0)</f>
        <v>0</v>
      </c>
      <c r="AD58" s="720">
        <f>IFERROR(VLOOKUP(CONCATENATE($Z58,"-",$AD$56),'IDENTIFICACIÓN TRABAJADOR'!$T$52:$V$63,2,FALSE),0)+IFERROR(VLOOKUP(CONCATENATE($Z58,"-",$AD$56),'IDENTIFICACIÓN TRABAJADOR'!$T$52:$V$63,3,FALSE),0)</f>
        <v>0</v>
      </c>
      <c r="AE58" s="727">
        <f t="shared" ref="AE58:AE68" si="14">VLOOKUP(AA58,$V$57:$X$80,3)</f>
        <v>1</v>
      </c>
      <c r="AF58" s="115">
        <f t="shared" ref="AF58:AF68" si="15">VLOOKUP(AB58,$V$57:$X$80,3)</f>
        <v>1</v>
      </c>
      <c r="AG58" s="115">
        <f t="shared" ref="AG58:AG68" si="16">VLOOKUP(AC58,$V$57:$X$80,3)</f>
        <v>1</v>
      </c>
      <c r="AH58" s="728">
        <f t="shared" ref="AH58:AH68" si="17">VLOOKUP(AD58,$V$57:$X$80,3)</f>
        <v>1</v>
      </c>
    </row>
    <row r="59" spans="2:34" x14ac:dyDescent="0.3">
      <c r="V59" s="118">
        <v>2</v>
      </c>
      <c r="W59" s="118">
        <f t="shared" si="12"/>
        <v>2</v>
      </c>
      <c r="X59" s="121">
        <f t="shared" si="13"/>
        <v>0.91304347826086951</v>
      </c>
      <c r="Z59" s="714" t="s">
        <v>147</v>
      </c>
      <c r="AA59" s="719">
        <f>IFERROR(VLOOKUP(CONCATENATE($Z59,"-",$AA$56),'IDENTIFICACIÓN TRABAJADOR'!$B$52:$D$63,2,FALSE),0)+IFERROR(VLOOKUP(CONCATENATE($Z59,"-",$AA$56),'IDENTIFICACIÓN TRABAJADOR'!$B$52:$D$63,3,FALSE),0)</f>
        <v>0</v>
      </c>
      <c r="AB59" s="118">
        <f>IFERROR(VLOOKUP(CONCATENATE($Z59,"-",$AB$56),'IDENTIFICACIÓN TRABAJADOR'!$H$52:$J$63,2,FALSE),0)+IFERROR(VLOOKUP(CONCATENATE($Z59,"-",$AB$56),'IDENTIFICACIÓN TRABAJADOR'!$H$52:$J$63,3,FALSE),0)</f>
        <v>0</v>
      </c>
      <c r="AC59" s="118">
        <f>IFERROR(VLOOKUP(CONCATENATE($Z59,"-",$AC$56),'IDENTIFICACIÓN TRABAJADOR'!$N$52:$P$63,2,FALSE),0)+IFERROR(VLOOKUP(CONCATENATE($Z59,"-",$AC$56),'IDENTIFICACIÓN TRABAJADOR'!$N$52:$P$63,3,FALSE),0)</f>
        <v>0</v>
      </c>
      <c r="AD59" s="720">
        <f>IFERROR(VLOOKUP(CONCATENATE($Z59,"-",$AD$56),'IDENTIFICACIÓN TRABAJADOR'!$T$52:$V$63,2,FALSE),0)+IFERROR(VLOOKUP(CONCATENATE($Z59,"-",$AD$56),'IDENTIFICACIÓN TRABAJADOR'!$T$52:$V$63,3,FALSE),0)</f>
        <v>0</v>
      </c>
      <c r="AE59" s="727">
        <f t="shared" si="14"/>
        <v>1</v>
      </c>
      <c r="AF59" s="115">
        <f t="shared" si="15"/>
        <v>1</v>
      </c>
      <c r="AG59" s="115">
        <f t="shared" si="16"/>
        <v>1</v>
      </c>
      <c r="AH59" s="728">
        <f t="shared" si="17"/>
        <v>1</v>
      </c>
    </row>
    <row r="60" spans="2:34" x14ac:dyDescent="0.3">
      <c r="V60" s="118">
        <v>3</v>
      </c>
      <c r="W60" s="118">
        <f t="shared" si="12"/>
        <v>3</v>
      </c>
      <c r="X60" s="121">
        <f t="shared" si="13"/>
        <v>0.86956521739130432</v>
      </c>
      <c r="Z60" s="714" t="s">
        <v>148</v>
      </c>
      <c r="AA60" s="719">
        <f>IFERROR(VLOOKUP(CONCATENATE($Z60,"-",$AA$56),'IDENTIFICACIÓN TRABAJADOR'!$B$52:$D$63,2,FALSE),0)+IFERROR(VLOOKUP(CONCATENATE($Z60,"-",$AA$56),'IDENTIFICACIÓN TRABAJADOR'!$B$52:$D$63,3,FALSE),0)</f>
        <v>0</v>
      </c>
      <c r="AB60" s="118">
        <f>IFERROR(VLOOKUP(CONCATENATE($Z60,"-",$AB$56),'IDENTIFICACIÓN TRABAJADOR'!$H$52:$J$63,2,FALSE),0)+IFERROR(VLOOKUP(CONCATENATE($Z60,"-",$AB$56),'IDENTIFICACIÓN TRABAJADOR'!$H$52:$J$63,3,FALSE),0)</f>
        <v>0</v>
      </c>
      <c r="AC60" s="118">
        <f>IFERROR(VLOOKUP(CONCATENATE($Z60,"-",$AC$56),'IDENTIFICACIÓN TRABAJADOR'!$N$52:$P$63,2,FALSE),0)+IFERROR(VLOOKUP(CONCATENATE($Z60,"-",$AC$56),'IDENTIFICACIÓN TRABAJADOR'!$N$52:$P$63,3,FALSE),0)</f>
        <v>0</v>
      </c>
      <c r="AD60" s="720">
        <f>IFERROR(VLOOKUP(CONCATENATE($Z60,"-",$AD$56),'IDENTIFICACIÓN TRABAJADOR'!$T$52:$V$63,2,FALSE),0)+IFERROR(VLOOKUP(CONCATENATE($Z60,"-",$AD$56),'IDENTIFICACIÓN TRABAJADOR'!$T$52:$V$63,3,FALSE),0)</f>
        <v>0</v>
      </c>
      <c r="AE60" s="727">
        <f t="shared" si="14"/>
        <v>1</v>
      </c>
      <c r="AF60" s="115">
        <f t="shared" si="15"/>
        <v>1</v>
      </c>
      <c r="AG60" s="115">
        <f t="shared" si="16"/>
        <v>1</v>
      </c>
      <c r="AH60" s="728">
        <f t="shared" si="17"/>
        <v>1</v>
      </c>
    </row>
    <row r="61" spans="2:34" x14ac:dyDescent="0.3">
      <c r="V61" s="118">
        <v>4</v>
      </c>
      <c r="W61" s="118">
        <f t="shared" si="12"/>
        <v>4</v>
      </c>
      <c r="X61" s="121">
        <f t="shared" si="13"/>
        <v>0.82608695652173914</v>
      </c>
      <c r="Z61" s="714" t="s">
        <v>149</v>
      </c>
      <c r="AA61" s="719">
        <f>IFERROR(VLOOKUP(CONCATENATE($Z61,"-",$AA$56),'IDENTIFICACIÓN TRABAJADOR'!$B$52:$D$63,2,FALSE),0)+IFERROR(VLOOKUP(CONCATENATE($Z61,"-",$AA$56),'IDENTIFICACIÓN TRABAJADOR'!$B$52:$D$63,3,FALSE),0)</f>
        <v>0</v>
      </c>
      <c r="AB61" s="118">
        <f>IFERROR(VLOOKUP(CONCATENATE($Z61,"-",$AB$56),'IDENTIFICACIÓN TRABAJADOR'!$H$52:$J$63,2,FALSE),0)+IFERROR(VLOOKUP(CONCATENATE($Z61,"-",$AB$56),'IDENTIFICACIÓN TRABAJADOR'!$H$52:$J$63,3,FALSE),0)</f>
        <v>0</v>
      </c>
      <c r="AC61" s="118">
        <f>IFERROR(VLOOKUP(CONCATENATE($Z61,"-",$AC$56),'IDENTIFICACIÓN TRABAJADOR'!$N$52:$P$63,2,FALSE),0)+IFERROR(VLOOKUP(CONCATENATE($Z61,"-",$AC$56),'IDENTIFICACIÓN TRABAJADOR'!$N$52:$P$63,3,FALSE),0)</f>
        <v>0</v>
      </c>
      <c r="AD61" s="720">
        <f>IFERROR(VLOOKUP(CONCATENATE($Z61,"-",$AD$56),'IDENTIFICACIÓN TRABAJADOR'!$T$52:$V$63,2,FALSE),0)+IFERROR(VLOOKUP(CONCATENATE($Z61,"-",$AD$56),'IDENTIFICACIÓN TRABAJADOR'!$T$52:$V$63,3,FALSE),0)</f>
        <v>0</v>
      </c>
      <c r="AE61" s="727">
        <f t="shared" si="14"/>
        <v>1</v>
      </c>
      <c r="AF61" s="115">
        <f t="shared" si="15"/>
        <v>1</v>
      </c>
      <c r="AG61" s="115">
        <f t="shared" si="16"/>
        <v>1</v>
      </c>
      <c r="AH61" s="728">
        <f t="shared" si="17"/>
        <v>1</v>
      </c>
    </row>
    <row r="62" spans="2:34" x14ac:dyDescent="0.3">
      <c r="V62" s="118">
        <v>5</v>
      </c>
      <c r="W62" s="118">
        <f t="shared" si="12"/>
        <v>5</v>
      </c>
      <c r="X62" s="121">
        <f t="shared" si="13"/>
        <v>0.78260869565217395</v>
      </c>
      <c r="Z62" s="714" t="s">
        <v>150</v>
      </c>
      <c r="AA62" s="719">
        <f>IFERROR(VLOOKUP(CONCATENATE($Z62,"-",$AA$56),'IDENTIFICACIÓN TRABAJADOR'!$B$52:$D$63,2,FALSE),0)+IFERROR(VLOOKUP(CONCATENATE($Z62,"-",$AA$56),'IDENTIFICACIÓN TRABAJADOR'!$B$52:$D$63,3,FALSE),0)</f>
        <v>0</v>
      </c>
      <c r="AB62" s="118">
        <f>IFERROR(VLOOKUP(CONCATENATE($Z62,"-",$AB$56),'IDENTIFICACIÓN TRABAJADOR'!$H$52:$J$63,2,FALSE),0)+IFERROR(VLOOKUP(CONCATENATE($Z62,"-",$AB$56),'IDENTIFICACIÓN TRABAJADOR'!$H$52:$J$63,3,FALSE),0)</f>
        <v>0</v>
      </c>
      <c r="AC62" s="118">
        <f>IFERROR(VLOOKUP(CONCATENATE($Z62,"-",$AC$56),'IDENTIFICACIÓN TRABAJADOR'!$N$52:$P$63,2,FALSE),0)+IFERROR(VLOOKUP(CONCATENATE($Z62,"-",$AC$56),'IDENTIFICACIÓN TRABAJADOR'!$N$52:$P$63,3,FALSE),0)</f>
        <v>0</v>
      </c>
      <c r="AD62" s="720">
        <f>IFERROR(VLOOKUP(CONCATENATE($Z62,"-",$AD$56),'IDENTIFICACIÓN TRABAJADOR'!$T$52:$V$63,2,FALSE),0)+IFERROR(VLOOKUP(CONCATENATE($Z62,"-",$AD$56),'IDENTIFICACIÓN TRABAJADOR'!$T$52:$V$63,3,FALSE),0)</f>
        <v>0</v>
      </c>
      <c r="AE62" s="727">
        <f t="shared" si="14"/>
        <v>1</v>
      </c>
      <c r="AF62" s="115">
        <f t="shared" si="15"/>
        <v>1</v>
      </c>
      <c r="AG62" s="115">
        <f t="shared" si="16"/>
        <v>1</v>
      </c>
      <c r="AH62" s="728">
        <f t="shared" si="17"/>
        <v>1</v>
      </c>
    </row>
    <row r="63" spans="2:34" x14ac:dyDescent="0.3">
      <c r="V63" s="118">
        <v>6</v>
      </c>
      <c r="W63" s="118">
        <f t="shared" si="12"/>
        <v>6</v>
      </c>
      <c r="X63" s="121">
        <f t="shared" si="13"/>
        <v>0.73913043478260865</v>
      </c>
      <c r="Z63" s="714" t="s">
        <v>151</v>
      </c>
      <c r="AA63" s="719">
        <f>IFERROR(VLOOKUP(CONCATENATE($Z63,"-",$AA$56),'IDENTIFICACIÓN TRABAJADOR'!$B$52:$D$63,2,FALSE),0)+IFERROR(VLOOKUP(CONCATENATE($Z63,"-",$AA$56),'IDENTIFICACIÓN TRABAJADOR'!$B$52:$D$63,3,FALSE),0)</f>
        <v>0</v>
      </c>
      <c r="AB63" s="118">
        <f>IFERROR(VLOOKUP(CONCATENATE($Z63,"-",$AB$56),'IDENTIFICACIÓN TRABAJADOR'!$H$52:$J$63,2,FALSE),0)+IFERROR(VLOOKUP(CONCATENATE($Z63,"-",$AB$56),'IDENTIFICACIÓN TRABAJADOR'!$H$52:$J$63,3,FALSE),0)</f>
        <v>0</v>
      </c>
      <c r="AC63" s="118">
        <f>IFERROR(VLOOKUP(CONCATENATE($Z63,"-",$AC$56),'IDENTIFICACIÓN TRABAJADOR'!$N$52:$P$63,2,FALSE),0)+IFERROR(VLOOKUP(CONCATENATE($Z63,"-",$AC$56),'IDENTIFICACIÓN TRABAJADOR'!$N$52:$P$63,3,FALSE),0)</f>
        <v>0</v>
      </c>
      <c r="AD63" s="720">
        <f>IFERROR(VLOOKUP(CONCATENATE($Z63,"-",$AD$56),'IDENTIFICACIÓN TRABAJADOR'!$T$52:$V$63,2,FALSE),0)+IFERROR(VLOOKUP(CONCATENATE($Z63,"-",$AD$56),'IDENTIFICACIÓN TRABAJADOR'!$T$52:$V$63,3,FALSE),0)</f>
        <v>0</v>
      </c>
      <c r="AE63" s="727">
        <f t="shared" si="14"/>
        <v>1</v>
      </c>
      <c r="AF63" s="115">
        <f t="shared" si="15"/>
        <v>1</v>
      </c>
      <c r="AG63" s="115">
        <f t="shared" si="16"/>
        <v>1</v>
      </c>
      <c r="AH63" s="728">
        <f t="shared" si="17"/>
        <v>1</v>
      </c>
    </row>
    <row r="64" spans="2:34" x14ac:dyDescent="0.3">
      <c r="V64" s="118">
        <v>7</v>
      </c>
      <c r="W64" s="118">
        <f t="shared" si="12"/>
        <v>7</v>
      </c>
      <c r="X64" s="121">
        <f t="shared" si="13"/>
        <v>0.69565217391304346</v>
      </c>
      <c r="Z64" s="714" t="s">
        <v>152</v>
      </c>
      <c r="AA64" s="719">
        <f>IFERROR(VLOOKUP(CONCATENATE($Z64,"-",$AA$56),'IDENTIFICACIÓN TRABAJADOR'!$B$52:$D$63,2,FALSE),0)+IFERROR(VLOOKUP(CONCATENATE($Z64,"-",$AA$56),'IDENTIFICACIÓN TRABAJADOR'!$B$52:$D$63,3,FALSE),0)</f>
        <v>0</v>
      </c>
      <c r="AB64" s="118">
        <f>IFERROR(VLOOKUP(CONCATENATE($Z64,"-",$AB$56),'IDENTIFICACIÓN TRABAJADOR'!$H$52:$J$63,2,FALSE),0)+IFERROR(VLOOKUP(CONCATENATE($Z64,"-",$AB$56),'IDENTIFICACIÓN TRABAJADOR'!$H$52:$J$63,3,FALSE),0)</f>
        <v>0</v>
      </c>
      <c r="AC64" s="118">
        <f>IFERROR(VLOOKUP(CONCATENATE($Z64,"-",$AC$56),'IDENTIFICACIÓN TRABAJADOR'!$N$52:$P$63,2,FALSE),0)+IFERROR(VLOOKUP(CONCATENATE($Z64,"-",$AC$56),'IDENTIFICACIÓN TRABAJADOR'!$N$52:$P$63,3,FALSE),0)</f>
        <v>0</v>
      </c>
      <c r="AD64" s="720">
        <f>IFERROR(VLOOKUP(CONCATENATE($Z64,"-",$AD$56),'IDENTIFICACIÓN TRABAJADOR'!$T$52:$V$63,2,FALSE),0)+IFERROR(VLOOKUP(CONCATENATE($Z64,"-",$AD$56),'IDENTIFICACIÓN TRABAJADOR'!$T$52:$V$63,3,FALSE),0)</f>
        <v>0</v>
      </c>
      <c r="AE64" s="727">
        <f t="shared" si="14"/>
        <v>1</v>
      </c>
      <c r="AF64" s="115">
        <f t="shared" si="15"/>
        <v>1</v>
      </c>
      <c r="AG64" s="115">
        <f t="shared" si="16"/>
        <v>1</v>
      </c>
      <c r="AH64" s="728">
        <f t="shared" si="17"/>
        <v>1</v>
      </c>
    </row>
    <row r="65" spans="22:34" x14ac:dyDescent="0.3">
      <c r="V65" s="118">
        <v>8</v>
      </c>
      <c r="W65" s="118">
        <f t="shared" si="12"/>
        <v>8</v>
      </c>
      <c r="X65" s="121">
        <f t="shared" si="13"/>
        <v>0.65217391304347827</v>
      </c>
      <c r="Z65" s="714" t="s">
        <v>153</v>
      </c>
      <c r="AA65" s="719">
        <f>IFERROR(VLOOKUP(CONCATENATE($Z65,"-",$AA$56),'IDENTIFICACIÓN TRABAJADOR'!$B$52:$D$63,2,FALSE),0)+IFERROR(VLOOKUP(CONCATENATE($Z65,"-",$AA$56),'IDENTIFICACIÓN TRABAJADOR'!$B$52:$D$63,3,FALSE),0)</f>
        <v>0</v>
      </c>
      <c r="AB65" s="118">
        <f>IFERROR(VLOOKUP(CONCATENATE($Z65,"-",$AB$56),'IDENTIFICACIÓN TRABAJADOR'!$H$52:$J$63,2,FALSE),0)+IFERROR(VLOOKUP(CONCATENATE($Z65,"-",$AB$56),'IDENTIFICACIÓN TRABAJADOR'!$H$52:$J$63,3,FALSE),0)</f>
        <v>0</v>
      </c>
      <c r="AC65" s="118">
        <f>IFERROR(VLOOKUP(CONCATENATE($Z65,"-",$AC$56),'IDENTIFICACIÓN TRABAJADOR'!$N$52:$P$63,2,FALSE),0)+IFERROR(VLOOKUP(CONCATENATE($Z65,"-",$AC$56),'IDENTIFICACIÓN TRABAJADOR'!$N$52:$P$63,3,FALSE),0)</f>
        <v>0</v>
      </c>
      <c r="AD65" s="720">
        <f>IFERROR(VLOOKUP(CONCATENATE($Z65,"-",$AD$56),'IDENTIFICACIÓN TRABAJADOR'!$T$52:$V$63,2,FALSE),0)+IFERROR(VLOOKUP(CONCATENATE($Z65,"-",$AD$56),'IDENTIFICACIÓN TRABAJADOR'!$T$52:$V$63,3,FALSE),0)</f>
        <v>0</v>
      </c>
      <c r="AE65" s="727">
        <f t="shared" si="14"/>
        <v>1</v>
      </c>
      <c r="AF65" s="115">
        <f t="shared" si="15"/>
        <v>1</v>
      </c>
      <c r="AG65" s="115">
        <f t="shared" si="16"/>
        <v>1</v>
      </c>
      <c r="AH65" s="728">
        <f t="shared" si="17"/>
        <v>1</v>
      </c>
    </row>
    <row r="66" spans="22:34" x14ac:dyDescent="0.3">
      <c r="V66" s="118">
        <v>9</v>
      </c>
      <c r="W66" s="118">
        <f t="shared" si="12"/>
        <v>9</v>
      </c>
      <c r="X66" s="121">
        <f t="shared" si="13"/>
        <v>0.60869565217391308</v>
      </c>
      <c r="Z66" s="714" t="s">
        <v>154</v>
      </c>
      <c r="AA66" s="719">
        <f>IFERROR(VLOOKUP(CONCATENATE($Z66,"-",$AA$56),'IDENTIFICACIÓN TRABAJADOR'!$B$52:$D$63,2,FALSE),0)+IFERROR(VLOOKUP(CONCATENATE($Z66,"-",$AA$56),'IDENTIFICACIÓN TRABAJADOR'!$B$52:$D$63,3,FALSE),0)</f>
        <v>0</v>
      </c>
      <c r="AB66" s="118">
        <f>IFERROR(VLOOKUP(CONCATENATE($Z66,"-",$AB$56),'IDENTIFICACIÓN TRABAJADOR'!$H$52:$J$63,2,FALSE),0)+IFERROR(VLOOKUP(CONCATENATE($Z66,"-",$AB$56),'IDENTIFICACIÓN TRABAJADOR'!$H$52:$J$63,3,FALSE),0)</f>
        <v>0</v>
      </c>
      <c r="AC66" s="118">
        <f>IFERROR(VLOOKUP(CONCATENATE($Z66,"-",$AC$56),'IDENTIFICACIÓN TRABAJADOR'!$N$52:$P$63,2,FALSE),0)+IFERROR(VLOOKUP(CONCATENATE($Z66,"-",$AC$56),'IDENTIFICACIÓN TRABAJADOR'!$N$52:$P$63,3,FALSE),0)</f>
        <v>0</v>
      </c>
      <c r="AD66" s="720">
        <f>IFERROR(VLOOKUP(CONCATENATE($Z66,"-",$AD$56),'IDENTIFICACIÓN TRABAJADOR'!$T$52:$V$63,2,FALSE),0)+IFERROR(VLOOKUP(CONCATENATE($Z66,"-",$AD$56),'IDENTIFICACIÓN TRABAJADOR'!$T$52:$V$63,3,FALSE),0)</f>
        <v>0</v>
      </c>
      <c r="AE66" s="727">
        <f t="shared" si="14"/>
        <v>1</v>
      </c>
      <c r="AF66" s="115">
        <f t="shared" si="15"/>
        <v>1</v>
      </c>
      <c r="AG66" s="115">
        <f t="shared" si="16"/>
        <v>1</v>
      </c>
      <c r="AH66" s="728">
        <f t="shared" si="17"/>
        <v>1</v>
      </c>
    </row>
    <row r="67" spans="22:34" x14ac:dyDescent="0.3">
      <c r="V67" s="118">
        <v>10</v>
      </c>
      <c r="W67" s="118">
        <f t="shared" si="12"/>
        <v>10</v>
      </c>
      <c r="X67" s="121">
        <f t="shared" si="13"/>
        <v>0.56521739130434778</v>
      </c>
      <c r="Z67" s="714" t="s">
        <v>155</v>
      </c>
      <c r="AA67" s="719">
        <f>IFERROR(VLOOKUP(CONCATENATE($Z67,"-",$AA$56),'IDENTIFICACIÓN TRABAJADOR'!$B$52:$D$63,2,FALSE),0)+IFERROR(VLOOKUP(CONCATENATE($Z67,"-",$AA$56),'IDENTIFICACIÓN TRABAJADOR'!$B$52:$D$63,3,FALSE),0)</f>
        <v>0</v>
      </c>
      <c r="AB67" s="118">
        <f>IFERROR(VLOOKUP(CONCATENATE($Z67,"-",$AB$56),'IDENTIFICACIÓN TRABAJADOR'!$H$52:$J$63,2,FALSE),0)+IFERROR(VLOOKUP(CONCATENATE($Z67,"-",$AB$56),'IDENTIFICACIÓN TRABAJADOR'!$H$52:$J$63,3,FALSE),0)</f>
        <v>0</v>
      </c>
      <c r="AC67" s="118">
        <f>IFERROR(VLOOKUP(CONCATENATE($Z67,"-",$AC$56),'IDENTIFICACIÓN TRABAJADOR'!$N$52:$P$63,2,FALSE),0)+IFERROR(VLOOKUP(CONCATENATE($Z67,"-",$AC$56),'IDENTIFICACIÓN TRABAJADOR'!$N$52:$P$63,3,FALSE),0)</f>
        <v>0</v>
      </c>
      <c r="AD67" s="720">
        <f>IFERROR(VLOOKUP(CONCATENATE($Z67,"-",$AD$56),'IDENTIFICACIÓN TRABAJADOR'!$T$52:$V$63,2,FALSE),0)+IFERROR(VLOOKUP(CONCATENATE($Z67,"-",$AD$56),'IDENTIFICACIÓN TRABAJADOR'!$T$52:$V$63,3,FALSE),0)</f>
        <v>0</v>
      </c>
      <c r="AE67" s="727">
        <f t="shared" si="14"/>
        <v>1</v>
      </c>
      <c r="AF67" s="115">
        <f t="shared" si="15"/>
        <v>1</v>
      </c>
      <c r="AG67" s="115">
        <f t="shared" si="16"/>
        <v>1</v>
      </c>
      <c r="AH67" s="728">
        <f t="shared" si="17"/>
        <v>1</v>
      </c>
    </row>
    <row r="68" spans="22:34" ht="15.75" thickBot="1" x14ac:dyDescent="0.35">
      <c r="V68" s="118">
        <v>11</v>
      </c>
      <c r="W68" s="118">
        <f t="shared" si="12"/>
        <v>11</v>
      </c>
      <c r="X68" s="121">
        <f t="shared" si="13"/>
        <v>0.52173913043478259</v>
      </c>
      <c r="Z68" s="715" t="s">
        <v>156</v>
      </c>
      <c r="AA68" s="721">
        <f>IFERROR(VLOOKUP(CONCATENATE($Z68,"-",$AA$56),'IDENTIFICACIÓN TRABAJADOR'!$B$52:$D$63,2,FALSE),0)+IFERROR(VLOOKUP(CONCATENATE($Z68,"-",$AA$56),'IDENTIFICACIÓN TRABAJADOR'!$B$52:$D$63,3,FALSE),0)</f>
        <v>0</v>
      </c>
      <c r="AB68" s="722">
        <f>IFERROR(VLOOKUP(CONCATENATE($Z68,"-",$AB$56),'IDENTIFICACIÓN TRABAJADOR'!$H$52:$J$63,2,FALSE),0)+IFERROR(VLOOKUP(CONCATENATE($Z68,"-",$AB$56),'IDENTIFICACIÓN TRABAJADOR'!$H$52:$J$63,3,FALSE),0)</f>
        <v>0</v>
      </c>
      <c r="AC68" s="722">
        <f>IFERROR(VLOOKUP(CONCATENATE($Z68,"-",$AC$56),'IDENTIFICACIÓN TRABAJADOR'!$N$52:$P$63,2,FALSE),0)+IFERROR(VLOOKUP(CONCATENATE($Z68,"-",$AC$56),'IDENTIFICACIÓN TRABAJADOR'!$N$52:$P$63,3,FALSE),0)</f>
        <v>0</v>
      </c>
      <c r="AD68" s="723">
        <f>IFERROR(VLOOKUP(CONCATENATE($Z68,"-",$AD$56),'IDENTIFICACIÓN TRABAJADOR'!$T$52:$V$63,2,FALSE),0)+IFERROR(VLOOKUP(CONCATENATE($Z68,"-",$AD$56),'IDENTIFICACIÓN TRABAJADOR'!$T$52:$V$63,3,FALSE),0)</f>
        <v>0</v>
      </c>
      <c r="AE68" s="729">
        <f t="shared" si="14"/>
        <v>1</v>
      </c>
      <c r="AF68" s="730">
        <f t="shared" si="15"/>
        <v>1</v>
      </c>
      <c r="AG68" s="730">
        <f t="shared" si="16"/>
        <v>1</v>
      </c>
      <c r="AH68" s="731">
        <f t="shared" si="17"/>
        <v>1</v>
      </c>
    </row>
    <row r="69" spans="22:34" x14ac:dyDescent="0.3">
      <c r="V69" s="122">
        <v>12</v>
      </c>
      <c r="W69" s="122">
        <f t="shared" si="12"/>
        <v>12</v>
      </c>
      <c r="X69" s="123">
        <f t="shared" si="13"/>
        <v>0.47826086956521741</v>
      </c>
      <c r="Y69" s="116"/>
      <c r="Z69" s="117"/>
      <c r="AA69" s="117"/>
      <c r="AB69" s="117"/>
      <c r="AC69" s="117"/>
      <c r="AD69" s="116"/>
      <c r="AE69" s="116"/>
      <c r="AF69" s="116"/>
      <c r="AG69" s="116"/>
    </row>
    <row r="70" spans="22:34" x14ac:dyDescent="0.3">
      <c r="V70" s="118">
        <v>13</v>
      </c>
      <c r="W70" s="118">
        <f t="shared" si="12"/>
        <v>13</v>
      </c>
      <c r="X70" s="121">
        <f t="shared" si="13"/>
        <v>0.43478260869565216</v>
      </c>
      <c r="Y70" s="116"/>
      <c r="Z70" s="117"/>
      <c r="AA70" s="117"/>
      <c r="AB70" s="117"/>
      <c r="AC70" s="117"/>
      <c r="AD70" s="116"/>
      <c r="AE70" s="116"/>
      <c r="AF70" s="116"/>
      <c r="AG70" s="116"/>
    </row>
    <row r="71" spans="22:34" x14ac:dyDescent="0.3">
      <c r="V71" s="118">
        <v>14</v>
      </c>
      <c r="W71" s="118">
        <f t="shared" si="12"/>
        <v>14</v>
      </c>
      <c r="X71" s="121">
        <f t="shared" si="13"/>
        <v>0.39130434782608697</v>
      </c>
      <c r="Y71" s="116"/>
      <c r="Z71" s="117"/>
      <c r="AA71" s="117"/>
      <c r="AB71" s="117"/>
      <c r="AC71" s="117"/>
      <c r="AD71" s="116"/>
      <c r="AE71" s="116"/>
      <c r="AF71" s="116"/>
      <c r="AG71" s="116"/>
    </row>
    <row r="72" spans="22:34" x14ac:dyDescent="0.3">
      <c r="V72" s="118">
        <v>15</v>
      </c>
      <c r="W72" s="118">
        <f t="shared" si="12"/>
        <v>15</v>
      </c>
      <c r="X72" s="121">
        <f t="shared" si="13"/>
        <v>0.34782608695652173</v>
      </c>
      <c r="Y72" s="116"/>
      <c r="Z72" s="117"/>
      <c r="AA72" s="117"/>
      <c r="AB72" s="117"/>
      <c r="AC72" s="117"/>
      <c r="AD72" s="116"/>
      <c r="AE72" s="116"/>
      <c r="AF72" s="116"/>
      <c r="AG72" s="116"/>
    </row>
    <row r="73" spans="22:34" x14ac:dyDescent="0.3">
      <c r="V73" s="118">
        <v>16</v>
      </c>
      <c r="W73" s="118">
        <f t="shared" si="12"/>
        <v>16</v>
      </c>
      <c r="X73" s="121">
        <f t="shared" si="13"/>
        <v>0.30434782608695654</v>
      </c>
      <c r="Y73" s="116"/>
      <c r="Z73" s="117"/>
      <c r="AA73" s="117"/>
      <c r="AB73" s="117"/>
      <c r="AC73" s="117"/>
      <c r="AD73" s="116"/>
      <c r="AE73" s="116"/>
      <c r="AF73" s="116"/>
      <c r="AG73" s="116"/>
    </row>
    <row r="74" spans="22:34" x14ac:dyDescent="0.3">
      <c r="V74" s="118">
        <v>17</v>
      </c>
      <c r="W74" s="118">
        <f t="shared" si="12"/>
        <v>17</v>
      </c>
      <c r="X74" s="121">
        <f t="shared" si="13"/>
        <v>0.2608695652173913</v>
      </c>
      <c r="Y74" s="116"/>
      <c r="Z74" s="117"/>
      <c r="AA74" s="117"/>
      <c r="AB74" s="117"/>
      <c r="AC74" s="117"/>
      <c r="AD74" s="116"/>
      <c r="AE74" s="116"/>
      <c r="AF74" s="116"/>
      <c r="AG74" s="116"/>
    </row>
    <row r="75" spans="22:34" x14ac:dyDescent="0.3">
      <c r="V75" s="118">
        <v>18</v>
      </c>
      <c r="W75" s="118">
        <f t="shared" si="12"/>
        <v>18</v>
      </c>
      <c r="X75" s="121">
        <f t="shared" si="13"/>
        <v>0.21739130434782608</v>
      </c>
      <c r="Y75" s="116"/>
      <c r="Z75" s="117"/>
      <c r="AA75" s="117"/>
      <c r="AB75" s="117"/>
      <c r="AC75" s="117"/>
      <c r="AD75" s="116"/>
      <c r="AE75" s="116"/>
      <c r="AF75" s="116"/>
      <c r="AG75" s="116"/>
    </row>
    <row r="76" spans="22:34" x14ac:dyDescent="0.3">
      <c r="V76" s="118">
        <v>19</v>
      </c>
      <c r="W76" s="118">
        <f t="shared" si="12"/>
        <v>19</v>
      </c>
      <c r="X76" s="121">
        <f t="shared" si="13"/>
        <v>0.17391304347826086</v>
      </c>
      <c r="Y76" s="116"/>
      <c r="Z76" s="117"/>
      <c r="AA76" s="117"/>
      <c r="AB76" s="117"/>
      <c r="AC76" s="117"/>
      <c r="AD76" s="116"/>
      <c r="AE76" s="116"/>
      <c r="AF76" s="116"/>
      <c r="AG76" s="116"/>
    </row>
    <row r="77" spans="22:34" x14ac:dyDescent="0.3">
      <c r="V77" s="118">
        <v>20</v>
      </c>
      <c r="W77" s="118">
        <f t="shared" si="12"/>
        <v>20</v>
      </c>
      <c r="X77" s="121">
        <f t="shared" si="13"/>
        <v>0.13043478260869565</v>
      </c>
      <c r="Y77" s="116"/>
      <c r="Z77" s="117"/>
      <c r="AA77" s="117"/>
      <c r="AB77" s="117"/>
      <c r="AC77" s="117"/>
      <c r="AD77" s="116"/>
      <c r="AE77" s="116"/>
      <c r="AF77" s="116"/>
      <c r="AG77" s="116"/>
    </row>
    <row r="78" spans="22:34" x14ac:dyDescent="0.3">
      <c r="V78" s="118">
        <v>21</v>
      </c>
      <c r="W78" s="118">
        <f t="shared" si="12"/>
        <v>21</v>
      </c>
      <c r="X78" s="121">
        <f t="shared" si="13"/>
        <v>8.6956521739130432E-2</v>
      </c>
      <c r="Y78" s="116"/>
      <c r="Z78" s="117"/>
      <c r="AA78" s="117"/>
      <c r="AB78" s="117"/>
      <c r="AC78" s="117"/>
      <c r="AD78" s="116"/>
      <c r="AE78" s="116"/>
      <c r="AF78" s="116"/>
      <c r="AG78" s="116"/>
    </row>
    <row r="79" spans="22:34" x14ac:dyDescent="0.3">
      <c r="V79" s="118">
        <v>22</v>
      </c>
      <c r="W79" s="118">
        <f t="shared" si="12"/>
        <v>22</v>
      </c>
      <c r="X79" s="121">
        <f t="shared" si="13"/>
        <v>4.3478260869565216E-2</v>
      </c>
      <c r="Y79" s="116"/>
      <c r="Z79" s="117"/>
      <c r="AA79" s="117"/>
      <c r="AB79" s="117"/>
      <c r="AC79" s="117"/>
      <c r="AD79" s="116"/>
      <c r="AE79" s="116"/>
      <c r="AF79" s="116"/>
      <c r="AG79" s="116"/>
    </row>
    <row r="80" spans="22:34" x14ac:dyDescent="0.3">
      <c r="V80" s="118">
        <v>23</v>
      </c>
      <c r="W80" s="118">
        <f t="shared" si="12"/>
        <v>23</v>
      </c>
      <c r="X80" s="121">
        <f t="shared" si="13"/>
        <v>0</v>
      </c>
      <c r="Y80" s="116"/>
      <c r="Z80" s="117"/>
      <c r="AA80" s="117"/>
      <c r="AB80" s="117"/>
      <c r="AC80" s="117"/>
      <c r="AD80" s="116"/>
      <c r="AE80" s="116"/>
      <c r="AF80" s="116"/>
      <c r="AG80" s="116"/>
    </row>
  </sheetData>
  <sheetProtection algorithmName="SHA-512" hashValue="QT4RFWzpf6AKgJp9SFu8aq6NbvgdHkTz2LbNujjhPlGBSw8deP6pQA5KK6nzGFzbaa3j7szhdtJC6UjUhXPaRQ==" saltValue="6gx1kwu1YbHhp4uIqTMQWw==" spinCount="100000" sheet="1" selectLockedCells="1"/>
  <mergeCells count="23">
    <mergeCell ref="Z55:Z56"/>
    <mergeCell ref="G52:J52"/>
    <mergeCell ref="F18:R18"/>
    <mergeCell ref="F19:R19"/>
    <mergeCell ref="G53:J53"/>
    <mergeCell ref="E43:F43"/>
    <mergeCell ref="E45:F45"/>
    <mergeCell ref="E39:F39"/>
    <mergeCell ref="E41:F41"/>
    <mergeCell ref="E48:R48"/>
    <mergeCell ref="E50:G50"/>
    <mergeCell ref="E49:G49"/>
    <mergeCell ref="J50:R50"/>
    <mergeCell ref="H49:I50"/>
    <mergeCell ref="F7:O7"/>
    <mergeCell ref="F2:I4"/>
    <mergeCell ref="E37:F38"/>
    <mergeCell ref="C37:C38"/>
    <mergeCell ref="D37:D38"/>
    <mergeCell ref="H9:R9"/>
    <mergeCell ref="F11:R11"/>
    <mergeCell ref="E16:R16"/>
    <mergeCell ref="G38:R38"/>
  </mergeCells>
  <phoneticPr fontId="3" type="noConversion"/>
  <conditionalFormatting sqref="A5:XFD53">
    <cfRule type="expression" dxfId="519" priority="1" stopIfTrue="1">
      <formula>$A$1&gt;0</formula>
    </cfRule>
  </conditionalFormatting>
  <conditionalFormatting sqref="E41 E43 E45 E39">
    <cfRule type="expression" dxfId="517" priority="38">
      <formula>$E37&lt;&gt;""</formula>
    </cfRule>
  </conditionalFormatting>
  <conditionalFormatting sqref="E11:R11">
    <cfRule type="expression" dxfId="516" priority="6">
      <formula>AND($B$9&lt;&gt;"",$B$9&gt;=2,$B$9&lt;&gt;4)</formula>
    </cfRule>
  </conditionalFormatting>
  <conditionalFormatting sqref="E41:R41 E43:R43 E45:R45">
    <cfRule type="expression" dxfId="515" priority="99">
      <formula>$E41&lt;&gt;""</formula>
    </cfRule>
  </conditionalFormatting>
  <conditionalFormatting sqref="E41:R41">
    <cfRule type="expression" dxfId="514" priority="7" stopIfTrue="1">
      <formula>$E41=""</formula>
    </cfRule>
  </conditionalFormatting>
  <conditionalFormatting sqref="E41:T41 E43:T43 E45:T45">
    <cfRule type="expression" dxfId="513" priority="8" stopIfTrue="1">
      <formula>$E41=""</formula>
    </cfRule>
  </conditionalFormatting>
  <conditionalFormatting sqref="F2">
    <cfRule type="expression" dxfId="512" priority="2" stopIfTrue="1">
      <formula>$A$1&gt;0</formula>
    </cfRule>
  </conditionalFormatting>
  <conditionalFormatting sqref="F9">
    <cfRule type="expression" dxfId="511" priority="5">
      <formula>AND($B$9&lt;&gt;"",$B$9&gt;=2)</formula>
    </cfRule>
  </conditionalFormatting>
  <conditionalFormatting sqref="G39:R39">
    <cfRule type="expression" dxfId="510" priority="12">
      <formula>G$39&gt;G$40</formula>
    </cfRule>
    <cfRule type="expression" dxfId="509" priority="28">
      <formula>AND(G39&lt;&gt;"",G$27&lt;&gt;"",OR(G$28&lt;$F$23,G$28&gt;$F$24,G$28&lt;$F$26))</formula>
    </cfRule>
  </conditionalFormatting>
  <conditionalFormatting sqref="G41:R41 G43:R43 G45:R45 G39:R39">
    <cfRule type="cellIs" dxfId="508" priority="11" operator="greaterThan">
      <formula>1</formula>
    </cfRule>
  </conditionalFormatting>
  <conditionalFormatting sqref="G41:R41">
    <cfRule type="expression" dxfId="507" priority="16">
      <formula>G$41&gt;G$42</formula>
    </cfRule>
    <cfRule type="expression" dxfId="506" priority="32">
      <formula>AND(G41&lt;&gt;"",G$29&lt;&gt;"",OR(G$30&lt;$F$23,G$30&gt;$F$24,G$30&lt;$F$26))</formula>
    </cfRule>
  </conditionalFormatting>
  <conditionalFormatting sqref="G43:R43">
    <cfRule type="expression" dxfId="505" priority="24">
      <formula>G$43&gt;G$44</formula>
    </cfRule>
    <cfRule type="expression" dxfId="504" priority="33">
      <formula>AND(G43&lt;&gt;"",G$31&lt;&gt;"",OR(G$32&lt;$F$23,G$32&gt;$F$24,G$32&lt;$F$26))</formula>
    </cfRule>
  </conditionalFormatting>
  <conditionalFormatting sqref="G45:R45">
    <cfRule type="expression" dxfId="503" priority="26">
      <formula>G$45&gt;G$46</formula>
    </cfRule>
    <cfRule type="expression" dxfId="502" priority="36">
      <formula>AND(G45&lt;&gt;"",G$33&lt;&gt;"",OR(G$34&lt;$F$23,G$34&gt;$F$24,G$34&lt;$F$26))</formula>
    </cfRule>
  </conditionalFormatting>
  <conditionalFormatting sqref="T39:T46 H9:R9">
    <cfRule type="cellIs" dxfId="501" priority="147" operator="notEqual">
      <formula>""</formula>
    </cfRule>
  </conditionalFormatting>
  <printOptions horizontalCentered="1" verticalCentered="1"/>
  <pageMargins left="0.59055118110236227" right="0.59055118110236227" top="0.19685039370078741" bottom="0.39370078740157483" header="0.19685039370078741" footer="0.19685039370078741"/>
  <pageSetup paperSize="9" scale="63" orientation="landscape" r:id="rId1"/>
  <headerFooter>
    <oddFooter>&amp;L&amp;"Nunito Sans,Normal"&amp;8MOD60&amp;C&amp;"nuinito sans,Normal"&amp;8&amp;A&amp;R&amp;"Nunito Sans,Normal"&amp;8&amp;P de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stopIfTrue="1" id="{00000000-000E-0000-0300-000002000000}">
            <xm:f>OR($F$9="",'IDENTIFICACIÓN TRABAJADOR'!$F$19&gt;$F$9,$F$9&gt;EXPEDIENTE!$I$27)</xm:f>
            <x14:dxf>
              <font>
                <color theme="0"/>
              </font>
              <fill>
                <patternFill>
                  <bgColor theme="0"/>
                </patternFill>
              </fill>
              <border>
                <left/>
                <right/>
                <top/>
                <bottom/>
                <vertical/>
                <horizontal/>
              </border>
            </x14:dxf>
          </x14:cfRule>
          <xm:sqref>A13:XFD53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CA74B-1541-49B8-A1FA-C5322BEA96A2}">
  <sheetPr>
    <tabColor rgb="FF0592CB"/>
    <outlinePr summaryRight="0"/>
  </sheetPr>
  <dimension ref="B1:DX65"/>
  <sheetViews>
    <sheetView showGridLines="0" zoomScale="70" zoomScaleNormal="70" zoomScaleSheetLayoutView="25" workbookViewId="0">
      <selection activeCell="F9" sqref="F9"/>
    </sheetView>
  </sheetViews>
  <sheetFormatPr baseColWidth="10" defaultColWidth="11.42578125" defaultRowHeight="15" outlineLevelCol="1" x14ac:dyDescent="0.25"/>
  <cols>
    <col min="1" max="2" width="5.5703125" style="47" customWidth="1"/>
    <col min="3" max="3" width="13.7109375" style="47" customWidth="1"/>
    <col min="4" max="5" width="10.5703125" style="47" customWidth="1"/>
    <col min="6" max="6" width="9.5703125" style="47" customWidth="1"/>
    <col min="7" max="12" width="11.5703125" style="47" customWidth="1"/>
    <col min="13" max="13" width="15.5703125" style="47" customWidth="1"/>
    <col min="14" max="14" width="1.5703125" style="47" customWidth="1"/>
    <col min="15" max="20" width="11.5703125" style="47" customWidth="1"/>
    <col min="21" max="21" width="12.7109375" style="47" customWidth="1"/>
    <col min="22" max="22" width="1.5703125" style="47" customWidth="1"/>
    <col min="23" max="27" width="12.5703125" style="47" customWidth="1"/>
    <col min="28" max="30" width="13.5703125" style="47" customWidth="1"/>
    <col min="31" max="31" width="40.7109375" style="47" customWidth="1"/>
    <col min="32" max="32" width="1.5703125" style="47" customWidth="1"/>
    <col min="33" max="34" width="5.7109375" style="53" hidden="1" customWidth="1"/>
    <col min="35" max="36" width="8.7109375" style="53" hidden="1" customWidth="1"/>
    <col min="37" max="37" width="8.7109375" style="53" hidden="1" customWidth="1" collapsed="1"/>
    <col min="38" max="38" width="5.7109375" style="82" hidden="1" customWidth="1" outlineLevel="1"/>
    <col min="39" max="39" width="5.5703125" style="82" hidden="1" customWidth="1" outlineLevel="1"/>
    <col min="40" max="40" width="13.7109375" style="82" hidden="1" customWidth="1" outlineLevel="1"/>
    <col min="41" max="46" width="9.7109375" style="82" hidden="1" customWidth="1" outlineLevel="1"/>
    <col min="47" max="49" width="9.5703125" style="82" hidden="1" customWidth="1" outlineLevel="1"/>
    <col min="50" max="66" width="9.7109375" style="82" hidden="1" customWidth="1" outlineLevel="1"/>
    <col min="67" max="67" width="1.5703125" style="82" hidden="1" customWidth="1" outlineLevel="1"/>
    <col min="68" max="86" width="9.7109375" style="82" hidden="1" customWidth="1" outlineLevel="1"/>
    <col min="87" max="87" width="1.5703125" style="82" hidden="1" customWidth="1" outlineLevel="1"/>
    <col min="88" max="88" width="11.28515625" style="82" hidden="1" customWidth="1" outlineLevel="1"/>
    <col min="89" max="101" width="9.7109375" style="82" hidden="1" customWidth="1" outlineLevel="1"/>
    <col min="102" max="102" width="5.7109375" style="82" hidden="1" customWidth="1" outlineLevel="1"/>
    <col min="103" max="103" width="90.7109375" style="82" hidden="1" customWidth="1" outlineLevel="1"/>
    <col min="104" max="104" width="5.5703125" style="82" customWidth="1"/>
    <col min="105" max="106" width="5.7109375" style="53" hidden="1" customWidth="1"/>
    <col min="107" max="107" width="5.7109375" style="47" hidden="1" customWidth="1"/>
    <col min="108" max="125" width="5.7109375" style="53" hidden="1" customWidth="1"/>
    <col min="126" max="126" width="5.7109375" style="47" hidden="1" customWidth="1"/>
    <col min="127" max="128" width="11.42578125" style="47" hidden="1" customWidth="1"/>
    <col min="129" max="16384" width="11.42578125" style="47"/>
  </cols>
  <sheetData>
    <row r="1" spans="2:128" ht="15" customHeight="1" x14ac:dyDescent="0.25">
      <c r="AG1" s="638"/>
      <c r="AH1" s="638"/>
      <c r="AI1" s="638"/>
      <c r="AJ1" s="638"/>
      <c r="AK1" s="638"/>
    </row>
    <row r="2" spans="2:128" ht="18" customHeight="1" x14ac:dyDescent="0.25">
      <c r="F2" s="287"/>
      <c r="G2" s="288"/>
      <c r="I2" s="289"/>
      <c r="AU2" s="290"/>
      <c r="AV2" s="290"/>
      <c r="AW2" s="290"/>
      <c r="AX2" s="291"/>
      <c r="AY2" s="291"/>
      <c r="AZ2" s="291"/>
      <c r="BD2" s="292"/>
      <c r="BE2" s="292"/>
      <c r="BF2" s="292"/>
    </row>
    <row r="3" spans="2:128" ht="18" customHeight="1" x14ac:dyDescent="0.25">
      <c r="AR3" s="47"/>
      <c r="AS3" s="291"/>
      <c r="AT3" s="291"/>
    </row>
    <row r="4" spans="2:128" ht="18" customHeight="1" x14ac:dyDescent="0.25">
      <c r="E4" s="105" t="str">
        <f>'IDENTIFICACIÓN TRABAJADOR'!$F$5</f>
        <v/>
      </c>
      <c r="F4" s="52"/>
      <c r="G4" s="125"/>
      <c r="AR4" s="366" t="str">
        <f>'IDENTIFICACIÓN TRABAJADOR'!$F$5</f>
        <v/>
      </c>
      <c r="AS4" s="131"/>
      <c r="AT4" s="131"/>
      <c r="AU4" s="131"/>
      <c r="AV4" s="293"/>
      <c r="AW4" s="293"/>
      <c r="AX4" s="84"/>
      <c r="AY4" s="84"/>
      <c r="AZ4" s="84"/>
    </row>
    <row r="5" spans="2:128" ht="18" customHeight="1" x14ac:dyDescent="0.25">
      <c r="F5" s="52"/>
      <c r="G5" s="52"/>
      <c r="H5" s="52"/>
      <c r="I5" s="52"/>
      <c r="J5" s="52"/>
      <c r="L5" s="52"/>
      <c r="M5" s="52"/>
      <c r="N5" s="52"/>
      <c r="O5" s="52"/>
      <c r="P5" s="52"/>
      <c r="Q5" s="52"/>
      <c r="R5" s="52"/>
      <c r="S5" s="52"/>
      <c r="T5" s="52"/>
      <c r="AR5" s="47"/>
      <c r="AS5" s="294"/>
      <c r="AT5" s="294"/>
      <c r="AU5" s="131"/>
      <c r="AV5" s="131"/>
      <c r="AW5" s="131"/>
      <c r="AX5" s="131"/>
      <c r="AY5" s="131"/>
      <c r="AZ5" s="131"/>
      <c r="BA5" s="131"/>
      <c r="BB5" s="131"/>
      <c r="BC5" s="131"/>
      <c r="BD5" s="131"/>
      <c r="BE5" s="131"/>
      <c r="BF5" s="131"/>
      <c r="BG5" s="131"/>
      <c r="BH5" s="131"/>
      <c r="BI5" s="131"/>
      <c r="BM5" s="131"/>
      <c r="BN5" s="131"/>
      <c r="BO5" s="131"/>
      <c r="BP5" s="131"/>
      <c r="BQ5" s="131"/>
      <c r="BR5" s="131"/>
      <c r="BS5" s="131"/>
      <c r="BT5" s="131"/>
      <c r="BU5" s="131"/>
      <c r="BV5" s="131"/>
      <c r="BW5" s="131"/>
      <c r="BX5" s="131"/>
      <c r="BY5" s="131"/>
      <c r="BZ5" s="131"/>
      <c r="CA5" s="131"/>
      <c r="CB5" s="131"/>
      <c r="CC5" s="131"/>
      <c r="CD5" s="131"/>
      <c r="CE5" s="131"/>
    </row>
    <row r="6" spans="2:128" ht="18" customHeight="1" x14ac:dyDescent="0.25">
      <c r="E6" s="295" t="str">
        <f>'% DEDICACIÓN TRABAJADOR'!$F$7</f>
        <v>TRABAJADOR:</v>
      </c>
      <c r="F6" s="52"/>
      <c r="G6" s="52"/>
      <c r="H6" s="52"/>
      <c r="I6" s="52"/>
      <c r="J6" s="52"/>
      <c r="K6" s="52"/>
      <c r="L6" s="52"/>
      <c r="M6" s="52"/>
      <c r="N6" s="52"/>
      <c r="O6" s="52"/>
      <c r="P6" s="52"/>
      <c r="Q6" s="52"/>
      <c r="R6" s="52"/>
      <c r="S6" s="52"/>
      <c r="T6" s="52"/>
      <c r="AR6" s="126" t="str">
        <f>'% DEDICACIÓN TRABAJADOR'!$F$7</f>
        <v>TRABAJADOR:</v>
      </c>
      <c r="AS6" s="294"/>
      <c r="AT6" s="294"/>
      <c r="AU6" s="131"/>
      <c r="AV6" s="131"/>
      <c r="AW6" s="131"/>
      <c r="AX6" s="131"/>
      <c r="AY6" s="131"/>
      <c r="AZ6" s="131"/>
      <c r="BA6" s="131"/>
      <c r="BB6" s="131"/>
      <c r="BC6" s="131"/>
      <c r="BD6" s="131"/>
      <c r="BE6" s="131"/>
      <c r="BF6" s="131"/>
      <c r="BG6" s="131"/>
      <c r="BH6" s="131"/>
      <c r="BI6" s="131"/>
      <c r="BJ6" s="131"/>
      <c r="BM6" s="131"/>
      <c r="BN6" s="131"/>
      <c r="BO6" s="131"/>
      <c r="BP6" s="131"/>
      <c r="BQ6" s="131"/>
      <c r="BR6" s="131"/>
      <c r="BS6" s="131"/>
      <c r="BT6" s="131"/>
      <c r="BU6" s="131"/>
      <c r="BV6" s="131"/>
      <c r="BW6" s="131"/>
      <c r="BX6" s="131"/>
      <c r="BY6" s="131"/>
      <c r="BZ6" s="131"/>
      <c r="CA6" s="131"/>
      <c r="CB6" s="131"/>
      <c r="CC6" s="131"/>
      <c r="CD6" s="131"/>
      <c r="CE6" s="131"/>
    </row>
    <row r="7" spans="2:128" ht="15" customHeight="1" thickBot="1" x14ac:dyDescent="0.3">
      <c r="BA7" s="131"/>
      <c r="BB7" s="131"/>
      <c r="BC7" s="131"/>
      <c r="BD7" s="131"/>
      <c r="BE7" s="131"/>
      <c r="BF7" s="131"/>
      <c r="BG7" s="131"/>
      <c r="BH7" s="131"/>
      <c r="BI7" s="131"/>
      <c r="BJ7" s="131"/>
      <c r="BM7" s="131"/>
      <c r="BN7" s="131"/>
      <c r="BO7" s="131"/>
      <c r="BP7" s="131"/>
      <c r="BQ7" s="131"/>
      <c r="BR7" s="131"/>
      <c r="BS7" s="131"/>
      <c r="BT7" s="131"/>
      <c r="BU7" s="131"/>
      <c r="BV7" s="131"/>
      <c r="BW7" s="131"/>
      <c r="BX7" s="131"/>
      <c r="BY7" s="131"/>
      <c r="BZ7" s="131"/>
      <c r="CA7" s="131"/>
      <c r="CB7" s="131"/>
      <c r="CC7" s="131"/>
      <c r="CD7" s="131"/>
      <c r="CE7" s="131"/>
      <c r="DD7" s="812" t="s">
        <v>157</v>
      </c>
      <c r="DE7" s="812"/>
      <c r="DF7" s="812"/>
      <c r="DG7" s="812"/>
      <c r="DH7" s="812"/>
      <c r="DI7" s="812"/>
      <c r="DJ7" s="812"/>
      <c r="DK7" s="812"/>
      <c r="DL7" s="812"/>
      <c r="DM7" s="812"/>
      <c r="DN7" s="812"/>
      <c r="DO7" s="812"/>
      <c r="DP7" s="812"/>
      <c r="DQ7" s="812"/>
      <c r="DR7" s="812"/>
      <c r="DS7" s="812"/>
      <c r="DT7" s="812"/>
      <c r="DU7" s="812"/>
      <c r="DW7" s="811" t="s">
        <v>158</v>
      </c>
      <c r="DX7" s="811"/>
    </row>
    <row r="8" spans="2:128" ht="35.1" customHeight="1" thickTop="1" thickBot="1" x14ac:dyDescent="0.3">
      <c r="B8" s="971" t="str">
        <f>CONCATENATE("GASTO DEL TRABAJADOR ",'IDENTIFICACIÓN TRABAJADOR'!$D$14," EJERCICIO ",YEAR(EXPEDIENTE!$F$25))</f>
        <v>GASTO DEL TRABAJADOR  EJERCICIO 2025</v>
      </c>
      <c r="C8" s="948" t="str">
        <f>CONCATENATE("TABLA DE COTIZACIONES ",YEAR(EXPEDIENTE!$F$25))</f>
        <v>TABLA DE COTIZACIONES 2025</v>
      </c>
      <c r="D8" s="948"/>
      <c r="E8" s="948"/>
      <c r="F8" s="949"/>
      <c r="H8" s="306" t="s">
        <v>159</v>
      </c>
      <c r="I8" s="1025" t="s">
        <v>160</v>
      </c>
      <c r="J8" s="1025"/>
      <c r="K8" s="1025"/>
      <c r="L8" s="1025"/>
      <c r="M8" s="1025"/>
      <c r="N8" s="1025"/>
      <c r="O8" s="1025"/>
      <c r="P8" s="1025"/>
      <c r="Q8" s="1025"/>
      <c r="R8" s="1025"/>
      <c r="S8" s="1025"/>
      <c r="T8" s="1026"/>
      <c r="AM8" s="1013" t="str">
        <f>CONCATENATE("GASTO DEL TRABAJADOR ",'IDENTIFICACIÓN TRABAJADOR'!$D$14," EJERCICIO ",YEAR(EXPEDIENTE!$F$25))</f>
        <v>GASTO DEL TRABAJADOR  EJERCICIO 2025</v>
      </c>
      <c r="AN8" s="925" t="str">
        <f>CONCATENATE("COTIZACIONES ",YEAR(EXPEDIENTE!$F$25))</f>
        <v>COTIZACIONES 2025</v>
      </c>
      <c r="AO8" s="925"/>
      <c r="AP8" s="925"/>
      <c r="AQ8" s="367"/>
      <c r="AR8" s="375" t="s">
        <v>161</v>
      </c>
      <c r="AS8" s="553" t="s">
        <v>68</v>
      </c>
      <c r="AT8" s="376" t="s">
        <v>162</v>
      </c>
      <c r="AU8" s="944" t="s">
        <v>163</v>
      </c>
      <c r="AV8" s="944"/>
      <c r="AW8" s="944"/>
      <c r="AX8" s="944"/>
      <c r="AY8" s="944"/>
      <c r="AZ8" s="944"/>
      <c r="BA8" s="944"/>
      <c r="BB8" s="944"/>
      <c r="BC8" s="944"/>
      <c r="BD8" s="944"/>
      <c r="BE8" s="944"/>
      <c r="BF8" s="944"/>
      <c r="BG8" s="945"/>
      <c r="BJ8" s="131"/>
      <c r="BK8" s="131"/>
      <c r="BL8" s="131"/>
      <c r="BM8" s="131"/>
      <c r="BN8" s="131"/>
      <c r="BO8" s="131"/>
      <c r="BP8" s="131"/>
      <c r="BQ8" s="131"/>
      <c r="BR8" s="131"/>
      <c r="BS8" s="131"/>
      <c r="BT8" s="131"/>
      <c r="BU8" s="131"/>
      <c r="BV8" s="131"/>
      <c r="BW8" s="131"/>
      <c r="BX8" s="131"/>
      <c r="BY8" s="131"/>
      <c r="BZ8" s="131"/>
      <c r="CA8" s="131"/>
      <c r="CB8" s="131"/>
      <c r="CY8" s="81"/>
      <c r="CZ8" s="81"/>
      <c r="DD8" s="55" t="s">
        <v>164</v>
      </c>
      <c r="DE8" s="55" t="s">
        <v>165</v>
      </c>
      <c r="DF8" s="55" t="s">
        <v>166</v>
      </c>
      <c r="DG8" s="55" t="s">
        <v>167</v>
      </c>
      <c r="DH8" s="55" t="s">
        <v>168</v>
      </c>
      <c r="DI8" s="55" t="s">
        <v>169</v>
      </c>
      <c r="DJ8" s="55" t="s">
        <v>170</v>
      </c>
      <c r="DK8" s="55" t="s">
        <v>171</v>
      </c>
      <c r="DL8" s="55" t="s">
        <v>172</v>
      </c>
      <c r="DM8" s="55" t="s">
        <v>173</v>
      </c>
      <c r="DN8" s="55" t="s">
        <v>174</v>
      </c>
      <c r="DO8" s="55" t="s">
        <v>175</v>
      </c>
      <c r="DP8" s="55" t="s">
        <v>176</v>
      </c>
      <c r="DQ8" s="55" t="s">
        <v>177</v>
      </c>
      <c r="DR8" s="55" t="s">
        <v>178</v>
      </c>
      <c r="DS8" s="55" t="s">
        <v>179</v>
      </c>
      <c r="DT8" s="55" t="s">
        <v>180</v>
      </c>
      <c r="DU8" s="55" t="s">
        <v>181</v>
      </c>
    </row>
    <row r="9" spans="2:128" ht="20.100000000000001" customHeight="1" thickTop="1" x14ac:dyDescent="0.25">
      <c r="B9" s="972"/>
      <c r="C9" s="313" t="s">
        <v>182</v>
      </c>
      <c r="D9" s="312"/>
      <c r="E9" s="312"/>
      <c r="F9" s="315"/>
      <c r="H9" s="307" t="s">
        <v>183</v>
      </c>
      <c r="I9" s="963" t="s">
        <v>184</v>
      </c>
      <c r="J9" s="963"/>
      <c r="K9" s="963"/>
      <c r="L9" s="963"/>
      <c r="M9" s="963"/>
      <c r="N9" s="963"/>
      <c r="O9" s="963"/>
      <c r="P9" s="963"/>
      <c r="Q9" s="963"/>
      <c r="R9" s="963"/>
      <c r="S9" s="963"/>
      <c r="T9" s="964"/>
      <c r="AM9" s="1014"/>
      <c r="AN9" s="926" t="s">
        <v>182</v>
      </c>
      <c r="AO9" s="927"/>
      <c r="AP9" s="928"/>
      <c r="AQ9" s="369"/>
      <c r="AR9" s="132">
        <f t="shared" ref="AR9:AR14" si="0">IF(F9="",0,F9)</f>
        <v>0</v>
      </c>
      <c r="AS9" s="133"/>
      <c r="AT9" s="134">
        <f>IF(AS9="",AR9,AS9)</f>
        <v>0</v>
      </c>
      <c r="AU9" s="930"/>
      <c r="AV9" s="930"/>
      <c r="AW9" s="930"/>
      <c r="AX9" s="930"/>
      <c r="AY9" s="930"/>
      <c r="AZ9" s="930"/>
      <c r="BA9" s="930"/>
      <c r="BB9" s="930"/>
      <c r="BC9" s="930"/>
      <c r="BD9" s="930"/>
      <c r="BE9" s="930"/>
      <c r="BF9" s="930"/>
      <c r="BG9" s="931"/>
      <c r="BJ9" s="131"/>
      <c r="BK9" s="131"/>
      <c r="BL9" s="131"/>
      <c r="BM9" s="131"/>
      <c r="BN9" s="131"/>
      <c r="BO9" s="131"/>
      <c r="BP9" s="131"/>
      <c r="BQ9" s="131"/>
      <c r="BR9" s="131"/>
      <c r="BS9" s="131"/>
      <c r="BT9" s="131"/>
      <c r="BU9" s="131"/>
      <c r="BV9" s="131"/>
      <c r="BW9" s="131"/>
      <c r="BX9" s="131"/>
      <c r="BY9" s="131"/>
      <c r="BZ9" s="131"/>
      <c r="CA9" s="131"/>
      <c r="CB9" s="131"/>
      <c r="CY9" s="81"/>
      <c r="CZ9" s="81"/>
      <c r="DD9" s="135">
        <f>SUM(DE9:DU9)</f>
        <v>0</v>
      </c>
      <c r="DE9" s="135">
        <f>IF(AS9="",0,1)</f>
        <v>0</v>
      </c>
      <c r="DW9" s="55">
        <f>IF(AU9&lt;&gt;"",1,0)</f>
        <v>0</v>
      </c>
      <c r="DX9" s="130" t="str">
        <f>IF(DW9=0,"",AU9)</f>
        <v/>
      </c>
    </row>
    <row r="10" spans="2:128" ht="20.100000000000001" customHeight="1" x14ac:dyDescent="0.25">
      <c r="B10" s="972"/>
      <c r="C10" s="965" t="s">
        <v>471</v>
      </c>
      <c r="D10" s="966"/>
      <c r="E10" s="967"/>
      <c r="F10" s="694"/>
      <c r="H10" s="308"/>
      <c r="I10" s="683" t="s">
        <v>52</v>
      </c>
      <c r="J10" s="683"/>
      <c r="K10" s="683"/>
      <c r="L10" s="683"/>
      <c r="M10" s="683"/>
      <c r="N10" s="683"/>
      <c r="O10" s="683"/>
      <c r="P10" s="683"/>
      <c r="Q10" s="683"/>
      <c r="R10" s="683"/>
      <c r="S10" s="683"/>
      <c r="T10" s="684"/>
      <c r="AM10" s="1014"/>
      <c r="AN10" s="893" t="s">
        <v>471</v>
      </c>
      <c r="AO10" s="894"/>
      <c r="AP10" s="895"/>
      <c r="AQ10" s="370"/>
      <c r="AR10" s="136">
        <f t="shared" si="0"/>
        <v>0</v>
      </c>
      <c r="AS10" s="137"/>
      <c r="AT10" s="138">
        <f t="shared" ref="AT10" si="1">IF(AS10="",AR10,AS10)</f>
        <v>0</v>
      </c>
      <c r="AU10" s="869"/>
      <c r="AV10" s="869"/>
      <c r="AW10" s="869"/>
      <c r="AX10" s="869"/>
      <c r="AY10" s="869"/>
      <c r="AZ10" s="869"/>
      <c r="BA10" s="869"/>
      <c r="BB10" s="869"/>
      <c r="BC10" s="869"/>
      <c r="BD10" s="869"/>
      <c r="BE10" s="869"/>
      <c r="BF10" s="869"/>
      <c r="BG10" s="870"/>
      <c r="BJ10" s="131"/>
      <c r="BK10" s="131"/>
      <c r="BL10" s="131"/>
      <c r="BM10" s="131"/>
      <c r="BN10" s="131"/>
      <c r="BO10" s="131"/>
      <c r="BP10" s="131"/>
      <c r="BQ10" s="131"/>
      <c r="BR10" s="131"/>
      <c r="BS10" s="131"/>
      <c r="BT10" s="131"/>
      <c r="BU10" s="131"/>
      <c r="BV10" s="131"/>
      <c r="BW10" s="131"/>
      <c r="BX10" s="131"/>
      <c r="BY10" s="131"/>
      <c r="BZ10" s="131"/>
      <c r="CA10" s="131"/>
      <c r="CB10" s="131"/>
      <c r="CY10" s="81"/>
      <c r="CZ10" s="81"/>
      <c r="DD10" s="135"/>
      <c r="DE10" s="135"/>
      <c r="DW10" s="55"/>
      <c r="DX10" s="130"/>
    </row>
    <row r="11" spans="2:128" ht="20.100000000000001" customHeight="1" thickBot="1" x14ac:dyDescent="0.3">
      <c r="B11" s="972"/>
      <c r="C11" s="314" t="s">
        <v>185</v>
      </c>
      <c r="D11" s="296"/>
      <c r="E11" s="297"/>
      <c r="F11" s="316"/>
      <c r="H11" s="308"/>
      <c r="I11" s="955" t="str">
        <f>CONCATENATE("b) La fecha valor de abono de la nómina y/o de su IRPF sea anterior a la finalización del plazo de justificación (",TEXT(EXPEDIENTE!F29,"dd/mm/aa"),").")</f>
        <v>b) La fecha valor de abono de la nómina y/o de su IRPF sea anterior a la finalización del plazo de justificación ().</v>
      </c>
      <c r="J11" s="955"/>
      <c r="K11" s="955"/>
      <c r="L11" s="955"/>
      <c r="M11" s="955"/>
      <c r="N11" s="955"/>
      <c r="O11" s="955"/>
      <c r="P11" s="955"/>
      <c r="Q11" s="955"/>
      <c r="R11" s="955"/>
      <c r="S11" s="955"/>
      <c r="T11" s="956"/>
      <c r="AM11" s="1014"/>
      <c r="AN11" s="893" t="s">
        <v>185</v>
      </c>
      <c r="AO11" s="894"/>
      <c r="AP11" s="895"/>
      <c r="AQ11" s="370"/>
      <c r="AR11" s="136">
        <f t="shared" si="0"/>
        <v>0</v>
      </c>
      <c r="AS11" s="137"/>
      <c r="AT11" s="138">
        <f t="shared" ref="AT11:AT14" si="2">IF(AS11="",AR11,AS11)</f>
        <v>0</v>
      </c>
      <c r="AU11" s="869"/>
      <c r="AV11" s="869"/>
      <c r="AW11" s="869"/>
      <c r="AX11" s="869"/>
      <c r="AY11" s="869"/>
      <c r="AZ11" s="869"/>
      <c r="BA11" s="869"/>
      <c r="BB11" s="869"/>
      <c r="BC11" s="869"/>
      <c r="BD11" s="869"/>
      <c r="BE11" s="869"/>
      <c r="BF11" s="869"/>
      <c r="BG11" s="870"/>
      <c r="BJ11" s="131"/>
      <c r="BK11" s="131"/>
      <c r="BL11" s="131"/>
      <c r="BM11" s="131"/>
      <c r="BN11" s="131"/>
      <c r="BO11" s="131"/>
      <c r="BP11" s="131"/>
      <c r="BQ11" s="131"/>
      <c r="BR11" s="131"/>
      <c r="BS11" s="131"/>
      <c r="BT11" s="131"/>
      <c r="BU11" s="131"/>
      <c r="BV11" s="131"/>
      <c r="BW11" s="131"/>
      <c r="BX11" s="131"/>
      <c r="BY11" s="131"/>
      <c r="BZ11" s="131"/>
      <c r="CA11" s="131"/>
      <c r="CB11" s="131"/>
      <c r="CY11" s="81"/>
      <c r="CZ11" s="81"/>
      <c r="DD11" s="55">
        <f t="shared" ref="DD11:DD14" si="3">SUM(DE11:DU11)</f>
        <v>0</v>
      </c>
      <c r="DE11" s="55">
        <f t="shared" ref="DE11:DE14" si="4">IF(AS11="",0,1)</f>
        <v>0</v>
      </c>
      <c r="DW11" s="55">
        <f>IF(AU11&lt;&gt;"",MAX($DW$9:DW9)+1,0)</f>
        <v>0</v>
      </c>
      <c r="DX11" s="130" t="str">
        <f t="shared" ref="DX11:DX15" si="5">IF(DW11=0,"",AU11)</f>
        <v/>
      </c>
    </row>
    <row r="12" spans="2:128" ht="20.100000000000001" customHeight="1" x14ac:dyDescent="0.25">
      <c r="B12" s="972"/>
      <c r="C12" s="314" t="s">
        <v>186</v>
      </c>
      <c r="D12" s="296"/>
      <c r="E12" s="297"/>
      <c r="F12" s="316"/>
      <c r="H12" s="307" t="s">
        <v>188</v>
      </c>
      <c r="I12" s="963" t="s">
        <v>189</v>
      </c>
      <c r="J12" s="963"/>
      <c r="K12" s="963"/>
      <c r="L12" s="963"/>
      <c r="M12" s="963"/>
      <c r="N12" s="963"/>
      <c r="O12" s="963"/>
      <c r="P12" s="963"/>
      <c r="Q12" s="963"/>
      <c r="R12" s="963"/>
      <c r="S12" s="963"/>
      <c r="T12" s="964"/>
      <c r="AM12" s="1014"/>
      <c r="AN12" s="893" t="s">
        <v>186</v>
      </c>
      <c r="AO12" s="894"/>
      <c r="AP12" s="895"/>
      <c r="AQ12" s="370"/>
      <c r="AR12" s="136">
        <f t="shared" si="0"/>
        <v>0</v>
      </c>
      <c r="AS12" s="137"/>
      <c r="AT12" s="138">
        <f t="shared" si="2"/>
        <v>0</v>
      </c>
      <c r="AU12" s="869"/>
      <c r="AV12" s="869"/>
      <c r="AW12" s="869"/>
      <c r="AX12" s="869"/>
      <c r="AY12" s="869"/>
      <c r="AZ12" s="869"/>
      <c r="BA12" s="869"/>
      <c r="BB12" s="869"/>
      <c r="BC12" s="869"/>
      <c r="BD12" s="869"/>
      <c r="BE12" s="869"/>
      <c r="BF12" s="869"/>
      <c r="BG12" s="870"/>
      <c r="BJ12" s="131"/>
      <c r="BK12" s="131"/>
      <c r="BL12" s="131"/>
      <c r="BM12" s="131"/>
      <c r="BN12" s="131"/>
      <c r="BO12" s="131"/>
      <c r="BP12" s="131"/>
      <c r="BQ12" s="131"/>
      <c r="BR12" s="131"/>
      <c r="BS12" s="131"/>
      <c r="BT12" s="131"/>
      <c r="BU12" s="131"/>
      <c r="BV12" s="131"/>
      <c r="BW12" s="131"/>
      <c r="BX12" s="131"/>
      <c r="BY12" s="131"/>
      <c r="BZ12" s="131"/>
      <c r="CA12" s="131"/>
      <c r="CB12" s="131"/>
      <c r="CY12" s="81"/>
      <c r="CZ12" s="81"/>
      <c r="DD12" s="55">
        <f t="shared" si="3"/>
        <v>0</v>
      </c>
      <c r="DE12" s="55">
        <f t="shared" si="4"/>
        <v>0</v>
      </c>
      <c r="DW12" s="55">
        <f>IF(AU12&lt;&gt;"",MAX($DW$9:DW11)+1,0)</f>
        <v>0</v>
      </c>
      <c r="DX12" s="130" t="str">
        <f t="shared" si="5"/>
        <v/>
      </c>
    </row>
    <row r="13" spans="2:128" ht="20.100000000000001" customHeight="1" thickBot="1" x14ac:dyDescent="0.3">
      <c r="B13" s="972"/>
      <c r="C13" s="314" t="s">
        <v>187</v>
      </c>
      <c r="D13" s="296"/>
      <c r="E13" s="297"/>
      <c r="F13" s="316"/>
      <c r="H13" s="309"/>
      <c r="I13" s="1004"/>
      <c r="J13" s="1004"/>
      <c r="K13" s="1004"/>
      <c r="L13" s="1004"/>
      <c r="M13" s="1004"/>
      <c r="N13" s="1004"/>
      <c r="O13" s="1004"/>
      <c r="P13" s="1004"/>
      <c r="Q13" s="1004"/>
      <c r="R13" s="1004"/>
      <c r="S13" s="1004"/>
      <c r="T13" s="1005"/>
      <c r="AM13" s="1014"/>
      <c r="AN13" s="893" t="s">
        <v>187</v>
      </c>
      <c r="AO13" s="894"/>
      <c r="AP13" s="895"/>
      <c r="AQ13" s="370"/>
      <c r="AR13" s="136">
        <f t="shared" si="0"/>
        <v>0</v>
      </c>
      <c r="AS13" s="137"/>
      <c r="AT13" s="138">
        <f t="shared" si="2"/>
        <v>0</v>
      </c>
      <c r="AU13" s="869"/>
      <c r="AV13" s="869"/>
      <c r="AW13" s="869"/>
      <c r="AX13" s="869"/>
      <c r="AY13" s="869"/>
      <c r="AZ13" s="869"/>
      <c r="BA13" s="869"/>
      <c r="BB13" s="869"/>
      <c r="BC13" s="869"/>
      <c r="BD13" s="869"/>
      <c r="BE13" s="869"/>
      <c r="BF13" s="869"/>
      <c r="BG13" s="870"/>
      <c r="BJ13" s="131"/>
      <c r="BK13" s="131"/>
      <c r="BL13" s="131"/>
      <c r="BM13" s="131"/>
      <c r="BN13" s="131"/>
      <c r="BO13" s="131"/>
      <c r="BP13" s="131"/>
      <c r="BQ13" s="131"/>
      <c r="BR13" s="131"/>
      <c r="BS13" s="131"/>
      <c r="BT13" s="131"/>
      <c r="BU13" s="131"/>
      <c r="BV13" s="131"/>
      <c r="BW13" s="131"/>
      <c r="BX13" s="131"/>
      <c r="BY13" s="131"/>
      <c r="BZ13" s="131"/>
      <c r="CA13" s="131"/>
      <c r="CB13" s="131"/>
      <c r="CY13" s="81"/>
      <c r="CZ13" s="81"/>
      <c r="DD13" s="55">
        <f t="shared" si="3"/>
        <v>0</v>
      </c>
      <c r="DE13" s="55">
        <f t="shared" si="4"/>
        <v>0</v>
      </c>
      <c r="DW13" s="55">
        <f>IF(AU13&lt;&gt;"",MAX($DW$9:DW12)+1,0)</f>
        <v>0</v>
      </c>
      <c r="DX13" s="130" t="str">
        <f t="shared" si="5"/>
        <v/>
      </c>
    </row>
    <row r="14" spans="2:128" ht="20.100000000000001" customHeight="1" x14ac:dyDescent="0.25">
      <c r="B14" s="972"/>
      <c r="C14" s="314" t="s">
        <v>190</v>
      </c>
      <c r="D14" s="296"/>
      <c r="E14" s="297"/>
      <c r="F14" s="316"/>
      <c r="AM14" s="1014"/>
      <c r="AN14" s="893" t="s">
        <v>190</v>
      </c>
      <c r="AO14" s="894"/>
      <c r="AP14" s="895"/>
      <c r="AQ14" s="370"/>
      <c r="AR14" s="136">
        <f t="shared" si="0"/>
        <v>0</v>
      </c>
      <c r="AS14" s="137"/>
      <c r="AT14" s="138">
        <f t="shared" si="2"/>
        <v>0</v>
      </c>
      <c r="AU14" s="904"/>
      <c r="AV14" s="904"/>
      <c r="AW14" s="904"/>
      <c r="AX14" s="904"/>
      <c r="AY14" s="904"/>
      <c r="AZ14" s="904"/>
      <c r="BA14" s="904"/>
      <c r="BB14" s="904"/>
      <c r="BC14" s="904"/>
      <c r="BD14" s="904"/>
      <c r="BE14" s="904"/>
      <c r="BF14" s="904"/>
      <c r="BG14" s="905"/>
      <c r="BJ14" s="131"/>
      <c r="BK14" s="131"/>
      <c r="BL14" s="131"/>
      <c r="BM14" s="131"/>
      <c r="BN14" s="131"/>
      <c r="BO14" s="131"/>
      <c r="BP14" s="131"/>
      <c r="BQ14" s="131"/>
      <c r="BR14" s="131"/>
      <c r="BS14" s="131"/>
      <c r="BT14" s="131"/>
      <c r="BU14" s="131"/>
      <c r="BV14" s="131"/>
      <c r="BW14" s="131"/>
      <c r="BX14" s="131"/>
      <c r="BY14" s="131"/>
      <c r="BZ14" s="131"/>
      <c r="CA14" s="131"/>
      <c r="CB14" s="131"/>
      <c r="CY14" s="81"/>
      <c r="CZ14" s="81"/>
      <c r="DD14" s="55">
        <f t="shared" si="3"/>
        <v>0</v>
      </c>
      <c r="DE14" s="55">
        <f t="shared" si="4"/>
        <v>0</v>
      </c>
      <c r="DW14" s="55">
        <f>IF(AU14&lt;&gt;"",MAX($DW$9:DW13)+1,0)</f>
        <v>0</v>
      </c>
      <c r="DX14" s="130" t="str">
        <f t="shared" si="5"/>
        <v/>
      </c>
    </row>
    <row r="15" spans="2:128" ht="20.100000000000001" customHeight="1" thickBot="1" x14ac:dyDescent="0.3">
      <c r="B15" s="972"/>
      <c r="C15" s="317" t="s">
        <v>191</v>
      </c>
      <c r="D15" s="318"/>
      <c r="E15" s="318"/>
      <c r="F15" s="689">
        <f>SUM(F9:F14)</f>
        <v>0</v>
      </c>
      <c r="AM15" s="1014"/>
      <c r="AN15" s="906" t="s">
        <v>191</v>
      </c>
      <c r="AO15" s="907"/>
      <c r="AP15" s="908"/>
      <c r="AQ15" s="371"/>
      <c r="AR15" s="139">
        <f>SUM(AR9:AR14)</f>
        <v>0</v>
      </c>
      <c r="AS15" s="372"/>
      <c r="AT15" s="140">
        <f>SUM(AT9:AT14)</f>
        <v>0</v>
      </c>
      <c r="AU15" s="141"/>
      <c r="AV15" s="141"/>
      <c r="AW15" s="141"/>
      <c r="AX15" s="141"/>
      <c r="AY15" s="141"/>
      <c r="AZ15" s="141"/>
      <c r="BA15" s="141"/>
      <c r="BB15" s="141"/>
      <c r="BC15" s="141"/>
      <c r="BD15" s="141"/>
      <c r="BE15" s="141"/>
      <c r="BF15" s="141"/>
      <c r="BG15" s="142"/>
      <c r="BJ15" s="131"/>
      <c r="BK15" s="131"/>
      <c r="CY15" s="81"/>
      <c r="CZ15" s="81"/>
      <c r="DW15" s="55">
        <f>IF(AU15&lt;&gt;"",MAX($DW$9:DW14)+1,0)</f>
        <v>0</v>
      </c>
      <c r="DX15" s="130" t="str">
        <f t="shared" si="5"/>
        <v/>
      </c>
    </row>
    <row r="16" spans="2:128" ht="35.1" customHeight="1" thickTop="1" thickBot="1" x14ac:dyDescent="0.3">
      <c r="B16" s="972"/>
      <c r="C16" s="948" t="str">
        <f>CONCATENATE("NÓMINAS MENSUALES EJERCICIO ",YEAR(EXPEDIENTE!$F$25))</f>
        <v>NÓMINAS MENSUALES EJERCICIO 2025</v>
      </c>
      <c r="D16" s="948"/>
      <c r="E16" s="948"/>
      <c r="F16" s="948"/>
      <c r="G16" s="948"/>
      <c r="H16" s="948"/>
      <c r="I16" s="948"/>
      <c r="J16" s="948"/>
      <c r="K16" s="948"/>
      <c r="L16" s="948"/>
      <c r="M16" s="948"/>
      <c r="N16" s="948"/>
      <c r="O16" s="948"/>
      <c r="P16" s="948"/>
      <c r="Q16" s="948"/>
      <c r="R16" s="948"/>
      <c r="S16" s="948"/>
      <c r="T16" s="948"/>
      <c r="U16" s="948"/>
      <c r="V16" s="948"/>
      <c r="W16" s="948"/>
      <c r="X16" s="948"/>
      <c r="Y16" s="948"/>
      <c r="Z16" s="948"/>
      <c r="AA16" s="948"/>
      <c r="AB16" s="948"/>
      <c r="AC16" s="948"/>
      <c r="AD16" s="948"/>
      <c r="AE16" s="948"/>
      <c r="AF16" s="355"/>
      <c r="AG16" s="1021" t="s">
        <v>192</v>
      </c>
      <c r="AH16" s="1022"/>
      <c r="AM16" s="1014"/>
      <c r="AN16" s="843" t="str">
        <f>CONCATENATE("NÓMINAS MENSUALES EJERCICIO ",YEAR(EXPEDIENTE!$F$25))</f>
        <v>NÓMINAS MENSUALES EJERCICIO 2025</v>
      </c>
      <c r="AO16" s="843"/>
      <c r="AP16" s="843"/>
      <c r="AQ16" s="843"/>
      <c r="AR16" s="843"/>
      <c r="AS16" s="843"/>
      <c r="AT16" s="843"/>
      <c r="AU16" s="843"/>
      <c r="AV16" s="843"/>
      <c r="AW16" s="843"/>
      <c r="AX16" s="843"/>
      <c r="AY16" s="843"/>
      <c r="AZ16" s="843"/>
      <c r="BA16" s="843"/>
      <c r="BB16" s="843"/>
      <c r="BC16" s="843"/>
      <c r="BD16" s="843"/>
      <c r="BE16" s="843"/>
      <c r="BF16" s="843"/>
      <c r="BG16" s="843"/>
      <c r="BH16" s="843"/>
      <c r="BI16" s="843"/>
      <c r="BJ16" s="843"/>
      <c r="BK16" s="843"/>
      <c r="BL16" s="843"/>
      <c r="BM16" s="843"/>
      <c r="BN16" s="843"/>
      <c r="BO16" s="843"/>
      <c r="BP16" s="843"/>
      <c r="BQ16" s="843"/>
      <c r="BR16" s="843"/>
      <c r="BS16" s="843"/>
      <c r="BT16" s="843"/>
      <c r="BU16" s="843"/>
      <c r="BV16" s="843"/>
      <c r="BW16" s="843"/>
      <c r="BX16" s="843"/>
      <c r="BY16" s="843"/>
      <c r="BZ16" s="843"/>
      <c r="CA16" s="843"/>
      <c r="CB16" s="843"/>
      <c r="CC16" s="843"/>
      <c r="CD16" s="843"/>
      <c r="CE16" s="843"/>
      <c r="CF16" s="843"/>
      <c r="CG16" s="843"/>
      <c r="CH16" s="843"/>
      <c r="CI16" s="843"/>
      <c r="CJ16" s="843"/>
      <c r="CK16" s="843"/>
      <c r="CL16" s="843"/>
      <c r="CM16" s="843"/>
      <c r="CN16" s="843"/>
      <c r="CO16" s="843"/>
      <c r="CP16" s="843"/>
      <c r="CQ16" s="843"/>
      <c r="CR16" s="843"/>
      <c r="CS16" s="843"/>
      <c r="CT16" s="843"/>
      <c r="CU16" s="843"/>
      <c r="CV16" s="843"/>
      <c r="CW16" s="843"/>
      <c r="CX16" s="843"/>
      <c r="CY16" s="844"/>
      <c r="DA16" s="929"/>
      <c r="DB16" s="929"/>
    </row>
    <row r="17" spans="2:128" ht="20.100000000000001" customHeight="1" thickTop="1" thickBot="1" x14ac:dyDescent="0.3">
      <c r="B17" s="972"/>
      <c r="C17" s="957" t="s">
        <v>193</v>
      </c>
      <c r="D17" s="958"/>
      <c r="E17" s="958"/>
      <c r="F17" s="959" t="s">
        <v>194</v>
      </c>
      <c r="G17" s="959"/>
      <c r="H17" s="959"/>
      <c r="I17" s="959"/>
      <c r="J17" s="959"/>
      <c r="K17" s="959"/>
      <c r="L17" s="959"/>
      <c r="M17" s="960"/>
      <c r="N17" s="968" t="s">
        <v>195</v>
      </c>
      <c r="O17" s="969"/>
      <c r="P17" s="969"/>
      <c r="Q17" s="969"/>
      <c r="R17" s="969"/>
      <c r="S17" s="969"/>
      <c r="T17" s="969"/>
      <c r="U17" s="969"/>
      <c r="V17" s="970"/>
      <c r="W17" s="961" t="s">
        <v>196</v>
      </c>
      <c r="X17" s="953" t="s">
        <v>197</v>
      </c>
      <c r="Y17" s="898" t="s">
        <v>198</v>
      </c>
      <c r="Z17" s="898" t="s">
        <v>199</v>
      </c>
      <c r="AA17" s="898" t="s">
        <v>200</v>
      </c>
      <c r="AB17" s="900" t="s">
        <v>201</v>
      </c>
      <c r="AC17" s="953" t="s">
        <v>202</v>
      </c>
      <c r="AD17" s="900" t="s">
        <v>203</v>
      </c>
      <c r="AE17" s="1027" t="s">
        <v>204</v>
      </c>
      <c r="AF17" s="357"/>
      <c r="AG17" s="1023" t="s">
        <v>205</v>
      </c>
      <c r="AH17" s="825" t="s">
        <v>206</v>
      </c>
      <c r="AM17" s="1014"/>
      <c r="AN17" s="939" t="s">
        <v>193</v>
      </c>
      <c r="AO17" s="940"/>
      <c r="AP17" s="940"/>
      <c r="AQ17" s="940"/>
      <c r="AR17" s="941" t="s">
        <v>207</v>
      </c>
      <c r="AS17" s="940"/>
      <c r="AT17" s="942"/>
      <c r="AU17" s="913" t="s">
        <v>194</v>
      </c>
      <c r="AV17" s="914"/>
      <c r="AW17" s="914"/>
      <c r="AX17" s="914"/>
      <c r="AY17" s="914"/>
      <c r="AZ17" s="914"/>
      <c r="BA17" s="914"/>
      <c r="BB17" s="914"/>
      <c r="BC17" s="914"/>
      <c r="BD17" s="914"/>
      <c r="BE17" s="914"/>
      <c r="BF17" s="914"/>
      <c r="BG17" s="914"/>
      <c r="BH17" s="914"/>
      <c r="BI17" s="914"/>
      <c r="BJ17" s="914"/>
      <c r="BK17" s="914"/>
      <c r="BL17" s="914"/>
      <c r="BM17" s="914"/>
      <c r="BN17" s="915"/>
      <c r="BO17" s="916" t="s">
        <v>195</v>
      </c>
      <c r="BP17" s="917"/>
      <c r="BQ17" s="917"/>
      <c r="BR17" s="917"/>
      <c r="BS17" s="917"/>
      <c r="BT17" s="917"/>
      <c r="BU17" s="917"/>
      <c r="BV17" s="917"/>
      <c r="BW17" s="917"/>
      <c r="BX17" s="917"/>
      <c r="BY17" s="917"/>
      <c r="BZ17" s="917"/>
      <c r="CA17" s="917"/>
      <c r="CB17" s="917"/>
      <c r="CC17" s="917"/>
      <c r="CD17" s="917"/>
      <c r="CE17" s="917"/>
      <c r="CF17" s="918"/>
      <c r="CG17" s="918"/>
      <c r="CH17" s="918"/>
      <c r="CI17" s="919"/>
      <c r="CJ17" s="922" t="s">
        <v>196</v>
      </c>
      <c r="CK17" s="816" t="s">
        <v>208</v>
      </c>
      <c r="CL17" s="817"/>
      <c r="CM17" s="818"/>
      <c r="CN17" s="816" t="s">
        <v>209</v>
      </c>
      <c r="CO17" s="817"/>
      <c r="CP17" s="818"/>
      <c r="CQ17" s="885" t="s">
        <v>199</v>
      </c>
      <c r="CR17" s="827" t="s">
        <v>210</v>
      </c>
      <c r="CS17" s="828"/>
      <c r="CT17" s="829"/>
      <c r="CU17" s="830" t="s">
        <v>211</v>
      </c>
      <c r="CV17" s="831"/>
      <c r="CW17" s="832"/>
      <c r="CX17" s="847" t="s">
        <v>212</v>
      </c>
      <c r="CY17" s="838" t="s">
        <v>213</v>
      </c>
      <c r="DA17" s="833" t="s">
        <v>205</v>
      </c>
      <c r="DB17" s="825" t="s">
        <v>206</v>
      </c>
    </row>
    <row r="18" spans="2:128" ht="15" customHeight="1" x14ac:dyDescent="0.25">
      <c r="B18" s="972"/>
      <c r="C18" s="976" t="s">
        <v>214</v>
      </c>
      <c r="D18" s="977"/>
      <c r="E18" s="950" t="s">
        <v>215</v>
      </c>
      <c r="F18" s="951" t="s">
        <v>216</v>
      </c>
      <c r="G18" s="897" t="s">
        <v>217</v>
      </c>
      <c r="H18" s="897"/>
      <c r="I18" s="897"/>
      <c r="J18" s="897"/>
      <c r="K18" s="897"/>
      <c r="L18" s="897"/>
      <c r="M18" s="902" t="s">
        <v>218</v>
      </c>
      <c r="N18" s="143"/>
      <c r="O18" s="896" t="s">
        <v>219</v>
      </c>
      <c r="P18" s="897"/>
      <c r="Q18" s="897"/>
      <c r="R18" s="897"/>
      <c r="S18" s="897"/>
      <c r="T18" s="897"/>
      <c r="U18" s="902" t="s">
        <v>220</v>
      </c>
      <c r="V18" s="144"/>
      <c r="W18" s="961"/>
      <c r="X18" s="953"/>
      <c r="Y18" s="898"/>
      <c r="Z18" s="898"/>
      <c r="AA18" s="898"/>
      <c r="AB18" s="900"/>
      <c r="AC18" s="953"/>
      <c r="AD18" s="900"/>
      <c r="AE18" s="1028"/>
      <c r="AF18" s="357"/>
      <c r="AG18" s="1024"/>
      <c r="AH18" s="826"/>
      <c r="AM18" s="1014"/>
      <c r="AN18" s="932" t="s">
        <v>214</v>
      </c>
      <c r="AO18" s="933"/>
      <c r="AP18" s="946"/>
      <c r="AQ18" s="947"/>
      <c r="AR18" s="936" t="s">
        <v>161</v>
      </c>
      <c r="AS18" s="943" t="s">
        <v>68</v>
      </c>
      <c r="AT18" s="861" t="s">
        <v>162</v>
      </c>
      <c r="AU18" s="865" t="s">
        <v>221</v>
      </c>
      <c r="AV18" s="866"/>
      <c r="AW18" s="867"/>
      <c r="AX18" s="909" t="s">
        <v>217</v>
      </c>
      <c r="AY18" s="911"/>
      <c r="AZ18" s="911"/>
      <c r="BA18" s="911"/>
      <c r="BB18" s="911"/>
      <c r="BC18" s="911"/>
      <c r="BD18" s="911"/>
      <c r="BE18" s="911"/>
      <c r="BF18" s="911"/>
      <c r="BG18" s="911"/>
      <c r="BH18" s="911"/>
      <c r="BI18" s="911"/>
      <c r="BJ18" s="911"/>
      <c r="BK18" s="911"/>
      <c r="BL18" s="911"/>
      <c r="BM18" s="912"/>
      <c r="BN18" s="937" t="s">
        <v>222</v>
      </c>
      <c r="BO18" s="145"/>
      <c r="BP18" s="909" t="s">
        <v>223</v>
      </c>
      <c r="BQ18" s="910"/>
      <c r="BR18" s="910"/>
      <c r="BS18" s="911"/>
      <c r="BT18" s="911"/>
      <c r="BU18" s="911"/>
      <c r="BV18" s="911"/>
      <c r="BW18" s="911"/>
      <c r="BX18" s="911"/>
      <c r="BY18" s="911"/>
      <c r="BZ18" s="911"/>
      <c r="CA18" s="911"/>
      <c r="CB18" s="911"/>
      <c r="CC18" s="911"/>
      <c r="CD18" s="911"/>
      <c r="CE18" s="912"/>
      <c r="CF18" s="865" t="s">
        <v>224</v>
      </c>
      <c r="CG18" s="866"/>
      <c r="CH18" s="867"/>
      <c r="CI18" s="146"/>
      <c r="CJ18" s="923"/>
      <c r="CK18" s="819" t="s">
        <v>161</v>
      </c>
      <c r="CL18" s="821" t="s">
        <v>68</v>
      </c>
      <c r="CM18" s="823" t="s">
        <v>162</v>
      </c>
      <c r="CN18" s="819" t="s">
        <v>161</v>
      </c>
      <c r="CO18" s="821" t="s">
        <v>68</v>
      </c>
      <c r="CP18" s="823" t="s">
        <v>162</v>
      </c>
      <c r="CQ18" s="886"/>
      <c r="CR18" s="819" t="s">
        <v>161</v>
      </c>
      <c r="CS18" s="821" t="s">
        <v>68</v>
      </c>
      <c r="CT18" s="823" t="s">
        <v>162</v>
      </c>
      <c r="CU18" s="819" t="s">
        <v>161</v>
      </c>
      <c r="CV18" s="821" t="s">
        <v>68</v>
      </c>
      <c r="CW18" s="823" t="s">
        <v>162</v>
      </c>
      <c r="CX18" s="849"/>
      <c r="CY18" s="839"/>
      <c r="DA18" s="826"/>
      <c r="DB18" s="826"/>
    </row>
    <row r="19" spans="2:128" ht="45" customHeight="1" thickBot="1" x14ac:dyDescent="0.3">
      <c r="B19" s="972"/>
      <c r="C19" s="978"/>
      <c r="D19" s="899"/>
      <c r="E19" s="901"/>
      <c r="F19" s="952"/>
      <c r="G19" s="310" t="s">
        <v>225</v>
      </c>
      <c r="H19" s="310" t="s">
        <v>226</v>
      </c>
      <c r="I19" s="310" t="s">
        <v>227</v>
      </c>
      <c r="J19" s="310" t="s">
        <v>228</v>
      </c>
      <c r="K19" s="310" t="s">
        <v>229</v>
      </c>
      <c r="L19" s="311" t="s">
        <v>230</v>
      </c>
      <c r="M19" s="903"/>
      <c r="N19" s="147"/>
      <c r="O19" s="319" t="s">
        <v>231</v>
      </c>
      <c r="P19" s="310" t="s">
        <v>232</v>
      </c>
      <c r="Q19" s="310" t="s">
        <v>233</v>
      </c>
      <c r="R19" s="310" t="s">
        <v>234</v>
      </c>
      <c r="S19" s="310" t="s">
        <v>235</v>
      </c>
      <c r="T19" s="310" t="s">
        <v>236</v>
      </c>
      <c r="U19" s="903"/>
      <c r="V19" s="148"/>
      <c r="W19" s="962"/>
      <c r="X19" s="954"/>
      <c r="Y19" s="899"/>
      <c r="Z19" s="899"/>
      <c r="AA19" s="899"/>
      <c r="AB19" s="901"/>
      <c r="AC19" s="954"/>
      <c r="AD19" s="901"/>
      <c r="AE19" s="1029"/>
      <c r="AF19" s="357"/>
      <c r="AG19" s="356">
        <f>SUM(AG20:AG31,AG38:AG45,AG52:AG63)</f>
        <v>0</v>
      </c>
      <c r="AH19" s="55">
        <f>SUM(AH20:AH31,AH38:AH45)</f>
        <v>0</v>
      </c>
      <c r="AI19" s="850" t="s">
        <v>237</v>
      </c>
      <c r="AJ19" s="851"/>
      <c r="AK19" s="852"/>
      <c r="AM19" s="1014"/>
      <c r="AN19" s="934"/>
      <c r="AO19" s="935"/>
      <c r="AP19" s="855"/>
      <c r="AQ19" s="856"/>
      <c r="AR19" s="820"/>
      <c r="AS19" s="822"/>
      <c r="AT19" s="824"/>
      <c r="AU19" s="149" t="s">
        <v>161</v>
      </c>
      <c r="AV19" s="554" t="s">
        <v>68</v>
      </c>
      <c r="AW19" s="150" t="s">
        <v>162</v>
      </c>
      <c r="AX19" s="151" t="s">
        <v>238</v>
      </c>
      <c r="AY19" s="555" t="s">
        <v>239</v>
      </c>
      <c r="AZ19" s="152" t="s">
        <v>240</v>
      </c>
      <c r="BA19" s="152" t="s">
        <v>241</v>
      </c>
      <c r="BB19" s="555" t="s">
        <v>242</v>
      </c>
      <c r="BC19" s="152" t="s">
        <v>243</v>
      </c>
      <c r="BD19" s="152" t="s">
        <v>244</v>
      </c>
      <c r="BE19" s="555" t="s">
        <v>245</v>
      </c>
      <c r="BF19" s="152" t="s">
        <v>246</v>
      </c>
      <c r="BG19" s="152" t="s">
        <v>247</v>
      </c>
      <c r="BH19" s="555" t="s">
        <v>248</v>
      </c>
      <c r="BI19" s="152" t="s">
        <v>249</v>
      </c>
      <c r="BJ19" s="152" t="s">
        <v>250</v>
      </c>
      <c r="BK19" s="555" t="s">
        <v>251</v>
      </c>
      <c r="BL19" s="152" t="s">
        <v>252</v>
      </c>
      <c r="BM19" s="373" t="s">
        <v>253</v>
      </c>
      <c r="BN19" s="938"/>
      <c r="BO19" s="154"/>
      <c r="BP19" s="151" t="s">
        <v>254</v>
      </c>
      <c r="BQ19" s="555" t="s">
        <v>255</v>
      </c>
      <c r="BR19" s="152" t="s">
        <v>256</v>
      </c>
      <c r="BS19" s="152" t="s">
        <v>257</v>
      </c>
      <c r="BT19" s="555" t="s">
        <v>258</v>
      </c>
      <c r="BU19" s="152" t="s">
        <v>259</v>
      </c>
      <c r="BV19" s="152" t="s">
        <v>260</v>
      </c>
      <c r="BW19" s="555" t="s">
        <v>261</v>
      </c>
      <c r="BX19" s="152" t="s">
        <v>262</v>
      </c>
      <c r="BY19" s="152" t="s">
        <v>263</v>
      </c>
      <c r="BZ19" s="555" t="s">
        <v>264</v>
      </c>
      <c r="CA19" s="152" t="s">
        <v>265</v>
      </c>
      <c r="CB19" s="152" t="s">
        <v>266</v>
      </c>
      <c r="CC19" s="555" t="s">
        <v>267</v>
      </c>
      <c r="CD19" s="152" t="s">
        <v>268</v>
      </c>
      <c r="CE19" s="153" t="s">
        <v>269</v>
      </c>
      <c r="CF19" s="155" t="s">
        <v>161</v>
      </c>
      <c r="CG19" s="556" t="s">
        <v>68</v>
      </c>
      <c r="CH19" s="156" t="s">
        <v>162</v>
      </c>
      <c r="CI19" s="157"/>
      <c r="CJ19" s="924"/>
      <c r="CK19" s="820"/>
      <c r="CL19" s="822"/>
      <c r="CM19" s="824"/>
      <c r="CN19" s="820"/>
      <c r="CO19" s="822"/>
      <c r="CP19" s="824"/>
      <c r="CQ19" s="887"/>
      <c r="CR19" s="820"/>
      <c r="CS19" s="822"/>
      <c r="CT19" s="824"/>
      <c r="CU19" s="820"/>
      <c r="CV19" s="822"/>
      <c r="CW19" s="824"/>
      <c r="CX19" s="848"/>
      <c r="CY19" s="840"/>
      <c r="DA19" s="55">
        <f>SUM(DA20:DA31,DA38:DA45,DA52:DA63)</f>
        <v>0</v>
      </c>
      <c r="DB19" s="55">
        <f>SUM(DB20:DB31,DB38:DB45)</f>
        <v>0</v>
      </c>
      <c r="DD19" s="55" t="s">
        <v>164</v>
      </c>
      <c r="DE19" s="55" t="s">
        <v>165</v>
      </c>
      <c r="DF19" s="55" t="s">
        <v>166</v>
      </c>
      <c r="DG19" s="55" t="s">
        <v>167</v>
      </c>
      <c r="DH19" s="55" t="s">
        <v>168</v>
      </c>
      <c r="DI19" s="55" t="s">
        <v>169</v>
      </c>
      <c r="DJ19" s="55" t="s">
        <v>170</v>
      </c>
      <c r="DK19" s="55" t="s">
        <v>171</v>
      </c>
      <c r="DL19" s="55" t="s">
        <v>172</v>
      </c>
      <c r="DM19" s="55" t="s">
        <v>173</v>
      </c>
      <c r="DN19" s="55" t="s">
        <v>174</v>
      </c>
      <c r="DO19" s="55" t="s">
        <v>175</v>
      </c>
      <c r="DP19" s="55" t="s">
        <v>176</v>
      </c>
      <c r="DQ19" s="55" t="s">
        <v>177</v>
      </c>
      <c r="DR19" s="55" t="s">
        <v>178</v>
      </c>
      <c r="DS19" s="55" t="s">
        <v>179</v>
      </c>
      <c r="DT19" s="55" t="s">
        <v>180</v>
      </c>
      <c r="DU19" s="55" t="s">
        <v>181</v>
      </c>
    </row>
    <row r="20" spans="2:128" ht="30" customHeight="1" x14ac:dyDescent="0.25">
      <c r="B20" s="972"/>
      <c r="C20" s="979" t="s">
        <v>270</v>
      </c>
      <c r="D20" s="980"/>
      <c r="E20" s="158"/>
      <c r="F20" s="159"/>
      <c r="G20" s="160"/>
      <c r="H20" s="160"/>
      <c r="I20" s="160"/>
      <c r="J20" s="160"/>
      <c r="K20" s="160"/>
      <c r="L20" s="203">
        <f>SUM(G20:K20)</f>
        <v>0</v>
      </c>
      <c r="M20" s="176">
        <f t="shared" ref="M20" si="6">F20+L20</f>
        <v>0</v>
      </c>
      <c r="N20" s="161"/>
      <c r="O20" s="159"/>
      <c r="P20" s="160"/>
      <c r="Q20" s="160"/>
      <c r="R20" s="160"/>
      <c r="S20" s="160"/>
      <c r="T20" s="173">
        <f>SUM(O20:S20)</f>
        <v>0</v>
      </c>
      <c r="U20" s="162"/>
      <c r="V20" s="163"/>
      <c r="W20" s="176">
        <f t="shared" ref="W20" si="7">M20+T20+U20</f>
        <v>0</v>
      </c>
      <c r="X20" s="159"/>
      <c r="Y20" s="160"/>
      <c r="Z20" s="173">
        <f>F20+L20+T20+U20-X20-Y20</f>
        <v>0</v>
      </c>
      <c r="AA20" s="164"/>
      <c r="AB20" s="165"/>
      <c r="AC20" s="320"/>
      <c r="AD20" s="321"/>
      <c r="AE20" s="326"/>
      <c r="AF20" s="357"/>
      <c r="AG20" s="53">
        <f>IF(AND(AA20&lt;&gt;"",OR(AA20&lt;EXPEDIENTE!$I$25,AA20&gt;EXPEDIENTE!$I$29)),1,0)</f>
        <v>0</v>
      </c>
      <c r="AH20" s="53">
        <f>IF(AND(AB20&lt;&gt;"",OR(AB20&lt;EXPEDIENTE!$I$25,AB20&gt;EXPEDIENTE!$I$29)),1,0)</f>
        <v>0</v>
      </c>
      <c r="AI20" s="53">
        <f>IF(DATE(YEAR(EXPEDIENTE!$I$25),MONTH(DATEVALUE($C20&amp;"1")),1)&gt;=DATE(YEAR(EXPEDIENTE!$I$25),MONTH(EXPEDIENTE!$I$25),1),0,1)</f>
        <v>0</v>
      </c>
      <c r="AJ20" s="53" t="e">
        <f>IF(DATE(YEAR(EXPEDIENTE!$I$25),MONTH(DATEVALUE($C20&amp;"1")),1)&lt;=DATE(YEAR(EXPEDIENTE!$I$29),MONTH(EXPEDIENTE!$I$29),1),0,1)</f>
        <v>#VALUE!</v>
      </c>
      <c r="AK20" s="53" t="e">
        <f>SUM(AI20:AJ20)</f>
        <v>#VALUE!</v>
      </c>
      <c r="AM20" s="1014"/>
      <c r="AN20" s="883" t="s">
        <v>270</v>
      </c>
      <c r="AO20" s="884"/>
      <c r="AP20" s="855"/>
      <c r="AQ20" s="856"/>
      <c r="AR20" s="167">
        <f t="shared" ref="AR20:AR31" si="8">IF(E20="",0,E20)</f>
        <v>0</v>
      </c>
      <c r="AS20" s="168"/>
      <c r="AT20" s="169">
        <f>IF(AS20="",AR20,AS20)</f>
        <v>0</v>
      </c>
      <c r="AU20" s="170">
        <f t="shared" ref="AU20:AU31" si="9">IF(F20="",0,F20)</f>
        <v>0</v>
      </c>
      <c r="AV20" s="171"/>
      <c r="AW20" s="172">
        <f>IF(AV20="",AU20,AV20)</f>
        <v>0</v>
      </c>
      <c r="AX20" s="170">
        <f t="shared" ref="AX20:AX31" si="10">IF(G20="",0,G20)</f>
        <v>0</v>
      </c>
      <c r="AY20" s="173"/>
      <c r="AZ20" s="174">
        <f>IF(AY20="",AX20,AY20)</f>
        <v>0</v>
      </c>
      <c r="BA20" s="174">
        <f t="shared" ref="BA20:BA31" si="11">IF(H20="",0,H20)</f>
        <v>0</v>
      </c>
      <c r="BB20" s="173"/>
      <c r="BC20" s="174">
        <f>IF(BB20="",BA20,BB20)</f>
        <v>0</v>
      </c>
      <c r="BD20" s="174">
        <f t="shared" ref="BD20:BD31" si="12">IF(I20="",0,I20)</f>
        <v>0</v>
      </c>
      <c r="BE20" s="173"/>
      <c r="BF20" s="174">
        <f>IF(BE20="",BD20,BE20)</f>
        <v>0</v>
      </c>
      <c r="BG20" s="174">
        <f t="shared" ref="BG20:BG31" si="13">IF(J20="",0,J20)</f>
        <v>0</v>
      </c>
      <c r="BH20" s="173"/>
      <c r="BI20" s="174">
        <f>IF(BH20="",BG20,BH20)</f>
        <v>0</v>
      </c>
      <c r="BJ20" s="174">
        <f t="shared" ref="BJ20:BJ31" si="14">IF(K20="",0,K20)</f>
        <v>0</v>
      </c>
      <c r="BK20" s="173"/>
      <c r="BL20" s="174">
        <f>IF(BK20="",BJ20,BK20)</f>
        <v>0</v>
      </c>
      <c r="BM20" s="207">
        <f>AZ20+BC20+BF20+BI20+BL20</f>
        <v>0</v>
      </c>
      <c r="BN20" s="258">
        <f>AW20+BM20</f>
        <v>0</v>
      </c>
      <c r="BO20" s="177"/>
      <c r="BP20" s="170">
        <f t="shared" ref="BP20:BP31" si="15">IF(O20="",0,O20)</f>
        <v>0</v>
      </c>
      <c r="BQ20" s="171"/>
      <c r="BR20" s="178">
        <f>IF(BQ20="",BP20,BQ20)</f>
        <v>0</v>
      </c>
      <c r="BS20" s="174">
        <f t="shared" ref="BS20:BS31" si="16">IF(P20="",0,P20)</f>
        <v>0</v>
      </c>
      <c r="BT20" s="173"/>
      <c r="BU20" s="174">
        <f>IF(BT20="",BS20,BT20)</f>
        <v>0</v>
      </c>
      <c r="BV20" s="174">
        <f t="shared" ref="BV20:BV31" si="17">IF(Q20="",0,Q20)</f>
        <v>0</v>
      </c>
      <c r="BW20" s="173"/>
      <c r="BX20" s="174">
        <f>IF(BW20="",BV20,BW20)</f>
        <v>0</v>
      </c>
      <c r="BY20" s="174">
        <f t="shared" ref="BY20:BY31" si="18">IF(R20="",0,R20)</f>
        <v>0</v>
      </c>
      <c r="BZ20" s="173"/>
      <c r="CA20" s="174">
        <f>IF(BZ20="",BY20,BZ20)</f>
        <v>0</v>
      </c>
      <c r="CB20" s="174">
        <f t="shared" ref="CB20:CB31" si="19">IF(S20="",0,S20)</f>
        <v>0</v>
      </c>
      <c r="CC20" s="173"/>
      <c r="CD20" s="174">
        <f>IF(CC20="",CB20,CC20)</f>
        <v>0</v>
      </c>
      <c r="CE20" s="175">
        <f>BR20+BU20+BX20+CA20+CD20</f>
        <v>0</v>
      </c>
      <c r="CF20" s="179">
        <f t="shared" ref="CF20:CF31" si="20">IF(U20="",0,U20)</f>
        <v>0</v>
      </c>
      <c r="CG20" s="180"/>
      <c r="CH20" s="181">
        <f>IF(CG20="",CF20,CG20)</f>
        <v>0</v>
      </c>
      <c r="CI20" s="182"/>
      <c r="CJ20" s="183">
        <f>BN20+CE20+CH20</f>
        <v>0</v>
      </c>
      <c r="CK20" s="170">
        <f t="shared" ref="CK20:CK31" si="21">IF(X20="",0,X20)</f>
        <v>0</v>
      </c>
      <c r="CL20" s="171"/>
      <c r="CM20" s="172">
        <f>IF(CL20="",CK20,CL20)</f>
        <v>0</v>
      </c>
      <c r="CN20" s="179">
        <f t="shared" ref="CN20:CN31" si="22">IF(Y20="",0,Y20)</f>
        <v>0</v>
      </c>
      <c r="CO20" s="180"/>
      <c r="CP20" s="181">
        <f>IF(CO20="",CN20,CO20)</f>
        <v>0</v>
      </c>
      <c r="CQ20" s="402">
        <f>AW20+BM20+CE20+CH20-CM20-CP20</f>
        <v>0</v>
      </c>
      <c r="CR20" s="185" t="str">
        <f t="shared" ref="CR20:CR31" si="23">IF(AA20="","",AA20)</f>
        <v/>
      </c>
      <c r="CS20" s="186"/>
      <c r="CT20" s="187" t="str">
        <f>IF(CS20="",CR20,CS20)</f>
        <v/>
      </c>
      <c r="CU20" s="188" t="str">
        <f t="shared" ref="CU20:CU31" si="24">IF(AB20="","",AB20)</f>
        <v/>
      </c>
      <c r="CV20" s="189"/>
      <c r="CW20" s="190" t="str">
        <f>IF(CV20="",CU20,CV20)</f>
        <v/>
      </c>
      <c r="CX20" s="407" t="str">
        <f>IF(DD20=0,"",DD20)</f>
        <v/>
      </c>
      <c r="CY20" s="192"/>
      <c r="DA20" s="53">
        <f>IF(AND(CT20&lt;&gt;"",OR(CT20&lt;EXPEDIENTE!$I$25,CT20&gt;EXPEDIENTE!$I$29)),1,0)</f>
        <v>0</v>
      </c>
      <c r="DB20" s="53">
        <f>IF(AND(CW20&lt;&gt;"",OR(CW20&lt;EXPEDIENTE!$I$25,CW20&gt;EXPEDIENTE!$I$29)),1,0)</f>
        <v>0</v>
      </c>
      <c r="DD20" s="55">
        <f t="shared" ref="DD20" si="25">SUM(DE20:DU20)</f>
        <v>0</v>
      </c>
      <c r="DE20" s="55">
        <f>IF(AS20="",0,1)</f>
        <v>0</v>
      </c>
      <c r="DF20" s="55">
        <f>IF(AV20="",0,1)</f>
        <v>0</v>
      </c>
      <c r="DG20" s="55">
        <f>IF(AY20="",0,1)</f>
        <v>0</v>
      </c>
      <c r="DH20" s="55">
        <f>IF(BB20="",0,1)</f>
        <v>0</v>
      </c>
      <c r="DI20" s="55">
        <f>IF(BE20="",0,1)</f>
        <v>0</v>
      </c>
      <c r="DJ20" s="55">
        <f>IF(BH20="",0,1)</f>
        <v>0</v>
      </c>
      <c r="DK20" s="55">
        <f>IF(BK20="",0,1)</f>
        <v>0</v>
      </c>
      <c r="DL20" s="55">
        <f>IF(BQ20="",0,1)</f>
        <v>0</v>
      </c>
      <c r="DM20" s="55">
        <f>IF(BT20="",0,1)</f>
        <v>0</v>
      </c>
      <c r="DN20" s="55">
        <f>IF(BW20="",0,1)</f>
        <v>0</v>
      </c>
      <c r="DO20" s="55">
        <f>IF(BZ20="",0,1)</f>
        <v>0</v>
      </c>
      <c r="DP20" s="55">
        <f>IF(CC20="",0,1)</f>
        <v>0</v>
      </c>
      <c r="DQ20" s="55">
        <f>IF(CG20="",0,1)</f>
        <v>0</v>
      </c>
      <c r="DR20" s="55">
        <f>IF(CL20="",0,1)</f>
        <v>0</v>
      </c>
      <c r="DS20" s="55">
        <f>IF(CO20="",0,1)</f>
        <v>0</v>
      </c>
      <c r="DT20" s="55">
        <f>IF(CS20="",0,1)</f>
        <v>0</v>
      </c>
      <c r="DU20" s="55">
        <f>IF(CV20="",0,1)</f>
        <v>0</v>
      </c>
      <c r="DW20" s="55">
        <f>IF(CY20&lt;&gt;"",MAX($DW$9:DW19)+1,0)</f>
        <v>0</v>
      </c>
      <c r="DX20" s="130" t="str">
        <f>IF(DW20=0,"",CY20)</f>
        <v/>
      </c>
    </row>
    <row r="21" spans="2:128" ht="30" customHeight="1" x14ac:dyDescent="0.25">
      <c r="B21" s="972"/>
      <c r="C21" s="981" t="s">
        <v>271</v>
      </c>
      <c r="D21" s="982"/>
      <c r="E21" s="193"/>
      <c r="F21" s="194"/>
      <c r="G21" s="195"/>
      <c r="H21" s="195"/>
      <c r="I21" s="195"/>
      <c r="J21" s="195"/>
      <c r="K21" s="195"/>
      <c r="L21" s="203">
        <f t="shared" ref="L21:L31" si="26">SUM(G21:K21)</f>
        <v>0</v>
      </c>
      <c r="M21" s="205">
        <f>F21+L21</f>
        <v>0</v>
      </c>
      <c r="N21" s="161"/>
      <c r="O21" s="194"/>
      <c r="P21" s="195"/>
      <c r="Q21" s="195"/>
      <c r="R21" s="195"/>
      <c r="S21" s="195"/>
      <c r="T21" s="203">
        <f t="shared" ref="T21:T31" si="27">SUM(O21:S21)</f>
        <v>0</v>
      </c>
      <c r="U21" s="196"/>
      <c r="V21" s="163"/>
      <c r="W21" s="205">
        <f>M21+T21+U21</f>
        <v>0</v>
      </c>
      <c r="X21" s="194"/>
      <c r="Y21" s="195"/>
      <c r="Z21" s="203">
        <f t="shared" ref="Z21:Z31" si="28">F21+L21+T21+U21-X21-Y21</f>
        <v>0</v>
      </c>
      <c r="AA21" s="164"/>
      <c r="AB21" s="165"/>
      <c r="AC21" s="322"/>
      <c r="AD21" s="323"/>
      <c r="AE21" s="327"/>
      <c r="AF21" s="357"/>
      <c r="AG21" s="53">
        <f>IF(AND(AA21&lt;&gt;"",OR(AA21&lt;EXPEDIENTE!$I$25,AA21&gt;EXPEDIENTE!$I$29)),1,0)</f>
        <v>0</v>
      </c>
      <c r="AH21" s="53">
        <f>IF(AND(AB21&lt;&gt;"",OR(AB21&lt;EXPEDIENTE!$I$25,AB21&gt;EXPEDIENTE!$I$29)),1,0)</f>
        <v>0</v>
      </c>
      <c r="AI21" s="53">
        <f>IF(DATE(YEAR(EXPEDIENTE!$I$25),MONTH(DATEVALUE($C21&amp;"1")),1)&gt;=DATE(YEAR(EXPEDIENTE!$I$25),MONTH(EXPEDIENTE!$I$25),1),0,1)</f>
        <v>0</v>
      </c>
      <c r="AJ21" s="53" t="e">
        <f>IF(DATE(YEAR(EXPEDIENTE!$I$25),MONTH(DATEVALUE($C21&amp;"1")),1)&lt;=DATE(YEAR(EXPEDIENTE!$I$29),MONTH(EXPEDIENTE!$I$29),1),0,1)</f>
        <v>#VALUE!</v>
      </c>
      <c r="AK21" s="53" t="e">
        <f t="shared" ref="AK21:AK31" si="29">SUM(AI21:AJ21)</f>
        <v>#VALUE!</v>
      </c>
      <c r="AM21" s="1014"/>
      <c r="AN21" s="859" t="s">
        <v>271</v>
      </c>
      <c r="AO21" s="860"/>
      <c r="AP21" s="855"/>
      <c r="AQ21" s="856"/>
      <c r="AR21" s="198">
        <f t="shared" si="8"/>
        <v>0</v>
      </c>
      <c r="AS21" s="85"/>
      <c r="AT21" s="199">
        <f t="shared" ref="AT21:AT31" si="30">IF(AS21="",AR21,AS21)</f>
        <v>0</v>
      </c>
      <c r="AU21" s="200">
        <f t="shared" si="9"/>
        <v>0</v>
      </c>
      <c r="AV21" s="201"/>
      <c r="AW21" s="202">
        <f t="shared" ref="AW21:AW31" si="31">IF(AV21="",AU21,AV21)</f>
        <v>0</v>
      </c>
      <c r="AX21" s="200">
        <f t="shared" si="10"/>
        <v>0</v>
      </c>
      <c r="AY21" s="203"/>
      <c r="AZ21" s="204">
        <f t="shared" ref="AZ21:AZ31" si="32">IF(AY21="",AX21,AY21)</f>
        <v>0</v>
      </c>
      <c r="BA21" s="204">
        <f t="shared" si="11"/>
        <v>0</v>
      </c>
      <c r="BB21" s="203"/>
      <c r="BC21" s="204">
        <f t="shared" ref="BC21:BC31" si="33">IF(BB21="",BA21,BB21)</f>
        <v>0</v>
      </c>
      <c r="BD21" s="204">
        <f t="shared" si="12"/>
        <v>0</v>
      </c>
      <c r="BE21" s="203"/>
      <c r="BF21" s="204">
        <f t="shared" ref="BF21:BF31" si="34">IF(BE21="",BD21,BE21)</f>
        <v>0</v>
      </c>
      <c r="BG21" s="204">
        <f t="shared" si="13"/>
        <v>0</v>
      </c>
      <c r="BH21" s="203"/>
      <c r="BI21" s="204">
        <f t="shared" ref="BI21:BI31" si="35">IF(BH21="",BG21,BH21)</f>
        <v>0</v>
      </c>
      <c r="BJ21" s="204">
        <f t="shared" si="14"/>
        <v>0</v>
      </c>
      <c r="BK21" s="203"/>
      <c r="BL21" s="204">
        <f t="shared" ref="BL21:BL31" si="36">IF(BK21="",BJ21,BK21)</f>
        <v>0</v>
      </c>
      <c r="BM21" s="207">
        <f t="shared" ref="BM21:BM31" si="37">AZ21+BC21+BF21+BI21+BL21</f>
        <v>0</v>
      </c>
      <c r="BN21" s="202">
        <f t="shared" ref="BN21:BN31" si="38">AW21+BM21</f>
        <v>0</v>
      </c>
      <c r="BO21" s="177"/>
      <c r="BP21" s="200">
        <f t="shared" si="15"/>
        <v>0</v>
      </c>
      <c r="BQ21" s="201"/>
      <c r="BR21" s="206">
        <f t="shared" ref="BR21:BR31" si="39">IF(BQ21="",BP21,BQ21)</f>
        <v>0</v>
      </c>
      <c r="BS21" s="204">
        <f t="shared" si="16"/>
        <v>0</v>
      </c>
      <c r="BT21" s="203"/>
      <c r="BU21" s="204">
        <f t="shared" ref="BU21:BU31" si="40">IF(BT21="",BS21,BT21)</f>
        <v>0</v>
      </c>
      <c r="BV21" s="204">
        <f t="shared" si="17"/>
        <v>0</v>
      </c>
      <c r="BW21" s="203"/>
      <c r="BX21" s="204">
        <f t="shared" ref="BX21:BX31" si="41">IF(BW21="",BV21,BW21)</f>
        <v>0</v>
      </c>
      <c r="BY21" s="204">
        <f t="shared" si="18"/>
        <v>0</v>
      </c>
      <c r="BZ21" s="203"/>
      <c r="CA21" s="204">
        <f t="shared" ref="CA21:CA31" si="42">IF(BZ21="",BY21,BZ21)</f>
        <v>0</v>
      </c>
      <c r="CB21" s="204">
        <f t="shared" si="19"/>
        <v>0</v>
      </c>
      <c r="CC21" s="203"/>
      <c r="CD21" s="204">
        <f t="shared" ref="CD21:CD31" si="43">IF(CC21="",CB21,CC21)</f>
        <v>0</v>
      </c>
      <c r="CE21" s="175">
        <f t="shared" ref="CE21:CE31" si="44">BR21+BU21+BX21+CA21+CD21</f>
        <v>0</v>
      </c>
      <c r="CF21" s="200">
        <f t="shared" si="20"/>
        <v>0</v>
      </c>
      <c r="CG21" s="203"/>
      <c r="CH21" s="207">
        <f t="shared" ref="CH21:CH31" si="45">IF(CG21="",CF21,CG21)</f>
        <v>0</v>
      </c>
      <c r="CI21" s="182"/>
      <c r="CJ21" s="208">
        <f t="shared" ref="CJ21:CJ31" si="46">BN21+CE21+CH21</f>
        <v>0</v>
      </c>
      <c r="CK21" s="200">
        <f t="shared" si="21"/>
        <v>0</v>
      </c>
      <c r="CL21" s="201"/>
      <c r="CM21" s="202">
        <f t="shared" ref="CM21:CM31" si="47">IF(CL21="",CK21,CL21)</f>
        <v>0</v>
      </c>
      <c r="CN21" s="200">
        <f t="shared" si="22"/>
        <v>0</v>
      </c>
      <c r="CO21" s="203"/>
      <c r="CP21" s="207">
        <f t="shared" ref="CP21:CP31" si="48">IF(CO21="",CN21,CO21)</f>
        <v>0</v>
      </c>
      <c r="CQ21" s="401">
        <f t="shared" ref="CQ21:CQ31" si="49">AW21+BM21+CE21+CH21-CM21-CP21</f>
        <v>0</v>
      </c>
      <c r="CR21" s="185" t="str">
        <f t="shared" si="23"/>
        <v/>
      </c>
      <c r="CS21" s="186"/>
      <c r="CT21" s="187" t="str">
        <f t="shared" ref="CT21:CT31" si="50">IF(CS21="",CR21,CS21)</f>
        <v/>
      </c>
      <c r="CU21" s="188" t="str">
        <f t="shared" si="24"/>
        <v/>
      </c>
      <c r="CV21" s="189"/>
      <c r="CW21" s="190" t="str">
        <f t="shared" ref="CW21:CW31" si="51">IF(CV21="",CU21,CV21)</f>
        <v/>
      </c>
      <c r="CX21" s="408" t="str">
        <f t="shared" ref="CX21:CX31" si="52">IF(DD21=0,"",DD21)</f>
        <v/>
      </c>
      <c r="CY21" s="210"/>
      <c r="DA21" s="53">
        <f>IF(AND(CT21&lt;&gt;"",OR(CT21&lt;EXPEDIENTE!$I$25,CT21&gt;EXPEDIENTE!$I$29)),1,0)</f>
        <v>0</v>
      </c>
      <c r="DB21" s="53">
        <f>IF(AND(CW21&lt;&gt;"",OR(CW21&lt;EXPEDIENTE!$I$25,CW21&gt;EXPEDIENTE!$I$29)),1,0)</f>
        <v>0</v>
      </c>
      <c r="DD21" s="55">
        <f t="shared" ref="DD21:DD31" si="53">SUM(DE21:DU21)</f>
        <v>0</v>
      </c>
      <c r="DE21" s="55">
        <f t="shared" ref="DE21:DE31" si="54">IF(AS21="",0,1)</f>
        <v>0</v>
      </c>
      <c r="DF21" s="55">
        <f t="shared" ref="DF21:DF31" si="55">IF(AV21="",0,1)</f>
        <v>0</v>
      </c>
      <c r="DG21" s="55">
        <f t="shared" ref="DG21:DG31" si="56">IF(AY21="",0,1)</f>
        <v>0</v>
      </c>
      <c r="DH21" s="55">
        <f t="shared" ref="DH21:DH31" si="57">IF(BB21="",0,1)</f>
        <v>0</v>
      </c>
      <c r="DI21" s="55">
        <f t="shared" ref="DI21:DI31" si="58">IF(BE21="",0,1)</f>
        <v>0</v>
      </c>
      <c r="DJ21" s="55">
        <f t="shared" ref="DJ21:DJ31" si="59">IF(BH21="",0,1)</f>
        <v>0</v>
      </c>
      <c r="DK21" s="55">
        <f t="shared" ref="DK21:DK31" si="60">IF(BK21="",0,1)</f>
        <v>0</v>
      </c>
      <c r="DL21" s="55">
        <f t="shared" ref="DL21:DL31" si="61">IF(BQ21="",0,1)</f>
        <v>0</v>
      </c>
      <c r="DM21" s="55">
        <f t="shared" ref="DM21:DM31" si="62">IF(BT21="",0,1)</f>
        <v>0</v>
      </c>
      <c r="DN21" s="55">
        <f t="shared" ref="DN21:DN31" si="63">IF(BW21="",0,1)</f>
        <v>0</v>
      </c>
      <c r="DO21" s="55">
        <f t="shared" ref="DO21:DO31" si="64">IF(BZ21="",0,1)</f>
        <v>0</v>
      </c>
      <c r="DP21" s="55">
        <f t="shared" ref="DP21:DP31" si="65">IF(CC21="",0,1)</f>
        <v>0</v>
      </c>
      <c r="DQ21" s="55">
        <f t="shared" ref="DQ21:DQ31" si="66">IF(CG21="",0,1)</f>
        <v>0</v>
      </c>
      <c r="DR21" s="55">
        <f t="shared" ref="DR21:DR31" si="67">IF(CL21="",0,1)</f>
        <v>0</v>
      </c>
      <c r="DS21" s="55">
        <f t="shared" ref="DS21:DS31" si="68">IF(CO21="",0,1)</f>
        <v>0</v>
      </c>
      <c r="DT21" s="55">
        <f t="shared" ref="DT21:DT31" si="69">IF(CS21="",0,1)</f>
        <v>0</v>
      </c>
      <c r="DU21" s="55">
        <f t="shared" ref="DU21:DU31" si="70">IF(CV21="",0,1)</f>
        <v>0</v>
      </c>
      <c r="DW21" s="55">
        <f>IF(CY21&lt;&gt;"",MAX($DW$9:DW20)+1,0)</f>
        <v>0</v>
      </c>
      <c r="DX21" s="130" t="str">
        <f t="shared" ref="DX21:DX31" si="71">IF(DW21=0,"",CY21)</f>
        <v/>
      </c>
    </row>
    <row r="22" spans="2:128" ht="30" customHeight="1" x14ac:dyDescent="0.25">
      <c r="B22" s="972"/>
      <c r="C22" s="981" t="s">
        <v>272</v>
      </c>
      <c r="D22" s="982"/>
      <c r="E22" s="193"/>
      <c r="F22" s="194"/>
      <c r="G22" s="195"/>
      <c r="H22" s="195"/>
      <c r="I22" s="195"/>
      <c r="J22" s="195"/>
      <c r="K22" s="195"/>
      <c r="L22" s="203">
        <f t="shared" si="26"/>
        <v>0</v>
      </c>
      <c r="M22" s="205">
        <f t="shared" ref="M22:M31" si="72">F22+L22</f>
        <v>0</v>
      </c>
      <c r="N22" s="161"/>
      <c r="O22" s="194"/>
      <c r="P22" s="195"/>
      <c r="Q22" s="195"/>
      <c r="R22" s="195"/>
      <c r="S22" s="195"/>
      <c r="T22" s="203">
        <f t="shared" si="27"/>
        <v>0</v>
      </c>
      <c r="U22" s="196"/>
      <c r="V22" s="163"/>
      <c r="W22" s="205">
        <f t="shared" ref="W22:W31" si="73">M22+T22+U22</f>
        <v>0</v>
      </c>
      <c r="X22" s="194"/>
      <c r="Y22" s="195"/>
      <c r="Z22" s="203">
        <f t="shared" si="28"/>
        <v>0</v>
      </c>
      <c r="AA22" s="164"/>
      <c r="AB22" s="165"/>
      <c r="AC22" s="322"/>
      <c r="AD22" s="323"/>
      <c r="AE22" s="327"/>
      <c r="AF22" s="357"/>
      <c r="AG22" s="53">
        <f>IF(AND(AA22&lt;&gt;"",OR(AA22&lt;EXPEDIENTE!$I$25,AA22&gt;EXPEDIENTE!$I$29)),1,0)</f>
        <v>0</v>
      </c>
      <c r="AH22" s="53">
        <f>IF(AND(AB22&lt;&gt;"",OR(AB22&lt;EXPEDIENTE!$I$25,AB22&gt;EXPEDIENTE!$I$29)),1,0)</f>
        <v>0</v>
      </c>
      <c r="AI22" s="53">
        <f>IF(DATE(YEAR(EXPEDIENTE!$I$25),MONTH(DATEVALUE($C22&amp;"1")),1)&gt;=DATE(YEAR(EXPEDIENTE!$I$25),MONTH(EXPEDIENTE!$I$25),1),0,1)</f>
        <v>0</v>
      </c>
      <c r="AJ22" s="53" t="e">
        <f>IF(DATE(YEAR(EXPEDIENTE!$I$25),MONTH(DATEVALUE($C22&amp;"1")),1)&lt;=DATE(YEAR(EXPEDIENTE!$I$29),MONTH(EXPEDIENTE!$I$29),1),0,1)</f>
        <v>#VALUE!</v>
      </c>
      <c r="AK22" s="53" t="e">
        <f t="shared" si="29"/>
        <v>#VALUE!</v>
      </c>
      <c r="AM22" s="1014"/>
      <c r="AN22" s="859" t="s">
        <v>272</v>
      </c>
      <c r="AO22" s="860"/>
      <c r="AP22" s="855"/>
      <c r="AQ22" s="856"/>
      <c r="AR22" s="198">
        <f t="shared" si="8"/>
        <v>0</v>
      </c>
      <c r="AS22" s="85"/>
      <c r="AT22" s="199">
        <f t="shared" si="30"/>
        <v>0</v>
      </c>
      <c r="AU22" s="200">
        <f t="shared" si="9"/>
        <v>0</v>
      </c>
      <c r="AV22" s="201"/>
      <c r="AW22" s="202">
        <f t="shared" si="31"/>
        <v>0</v>
      </c>
      <c r="AX22" s="200">
        <f t="shared" si="10"/>
        <v>0</v>
      </c>
      <c r="AY22" s="203"/>
      <c r="AZ22" s="204">
        <f t="shared" si="32"/>
        <v>0</v>
      </c>
      <c r="BA22" s="204">
        <f t="shared" si="11"/>
        <v>0</v>
      </c>
      <c r="BB22" s="203"/>
      <c r="BC22" s="204">
        <f t="shared" si="33"/>
        <v>0</v>
      </c>
      <c r="BD22" s="204">
        <f t="shared" si="12"/>
        <v>0</v>
      </c>
      <c r="BE22" s="203"/>
      <c r="BF22" s="204">
        <f t="shared" si="34"/>
        <v>0</v>
      </c>
      <c r="BG22" s="204">
        <f t="shared" si="13"/>
        <v>0</v>
      </c>
      <c r="BH22" s="203"/>
      <c r="BI22" s="204">
        <f t="shared" si="35"/>
        <v>0</v>
      </c>
      <c r="BJ22" s="204">
        <f t="shared" si="14"/>
        <v>0</v>
      </c>
      <c r="BK22" s="203"/>
      <c r="BL22" s="204">
        <f t="shared" si="36"/>
        <v>0</v>
      </c>
      <c r="BM22" s="207">
        <f t="shared" si="37"/>
        <v>0</v>
      </c>
      <c r="BN22" s="202">
        <f t="shared" si="38"/>
        <v>0</v>
      </c>
      <c r="BO22" s="177"/>
      <c r="BP22" s="200">
        <f t="shared" si="15"/>
        <v>0</v>
      </c>
      <c r="BQ22" s="201"/>
      <c r="BR22" s="206">
        <f t="shared" si="39"/>
        <v>0</v>
      </c>
      <c r="BS22" s="204">
        <f t="shared" si="16"/>
        <v>0</v>
      </c>
      <c r="BT22" s="203"/>
      <c r="BU22" s="204">
        <f t="shared" si="40"/>
        <v>0</v>
      </c>
      <c r="BV22" s="204">
        <f t="shared" si="17"/>
        <v>0</v>
      </c>
      <c r="BW22" s="203"/>
      <c r="BX22" s="204">
        <f t="shared" si="41"/>
        <v>0</v>
      </c>
      <c r="BY22" s="204">
        <f t="shared" si="18"/>
        <v>0</v>
      </c>
      <c r="BZ22" s="203"/>
      <c r="CA22" s="204">
        <f t="shared" si="42"/>
        <v>0</v>
      </c>
      <c r="CB22" s="204">
        <f t="shared" si="19"/>
        <v>0</v>
      </c>
      <c r="CC22" s="203"/>
      <c r="CD22" s="204">
        <f t="shared" si="43"/>
        <v>0</v>
      </c>
      <c r="CE22" s="175">
        <f t="shared" si="44"/>
        <v>0</v>
      </c>
      <c r="CF22" s="200">
        <f t="shared" si="20"/>
        <v>0</v>
      </c>
      <c r="CG22" s="203"/>
      <c r="CH22" s="207">
        <f t="shared" si="45"/>
        <v>0</v>
      </c>
      <c r="CI22" s="182"/>
      <c r="CJ22" s="208">
        <f t="shared" si="46"/>
        <v>0</v>
      </c>
      <c r="CK22" s="200">
        <f t="shared" si="21"/>
        <v>0</v>
      </c>
      <c r="CL22" s="201"/>
      <c r="CM22" s="202">
        <f t="shared" si="47"/>
        <v>0</v>
      </c>
      <c r="CN22" s="200">
        <f t="shared" si="22"/>
        <v>0</v>
      </c>
      <c r="CO22" s="203"/>
      <c r="CP22" s="207">
        <f t="shared" si="48"/>
        <v>0</v>
      </c>
      <c r="CQ22" s="401">
        <f t="shared" si="49"/>
        <v>0</v>
      </c>
      <c r="CR22" s="185" t="str">
        <f t="shared" si="23"/>
        <v/>
      </c>
      <c r="CS22" s="186"/>
      <c r="CT22" s="187" t="str">
        <f t="shared" si="50"/>
        <v/>
      </c>
      <c r="CU22" s="188" t="str">
        <f t="shared" si="24"/>
        <v/>
      </c>
      <c r="CV22" s="189"/>
      <c r="CW22" s="190" t="str">
        <f t="shared" si="51"/>
        <v/>
      </c>
      <c r="CX22" s="408" t="str">
        <f t="shared" si="52"/>
        <v/>
      </c>
      <c r="CY22" s="210"/>
      <c r="DA22" s="53">
        <f>IF(AND(CT22&lt;&gt;"",OR(CT22&lt;EXPEDIENTE!$I$25,CT22&gt;EXPEDIENTE!$I$29)),1,0)</f>
        <v>0</v>
      </c>
      <c r="DB22" s="53">
        <f>IF(AND(CW22&lt;&gt;"",OR(CW22&lt;EXPEDIENTE!$I$25,CW22&gt;EXPEDIENTE!$I$29)),1,0)</f>
        <v>0</v>
      </c>
      <c r="DD22" s="55">
        <f t="shared" si="53"/>
        <v>0</v>
      </c>
      <c r="DE22" s="55">
        <f t="shared" si="54"/>
        <v>0</v>
      </c>
      <c r="DF22" s="55">
        <f t="shared" si="55"/>
        <v>0</v>
      </c>
      <c r="DG22" s="55">
        <f t="shared" si="56"/>
        <v>0</v>
      </c>
      <c r="DH22" s="55">
        <f t="shared" si="57"/>
        <v>0</v>
      </c>
      <c r="DI22" s="55">
        <f t="shared" si="58"/>
        <v>0</v>
      </c>
      <c r="DJ22" s="55">
        <f t="shared" si="59"/>
        <v>0</v>
      </c>
      <c r="DK22" s="55">
        <f t="shared" si="60"/>
        <v>0</v>
      </c>
      <c r="DL22" s="55">
        <f t="shared" si="61"/>
        <v>0</v>
      </c>
      <c r="DM22" s="55">
        <f t="shared" si="62"/>
        <v>0</v>
      </c>
      <c r="DN22" s="55">
        <f t="shared" si="63"/>
        <v>0</v>
      </c>
      <c r="DO22" s="55">
        <f t="shared" si="64"/>
        <v>0</v>
      </c>
      <c r="DP22" s="55">
        <f t="shared" si="65"/>
        <v>0</v>
      </c>
      <c r="DQ22" s="55">
        <f t="shared" si="66"/>
        <v>0</v>
      </c>
      <c r="DR22" s="55">
        <f t="shared" si="67"/>
        <v>0</v>
      </c>
      <c r="DS22" s="55">
        <f t="shared" si="68"/>
        <v>0</v>
      </c>
      <c r="DT22" s="55">
        <f t="shared" si="69"/>
        <v>0</v>
      </c>
      <c r="DU22" s="55">
        <f t="shared" si="70"/>
        <v>0</v>
      </c>
      <c r="DW22" s="55">
        <f>IF(CY22&lt;&gt;"",MAX($DW$9:DW21)+1,0)</f>
        <v>0</v>
      </c>
      <c r="DX22" s="130" t="str">
        <f t="shared" si="71"/>
        <v/>
      </c>
    </row>
    <row r="23" spans="2:128" ht="30" customHeight="1" x14ac:dyDescent="0.25">
      <c r="B23" s="972"/>
      <c r="C23" s="981" t="s">
        <v>273</v>
      </c>
      <c r="D23" s="982"/>
      <c r="E23" s="193"/>
      <c r="F23" s="194"/>
      <c r="G23" s="195"/>
      <c r="H23" s="195"/>
      <c r="I23" s="195"/>
      <c r="J23" s="195"/>
      <c r="K23" s="195"/>
      <c r="L23" s="203">
        <f t="shared" si="26"/>
        <v>0</v>
      </c>
      <c r="M23" s="205">
        <f t="shared" si="72"/>
        <v>0</v>
      </c>
      <c r="N23" s="161"/>
      <c r="O23" s="194"/>
      <c r="P23" s="195"/>
      <c r="Q23" s="195"/>
      <c r="R23" s="195"/>
      <c r="S23" s="195"/>
      <c r="T23" s="203">
        <f t="shared" si="27"/>
        <v>0</v>
      </c>
      <c r="U23" s="196"/>
      <c r="V23" s="163"/>
      <c r="W23" s="205">
        <f t="shared" si="73"/>
        <v>0</v>
      </c>
      <c r="X23" s="194"/>
      <c r="Y23" s="195"/>
      <c r="Z23" s="203">
        <f t="shared" si="28"/>
        <v>0</v>
      </c>
      <c r="AA23" s="164"/>
      <c r="AB23" s="165"/>
      <c r="AC23" s="322"/>
      <c r="AD23" s="323"/>
      <c r="AE23" s="327"/>
      <c r="AF23" s="357"/>
      <c r="AG23" s="53">
        <f>IF(AND(AA23&lt;&gt;"",OR(AA23&lt;EXPEDIENTE!$I$25,AA23&gt;EXPEDIENTE!$I$29)),1,0)</f>
        <v>0</v>
      </c>
      <c r="AH23" s="53">
        <f>IF(AND(AB23&lt;&gt;"",OR(AB23&lt;EXPEDIENTE!$I$25,AB23&gt;EXPEDIENTE!$I$29)),1,0)</f>
        <v>0</v>
      </c>
      <c r="AI23" s="53">
        <f>IF(DATE(YEAR(EXPEDIENTE!$I$25),MONTH(DATEVALUE($C23&amp;"1")),1)&gt;=DATE(YEAR(EXPEDIENTE!$I$25),MONTH(EXPEDIENTE!$I$25),1),0,1)</f>
        <v>0</v>
      </c>
      <c r="AJ23" s="53" t="e">
        <f>IF(DATE(YEAR(EXPEDIENTE!$I$25),MONTH(DATEVALUE($C23&amp;"1")),1)&lt;=DATE(YEAR(EXPEDIENTE!$I$29),MONTH(EXPEDIENTE!$I$29),1),0,1)</f>
        <v>#VALUE!</v>
      </c>
      <c r="AK23" s="53" t="e">
        <f t="shared" si="29"/>
        <v>#VALUE!</v>
      </c>
      <c r="AM23" s="1014"/>
      <c r="AN23" s="859" t="s">
        <v>273</v>
      </c>
      <c r="AO23" s="860"/>
      <c r="AP23" s="855"/>
      <c r="AQ23" s="856"/>
      <c r="AR23" s="198">
        <f t="shared" si="8"/>
        <v>0</v>
      </c>
      <c r="AS23" s="85"/>
      <c r="AT23" s="199">
        <f t="shared" si="30"/>
        <v>0</v>
      </c>
      <c r="AU23" s="200">
        <f t="shared" si="9"/>
        <v>0</v>
      </c>
      <c r="AV23" s="201"/>
      <c r="AW23" s="202">
        <f t="shared" si="31"/>
        <v>0</v>
      </c>
      <c r="AX23" s="200">
        <f t="shared" si="10"/>
        <v>0</v>
      </c>
      <c r="AY23" s="203"/>
      <c r="AZ23" s="204">
        <f t="shared" si="32"/>
        <v>0</v>
      </c>
      <c r="BA23" s="204">
        <f t="shared" si="11"/>
        <v>0</v>
      </c>
      <c r="BB23" s="203"/>
      <c r="BC23" s="204">
        <f t="shared" si="33"/>
        <v>0</v>
      </c>
      <c r="BD23" s="204">
        <f t="shared" si="12"/>
        <v>0</v>
      </c>
      <c r="BE23" s="203"/>
      <c r="BF23" s="204">
        <f t="shared" si="34"/>
        <v>0</v>
      </c>
      <c r="BG23" s="204">
        <f t="shared" si="13"/>
        <v>0</v>
      </c>
      <c r="BH23" s="203"/>
      <c r="BI23" s="204">
        <f t="shared" si="35"/>
        <v>0</v>
      </c>
      <c r="BJ23" s="204">
        <f t="shared" si="14"/>
        <v>0</v>
      </c>
      <c r="BK23" s="203"/>
      <c r="BL23" s="204">
        <f t="shared" si="36"/>
        <v>0</v>
      </c>
      <c r="BM23" s="207">
        <f t="shared" si="37"/>
        <v>0</v>
      </c>
      <c r="BN23" s="202">
        <f t="shared" si="38"/>
        <v>0</v>
      </c>
      <c r="BO23" s="177"/>
      <c r="BP23" s="200">
        <f t="shared" si="15"/>
        <v>0</v>
      </c>
      <c r="BQ23" s="201"/>
      <c r="BR23" s="206">
        <f t="shared" si="39"/>
        <v>0</v>
      </c>
      <c r="BS23" s="204">
        <f t="shared" si="16"/>
        <v>0</v>
      </c>
      <c r="BT23" s="203"/>
      <c r="BU23" s="204">
        <f t="shared" si="40"/>
        <v>0</v>
      </c>
      <c r="BV23" s="204">
        <f t="shared" si="17"/>
        <v>0</v>
      </c>
      <c r="BW23" s="203"/>
      <c r="BX23" s="204">
        <f t="shared" si="41"/>
        <v>0</v>
      </c>
      <c r="BY23" s="204">
        <f t="shared" si="18"/>
        <v>0</v>
      </c>
      <c r="BZ23" s="203"/>
      <c r="CA23" s="204">
        <f t="shared" si="42"/>
        <v>0</v>
      </c>
      <c r="CB23" s="204">
        <f t="shared" si="19"/>
        <v>0</v>
      </c>
      <c r="CC23" s="203"/>
      <c r="CD23" s="204">
        <f t="shared" si="43"/>
        <v>0</v>
      </c>
      <c r="CE23" s="175">
        <f t="shared" si="44"/>
        <v>0</v>
      </c>
      <c r="CF23" s="200">
        <f t="shared" si="20"/>
        <v>0</v>
      </c>
      <c r="CG23" s="203"/>
      <c r="CH23" s="207">
        <f t="shared" si="45"/>
        <v>0</v>
      </c>
      <c r="CI23" s="182"/>
      <c r="CJ23" s="208">
        <f t="shared" si="46"/>
        <v>0</v>
      </c>
      <c r="CK23" s="200">
        <f t="shared" si="21"/>
        <v>0</v>
      </c>
      <c r="CL23" s="201"/>
      <c r="CM23" s="202">
        <f t="shared" si="47"/>
        <v>0</v>
      </c>
      <c r="CN23" s="200">
        <f t="shared" si="22"/>
        <v>0</v>
      </c>
      <c r="CO23" s="203"/>
      <c r="CP23" s="207">
        <f t="shared" si="48"/>
        <v>0</v>
      </c>
      <c r="CQ23" s="401">
        <f t="shared" si="49"/>
        <v>0</v>
      </c>
      <c r="CR23" s="185" t="str">
        <f t="shared" si="23"/>
        <v/>
      </c>
      <c r="CS23" s="186"/>
      <c r="CT23" s="187" t="str">
        <f t="shared" si="50"/>
        <v/>
      </c>
      <c r="CU23" s="188" t="str">
        <f t="shared" si="24"/>
        <v/>
      </c>
      <c r="CV23" s="189"/>
      <c r="CW23" s="190" t="str">
        <f t="shared" si="51"/>
        <v/>
      </c>
      <c r="CX23" s="408" t="str">
        <f t="shared" si="52"/>
        <v/>
      </c>
      <c r="CY23" s="210"/>
      <c r="DA23" s="53">
        <f>IF(AND(CT23&lt;&gt;"",OR(CT23&lt;EXPEDIENTE!$I$25,CT23&gt;EXPEDIENTE!$I$29)),1,0)</f>
        <v>0</v>
      </c>
      <c r="DB23" s="53">
        <f>IF(AND(CW23&lt;&gt;"",OR(CW23&lt;EXPEDIENTE!$I$25,CW23&gt;EXPEDIENTE!$I$29)),1,0)</f>
        <v>0</v>
      </c>
      <c r="DD23" s="55">
        <f t="shared" si="53"/>
        <v>0</v>
      </c>
      <c r="DE23" s="55">
        <f t="shared" si="54"/>
        <v>0</v>
      </c>
      <c r="DF23" s="55">
        <f t="shared" si="55"/>
        <v>0</v>
      </c>
      <c r="DG23" s="55">
        <f t="shared" si="56"/>
        <v>0</v>
      </c>
      <c r="DH23" s="55">
        <f t="shared" si="57"/>
        <v>0</v>
      </c>
      <c r="DI23" s="55">
        <f t="shared" si="58"/>
        <v>0</v>
      </c>
      <c r="DJ23" s="55">
        <f t="shared" si="59"/>
        <v>0</v>
      </c>
      <c r="DK23" s="55">
        <f t="shared" si="60"/>
        <v>0</v>
      </c>
      <c r="DL23" s="55">
        <f t="shared" si="61"/>
        <v>0</v>
      </c>
      <c r="DM23" s="55">
        <f t="shared" si="62"/>
        <v>0</v>
      </c>
      <c r="DN23" s="55">
        <f t="shared" si="63"/>
        <v>0</v>
      </c>
      <c r="DO23" s="55">
        <f t="shared" si="64"/>
        <v>0</v>
      </c>
      <c r="DP23" s="55">
        <f t="shared" si="65"/>
        <v>0</v>
      </c>
      <c r="DQ23" s="55">
        <f t="shared" si="66"/>
        <v>0</v>
      </c>
      <c r="DR23" s="55">
        <f t="shared" si="67"/>
        <v>0</v>
      </c>
      <c r="DS23" s="55">
        <f t="shared" si="68"/>
        <v>0</v>
      </c>
      <c r="DT23" s="55">
        <f t="shared" si="69"/>
        <v>0</v>
      </c>
      <c r="DU23" s="55">
        <f t="shared" si="70"/>
        <v>0</v>
      </c>
      <c r="DW23" s="55">
        <f>IF(CY23&lt;&gt;"",MAX($DW$9:DW22)+1,0)</f>
        <v>0</v>
      </c>
      <c r="DX23" s="130" t="str">
        <f t="shared" si="71"/>
        <v/>
      </c>
    </row>
    <row r="24" spans="2:128" ht="30" customHeight="1" x14ac:dyDescent="0.25">
      <c r="B24" s="972"/>
      <c r="C24" s="981" t="s">
        <v>274</v>
      </c>
      <c r="D24" s="982"/>
      <c r="E24" s="193"/>
      <c r="F24" s="194"/>
      <c r="G24" s="195"/>
      <c r="H24" s="195"/>
      <c r="I24" s="195"/>
      <c r="J24" s="195"/>
      <c r="K24" s="195"/>
      <c r="L24" s="203">
        <f t="shared" si="26"/>
        <v>0</v>
      </c>
      <c r="M24" s="205">
        <f t="shared" si="72"/>
        <v>0</v>
      </c>
      <c r="N24" s="161"/>
      <c r="O24" s="194"/>
      <c r="P24" s="195"/>
      <c r="Q24" s="195"/>
      <c r="R24" s="195"/>
      <c r="S24" s="195"/>
      <c r="T24" s="203">
        <f t="shared" si="27"/>
        <v>0</v>
      </c>
      <c r="U24" s="196"/>
      <c r="V24" s="163"/>
      <c r="W24" s="205">
        <f t="shared" si="73"/>
        <v>0</v>
      </c>
      <c r="X24" s="194"/>
      <c r="Y24" s="195"/>
      <c r="Z24" s="203">
        <f t="shared" si="28"/>
        <v>0</v>
      </c>
      <c r="AA24" s="164"/>
      <c r="AB24" s="165"/>
      <c r="AC24" s="322"/>
      <c r="AD24" s="323"/>
      <c r="AE24" s="327"/>
      <c r="AF24" s="357"/>
      <c r="AG24" s="53">
        <f>IF(AND(AA24&lt;&gt;"",OR(AA24&lt;EXPEDIENTE!$I$25,AA24&gt;EXPEDIENTE!$I$29)),1,0)</f>
        <v>0</v>
      </c>
      <c r="AH24" s="53">
        <f>IF(AND(AB24&lt;&gt;"",OR(AB24&lt;EXPEDIENTE!$I$25,AB24&gt;EXPEDIENTE!$I$29)),1,0)</f>
        <v>0</v>
      </c>
      <c r="AI24" s="53">
        <f>IF(DATE(YEAR(EXPEDIENTE!$I$25),MONTH(DATEVALUE($C24&amp;"1")),1)&gt;=DATE(YEAR(EXPEDIENTE!$I$25),MONTH(EXPEDIENTE!$I$25),1),0,1)</f>
        <v>0</v>
      </c>
      <c r="AJ24" s="53" t="e">
        <f>IF(DATE(YEAR(EXPEDIENTE!$I$25),MONTH(DATEVALUE($C24&amp;"1")),1)&lt;=DATE(YEAR(EXPEDIENTE!$I$29),MONTH(EXPEDIENTE!$I$29),1),0,1)</f>
        <v>#VALUE!</v>
      </c>
      <c r="AK24" s="53" t="e">
        <f t="shared" si="29"/>
        <v>#VALUE!</v>
      </c>
      <c r="AM24" s="1014"/>
      <c r="AN24" s="859" t="s">
        <v>274</v>
      </c>
      <c r="AO24" s="860"/>
      <c r="AP24" s="855"/>
      <c r="AQ24" s="856"/>
      <c r="AR24" s="198">
        <f t="shared" si="8"/>
        <v>0</v>
      </c>
      <c r="AS24" s="85"/>
      <c r="AT24" s="199">
        <f t="shared" si="30"/>
        <v>0</v>
      </c>
      <c r="AU24" s="200">
        <f t="shared" si="9"/>
        <v>0</v>
      </c>
      <c r="AV24" s="201"/>
      <c r="AW24" s="202">
        <f t="shared" si="31"/>
        <v>0</v>
      </c>
      <c r="AX24" s="200">
        <f t="shared" si="10"/>
        <v>0</v>
      </c>
      <c r="AY24" s="203"/>
      <c r="AZ24" s="204">
        <f t="shared" si="32"/>
        <v>0</v>
      </c>
      <c r="BA24" s="204">
        <f t="shared" si="11"/>
        <v>0</v>
      </c>
      <c r="BB24" s="203"/>
      <c r="BC24" s="204">
        <f t="shared" si="33"/>
        <v>0</v>
      </c>
      <c r="BD24" s="204">
        <f t="shared" si="12"/>
        <v>0</v>
      </c>
      <c r="BE24" s="203"/>
      <c r="BF24" s="204">
        <f t="shared" si="34"/>
        <v>0</v>
      </c>
      <c r="BG24" s="204">
        <f t="shared" si="13"/>
        <v>0</v>
      </c>
      <c r="BH24" s="203"/>
      <c r="BI24" s="204">
        <f t="shared" si="35"/>
        <v>0</v>
      </c>
      <c r="BJ24" s="204">
        <f t="shared" si="14"/>
        <v>0</v>
      </c>
      <c r="BK24" s="203"/>
      <c r="BL24" s="204">
        <f t="shared" si="36"/>
        <v>0</v>
      </c>
      <c r="BM24" s="207">
        <f t="shared" si="37"/>
        <v>0</v>
      </c>
      <c r="BN24" s="202">
        <f t="shared" si="38"/>
        <v>0</v>
      </c>
      <c r="BO24" s="177"/>
      <c r="BP24" s="200">
        <f t="shared" si="15"/>
        <v>0</v>
      </c>
      <c r="BQ24" s="201"/>
      <c r="BR24" s="206">
        <f t="shared" si="39"/>
        <v>0</v>
      </c>
      <c r="BS24" s="204">
        <f t="shared" si="16"/>
        <v>0</v>
      </c>
      <c r="BT24" s="203"/>
      <c r="BU24" s="204">
        <f t="shared" si="40"/>
        <v>0</v>
      </c>
      <c r="BV24" s="204">
        <f t="shared" si="17"/>
        <v>0</v>
      </c>
      <c r="BW24" s="203"/>
      <c r="BX24" s="204">
        <f t="shared" si="41"/>
        <v>0</v>
      </c>
      <c r="BY24" s="204">
        <f t="shared" si="18"/>
        <v>0</v>
      </c>
      <c r="BZ24" s="203"/>
      <c r="CA24" s="204">
        <f t="shared" si="42"/>
        <v>0</v>
      </c>
      <c r="CB24" s="204">
        <f t="shared" si="19"/>
        <v>0</v>
      </c>
      <c r="CC24" s="203"/>
      <c r="CD24" s="204">
        <f t="shared" si="43"/>
        <v>0</v>
      </c>
      <c r="CE24" s="175">
        <f t="shared" si="44"/>
        <v>0</v>
      </c>
      <c r="CF24" s="200">
        <f t="shared" si="20"/>
        <v>0</v>
      </c>
      <c r="CG24" s="203"/>
      <c r="CH24" s="207">
        <f t="shared" si="45"/>
        <v>0</v>
      </c>
      <c r="CI24" s="182"/>
      <c r="CJ24" s="208">
        <f t="shared" si="46"/>
        <v>0</v>
      </c>
      <c r="CK24" s="200">
        <f t="shared" si="21"/>
        <v>0</v>
      </c>
      <c r="CL24" s="201"/>
      <c r="CM24" s="202">
        <f t="shared" si="47"/>
        <v>0</v>
      </c>
      <c r="CN24" s="200">
        <f t="shared" si="22"/>
        <v>0</v>
      </c>
      <c r="CO24" s="203"/>
      <c r="CP24" s="207">
        <f t="shared" si="48"/>
        <v>0</v>
      </c>
      <c r="CQ24" s="401">
        <f t="shared" si="49"/>
        <v>0</v>
      </c>
      <c r="CR24" s="185" t="str">
        <f t="shared" si="23"/>
        <v/>
      </c>
      <c r="CS24" s="186"/>
      <c r="CT24" s="187" t="str">
        <f t="shared" si="50"/>
        <v/>
      </c>
      <c r="CU24" s="188" t="str">
        <f t="shared" si="24"/>
        <v/>
      </c>
      <c r="CV24" s="189"/>
      <c r="CW24" s="190" t="str">
        <f t="shared" si="51"/>
        <v/>
      </c>
      <c r="CX24" s="408" t="str">
        <f t="shared" si="52"/>
        <v/>
      </c>
      <c r="CY24" s="210"/>
      <c r="DA24" s="53">
        <f>IF(AND(CT24&lt;&gt;"",OR(CT24&lt;EXPEDIENTE!$I$25,CT24&gt;EXPEDIENTE!$I$29)),1,0)</f>
        <v>0</v>
      </c>
      <c r="DB24" s="53">
        <f>IF(AND(CW24&lt;&gt;"",OR(CW24&lt;EXPEDIENTE!$I$25,CW24&gt;EXPEDIENTE!$I$29)),1,0)</f>
        <v>0</v>
      </c>
      <c r="DD24" s="55">
        <f t="shared" si="53"/>
        <v>0</v>
      </c>
      <c r="DE24" s="55">
        <f t="shared" si="54"/>
        <v>0</v>
      </c>
      <c r="DF24" s="55">
        <f t="shared" si="55"/>
        <v>0</v>
      </c>
      <c r="DG24" s="55">
        <f t="shared" si="56"/>
        <v>0</v>
      </c>
      <c r="DH24" s="55">
        <f t="shared" si="57"/>
        <v>0</v>
      </c>
      <c r="DI24" s="55">
        <f t="shared" si="58"/>
        <v>0</v>
      </c>
      <c r="DJ24" s="55">
        <f t="shared" si="59"/>
        <v>0</v>
      </c>
      <c r="DK24" s="55">
        <f t="shared" si="60"/>
        <v>0</v>
      </c>
      <c r="DL24" s="55">
        <f t="shared" si="61"/>
        <v>0</v>
      </c>
      <c r="DM24" s="55">
        <f t="shared" si="62"/>
        <v>0</v>
      </c>
      <c r="DN24" s="55">
        <f t="shared" si="63"/>
        <v>0</v>
      </c>
      <c r="DO24" s="55">
        <f t="shared" si="64"/>
        <v>0</v>
      </c>
      <c r="DP24" s="55">
        <f t="shared" si="65"/>
        <v>0</v>
      </c>
      <c r="DQ24" s="55">
        <f t="shared" si="66"/>
        <v>0</v>
      </c>
      <c r="DR24" s="55">
        <f t="shared" si="67"/>
        <v>0</v>
      </c>
      <c r="DS24" s="55">
        <f t="shared" si="68"/>
        <v>0</v>
      </c>
      <c r="DT24" s="55">
        <f t="shared" si="69"/>
        <v>0</v>
      </c>
      <c r="DU24" s="55">
        <f t="shared" si="70"/>
        <v>0</v>
      </c>
      <c r="DW24" s="55">
        <f>IF(CY24&lt;&gt;"",MAX($DW$9:DW23)+1,0)</f>
        <v>0</v>
      </c>
      <c r="DX24" s="130" t="str">
        <f t="shared" si="71"/>
        <v/>
      </c>
    </row>
    <row r="25" spans="2:128" ht="30" customHeight="1" x14ac:dyDescent="0.25">
      <c r="B25" s="972"/>
      <c r="C25" s="981" t="s">
        <v>275</v>
      </c>
      <c r="D25" s="982"/>
      <c r="E25" s="193"/>
      <c r="F25" s="194"/>
      <c r="G25" s="195"/>
      <c r="H25" s="195"/>
      <c r="I25" s="195"/>
      <c r="J25" s="195"/>
      <c r="K25" s="195"/>
      <c r="L25" s="203">
        <f t="shared" si="26"/>
        <v>0</v>
      </c>
      <c r="M25" s="205">
        <f t="shared" si="72"/>
        <v>0</v>
      </c>
      <c r="N25" s="161"/>
      <c r="O25" s="194"/>
      <c r="P25" s="195"/>
      <c r="Q25" s="195"/>
      <c r="R25" s="195"/>
      <c r="S25" s="195"/>
      <c r="T25" s="203">
        <f t="shared" si="27"/>
        <v>0</v>
      </c>
      <c r="U25" s="196"/>
      <c r="V25" s="163"/>
      <c r="W25" s="205">
        <f t="shared" si="73"/>
        <v>0</v>
      </c>
      <c r="X25" s="194"/>
      <c r="Y25" s="195"/>
      <c r="Z25" s="203">
        <f t="shared" si="28"/>
        <v>0</v>
      </c>
      <c r="AA25" s="164"/>
      <c r="AB25" s="165"/>
      <c r="AC25" s="322"/>
      <c r="AD25" s="323"/>
      <c r="AE25" s="327"/>
      <c r="AF25" s="357"/>
      <c r="AG25" s="53">
        <f>IF(AND(AA25&lt;&gt;"",OR(AA25&lt;EXPEDIENTE!$I$25,AA25&gt;EXPEDIENTE!$I$29)),1,0)</f>
        <v>0</v>
      </c>
      <c r="AH25" s="53">
        <f>IF(AND(AB25&lt;&gt;"",OR(AB25&lt;EXPEDIENTE!$I$25,AB25&gt;EXPEDIENTE!$I$29)),1,0)</f>
        <v>0</v>
      </c>
      <c r="AI25" s="53">
        <f>IF(DATE(YEAR(EXPEDIENTE!$I$25),MONTH(DATEVALUE($C25&amp;"1")),1)&gt;=DATE(YEAR(EXPEDIENTE!$I$25),MONTH(EXPEDIENTE!$I$25),1),0,1)</f>
        <v>0</v>
      </c>
      <c r="AJ25" s="53" t="e">
        <f>IF(DATE(YEAR(EXPEDIENTE!$I$25),MONTH(DATEVALUE($C25&amp;"1")),1)&lt;=DATE(YEAR(EXPEDIENTE!$I$29),MONTH(EXPEDIENTE!$I$29),1),0,1)</f>
        <v>#VALUE!</v>
      </c>
      <c r="AK25" s="53" t="e">
        <f t="shared" si="29"/>
        <v>#VALUE!</v>
      </c>
      <c r="AM25" s="1014"/>
      <c r="AN25" s="859" t="s">
        <v>275</v>
      </c>
      <c r="AO25" s="860"/>
      <c r="AP25" s="855"/>
      <c r="AQ25" s="856"/>
      <c r="AR25" s="198">
        <f t="shared" si="8"/>
        <v>0</v>
      </c>
      <c r="AS25" s="85"/>
      <c r="AT25" s="199">
        <f t="shared" si="30"/>
        <v>0</v>
      </c>
      <c r="AU25" s="200">
        <f t="shared" si="9"/>
        <v>0</v>
      </c>
      <c r="AV25" s="201"/>
      <c r="AW25" s="202">
        <f t="shared" si="31"/>
        <v>0</v>
      </c>
      <c r="AX25" s="200">
        <f t="shared" si="10"/>
        <v>0</v>
      </c>
      <c r="AY25" s="203"/>
      <c r="AZ25" s="204">
        <f t="shared" si="32"/>
        <v>0</v>
      </c>
      <c r="BA25" s="204">
        <f t="shared" si="11"/>
        <v>0</v>
      </c>
      <c r="BB25" s="203"/>
      <c r="BC25" s="204">
        <f t="shared" si="33"/>
        <v>0</v>
      </c>
      <c r="BD25" s="204">
        <f t="shared" si="12"/>
        <v>0</v>
      </c>
      <c r="BE25" s="203"/>
      <c r="BF25" s="204">
        <f t="shared" si="34"/>
        <v>0</v>
      </c>
      <c r="BG25" s="204">
        <f t="shared" si="13"/>
        <v>0</v>
      </c>
      <c r="BH25" s="203"/>
      <c r="BI25" s="204">
        <f t="shared" si="35"/>
        <v>0</v>
      </c>
      <c r="BJ25" s="204">
        <f t="shared" si="14"/>
        <v>0</v>
      </c>
      <c r="BK25" s="203"/>
      <c r="BL25" s="204">
        <f t="shared" si="36"/>
        <v>0</v>
      </c>
      <c r="BM25" s="207">
        <f t="shared" si="37"/>
        <v>0</v>
      </c>
      <c r="BN25" s="202">
        <f t="shared" si="38"/>
        <v>0</v>
      </c>
      <c r="BO25" s="177"/>
      <c r="BP25" s="200">
        <f t="shared" si="15"/>
        <v>0</v>
      </c>
      <c r="BQ25" s="201"/>
      <c r="BR25" s="206">
        <f t="shared" si="39"/>
        <v>0</v>
      </c>
      <c r="BS25" s="204">
        <f t="shared" si="16"/>
        <v>0</v>
      </c>
      <c r="BT25" s="203"/>
      <c r="BU25" s="204">
        <f t="shared" si="40"/>
        <v>0</v>
      </c>
      <c r="BV25" s="204">
        <f t="shared" si="17"/>
        <v>0</v>
      </c>
      <c r="BW25" s="203"/>
      <c r="BX25" s="204">
        <f t="shared" si="41"/>
        <v>0</v>
      </c>
      <c r="BY25" s="204">
        <f t="shared" si="18"/>
        <v>0</v>
      </c>
      <c r="BZ25" s="203"/>
      <c r="CA25" s="204">
        <f t="shared" si="42"/>
        <v>0</v>
      </c>
      <c r="CB25" s="204">
        <f t="shared" si="19"/>
        <v>0</v>
      </c>
      <c r="CC25" s="203"/>
      <c r="CD25" s="204">
        <f t="shared" si="43"/>
        <v>0</v>
      </c>
      <c r="CE25" s="175">
        <f t="shared" si="44"/>
        <v>0</v>
      </c>
      <c r="CF25" s="200">
        <f t="shared" si="20"/>
        <v>0</v>
      </c>
      <c r="CG25" s="203"/>
      <c r="CH25" s="207">
        <f t="shared" si="45"/>
        <v>0</v>
      </c>
      <c r="CI25" s="182"/>
      <c r="CJ25" s="208">
        <f t="shared" si="46"/>
        <v>0</v>
      </c>
      <c r="CK25" s="200">
        <f t="shared" si="21"/>
        <v>0</v>
      </c>
      <c r="CL25" s="201"/>
      <c r="CM25" s="202">
        <f t="shared" si="47"/>
        <v>0</v>
      </c>
      <c r="CN25" s="200">
        <f t="shared" si="22"/>
        <v>0</v>
      </c>
      <c r="CO25" s="203"/>
      <c r="CP25" s="207">
        <f t="shared" si="48"/>
        <v>0</v>
      </c>
      <c r="CQ25" s="401">
        <f t="shared" si="49"/>
        <v>0</v>
      </c>
      <c r="CR25" s="185" t="str">
        <f t="shared" si="23"/>
        <v/>
      </c>
      <c r="CS25" s="186"/>
      <c r="CT25" s="187" t="str">
        <f t="shared" si="50"/>
        <v/>
      </c>
      <c r="CU25" s="188" t="str">
        <f t="shared" si="24"/>
        <v/>
      </c>
      <c r="CV25" s="189"/>
      <c r="CW25" s="190" t="str">
        <f t="shared" si="51"/>
        <v/>
      </c>
      <c r="CX25" s="408" t="str">
        <f t="shared" si="52"/>
        <v/>
      </c>
      <c r="CY25" s="210"/>
      <c r="DA25" s="53">
        <f>IF(AND(CT25&lt;&gt;"",OR(CT25&lt;EXPEDIENTE!$I$25,CT25&gt;EXPEDIENTE!$I$29)),1,0)</f>
        <v>0</v>
      </c>
      <c r="DB25" s="53">
        <f>IF(AND(CW25&lt;&gt;"",OR(CW25&lt;EXPEDIENTE!$I$25,CW25&gt;EXPEDIENTE!$I$29)),1,0)</f>
        <v>0</v>
      </c>
      <c r="DD25" s="55">
        <f t="shared" si="53"/>
        <v>0</v>
      </c>
      <c r="DE25" s="55">
        <f t="shared" si="54"/>
        <v>0</v>
      </c>
      <c r="DF25" s="55">
        <f t="shared" si="55"/>
        <v>0</v>
      </c>
      <c r="DG25" s="55">
        <f t="shared" si="56"/>
        <v>0</v>
      </c>
      <c r="DH25" s="55">
        <f t="shared" si="57"/>
        <v>0</v>
      </c>
      <c r="DI25" s="55">
        <f t="shared" si="58"/>
        <v>0</v>
      </c>
      <c r="DJ25" s="55">
        <f t="shared" si="59"/>
        <v>0</v>
      </c>
      <c r="DK25" s="55">
        <f t="shared" si="60"/>
        <v>0</v>
      </c>
      <c r="DL25" s="55">
        <f t="shared" si="61"/>
        <v>0</v>
      </c>
      <c r="DM25" s="55">
        <f t="shared" si="62"/>
        <v>0</v>
      </c>
      <c r="DN25" s="55">
        <f t="shared" si="63"/>
        <v>0</v>
      </c>
      <c r="DO25" s="55">
        <f t="shared" si="64"/>
        <v>0</v>
      </c>
      <c r="DP25" s="55">
        <f t="shared" si="65"/>
        <v>0</v>
      </c>
      <c r="DQ25" s="55">
        <f t="shared" si="66"/>
        <v>0</v>
      </c>
      <c r="DR25" s="55">
        <f t="shared" si="67"/>
        <v>0</v>
      </c>
      <c r="DS25" s="55">
        <f t="shared" si="68"/>
        <v>0</v>
      </c>
      <c r="DT25" s="55">
        <f t="shared" si="69"/>
        <v>0</v>
      </c>
      <c r="DU25" s="55">
        <f t="shared" si="70"/>
        <v>0</v>
      </c>
      <c r="DW25" s="55">
        <f>IF(CY25&lt;&gt;"",MAX($DW$9:DW24)+1,0)</f>
        <v>0</v>
      </c>
      <c r="DX25" s="130" t="str">
        <f t="shared" si="71"/>
        <v/>
      </c>
    </row>
    <row r="26" spans="2:128" ht="30" customHeight="1" x14ac:dyDescent="0.25">
      <c r="B26" s="972"/>
      <c r="C26" s="981" t="s">
        <v>276</v>
      </c>
      <c r="D26" s="982"/>
      <c r="E26" s="193"/>
      <c r="F26" s="194"/>
      <c r="G26" s="195"/>
      <c r="H26" s="195"/>
      <c r="I26" s="195"/>
      <c r="J26" s="195"/>
      <c r="K26" s="195"/>
      <c r="L26" s="203">
        <f t="shared" si="26"/>
        <v>0</v>
      </c>
      <c r="M26" s="205">
        <f t="shared" si="72"/>
        <v>0</v>
      </c>
      <c r="N26" s="161"/>
      <c r="O26" s="194"/>
      <c r="P26" s="195"/>
      <c r="Q26" s="195"/>
      <c r="R26" s="195"/>
      <c r="S26" s="195"/>
      <c r="T26" s="203">
        <f t="shared" si="27"/>
        <v>0</v>
      </c>
      <c r="U26" s="196"/>
      <c r="V26" s="163"/>
      <c r="W26" s="205">
        <f t="shared" si="73"/>
        <v>0</v>
      </c>
      <c r="X26" s="194"/>
      <c r="Y26" s="195"/>
      <c r="Z26" s="203">
        <f t="shared" si="28"/>
        <v>0</v>
      </c>
      <c r="AA26" s="164"/>
      <c r="AB26" s="165"/>
      <c r="AC26" s="322"/>
      <c r="AD26" s="323"/>
      <c r="AE26" s="327"/>
      <c r="AF26" s="357"/>
      <c r="AG26" s="53">
        <f>IF(AND(AA26&lt;&gt;"",OR(AA26&lt;EXPEDIENTE!$I$25,AA26&gt;EXPEDIENTE!$I$29)),1,0)</f>
        <v>0</v>
      </c>
      <c r="AH26" s="53">
        <f>IF(AND(AB26&lt;&gt;"",OR(AB26&lt;EXPEDIENTE!$I$25,AB26&gt;EXPEDIENTE!$I$29)),1,0)</f>
        <v>0</v>
      </c>
      <c r="AI26" s="53">
        <f>IF(DATE(YEAR(EXPEDIENTE!$I$25),MONTH(DATEVALUE($C26&amp;"1")),1)&gt;=DATE(YEAR(EXPEDIENTE!$I$25),MONTH(EXPEDIENTE!$I$25),1),0,1)</f>
        <v>0</v>
      </c>
      <c r="AJ26" s="53" t="e">
        <f>IF(DATE(YEAR(EXPEDIENTE!$I$25),MONTH(DATEVALUE($C26&amp;"1")),1)&lt;=DATE(YEAR(EXPEDIENTE!$I$29),MONTH(EXPEDIENTE!$I$29),1),0,1)</f>
        <v>#VALUE!</v>
      </c>
      <c r="AK26" s="53" t="e">
        <f t="shared" si="29"/>
        <v>#VALUE!</v>
      </c>
      <c r="AM26" s="1014"/>
      <c r="AN26" s="859" t="s">
        <v>276</v>
      </c>
      <c r="AO26" s="860"/>
      <c r="AP26" s="855"/>
      <c r="AQ26" s="856"/>
      <c r="AR26" s="198">
        <f t="shared" si="8"/>
        <v>0</v>
      </c>
      <c r="AS26" s="85"/>
      <c r="AT26" s="199">
        <f t="shared" si="30"/>
        <v>0</v>
      </c>
      <c r="AU26" s="200">
        <f t="shared" si="9"/>
        <v>0</v>
      </c>
      <c r="AV26" s="201"/>
      <c r="AW26" s="202">
        <f t="shared" si="31"/>
        <v>0</v>
      </c>
      <c r="AX26" s="200">
        <f t="shared" si="10"/>
        <v>0</v>
      </c>
      <c r="AY26" s="203"/>
      <c r="AZ26" s="204">
        <f t="shared" si="32"/>
        <v>0</v>
      </c>
      <c r="BA26" s="204">
        <f t="shared" si="11"/>
        <v>0</v>
      </c>
      <c r="BB26" s="203"/>
      <c r="BC26" s="204">
        <f t="shared" si="33"/>
        <v>0</v>
      </c>
      <c r="BD26" s="204">
        <f t="shared" si="12"/>
        <v>0</v>
      </c>
      <c r="BE26" s="203"/>
      <c r="BF26" s="204">
        <f t="shared" si="34"/>
        <v>0</v>
      </c>
      <c r="BG26" s="204">
        <f t="shared" si="13"/>
        <v>0</v>
      </c>
      <c r="BH26" s="203"/>
      <c r="BI26" s="204">
        <f t="shared" si="35"/>
        <v>0</v>
      </c>
      <c r="BJ26" s="204">
        <f t="shared" si="14"/>
        <v>0</v>
      </c>
      <c r="BK26" s="203"/>
      <c r="BL26" s="204">
        <f t="shared" si="36"/>
        <v>0</v>
      </c>
      <c r="BM26" s="207">
        <f t="shared" si="37"/>
        <v>0</v>
      </c>
      <c r="BN26" s="202">
        <f t="shared" si="38"/>
        <v>0</v>
      </c>
      <c r="BO26" s="177"/>
      <c r="BP26" s="200">
        <f t="shared" si="15"/>
        <v>0</v>
      </c>
      <c r="BQ26" s="201"/>
      <c r="BR26" s="206">
        <f t="shared" si="39"/>
        <v>0</v>
      </c>
      <c r="BS26" s="204">
        <f t="shared" si="16"/>
        <v>0</v>
      </c>
      <c r="BT26" s="203"/>
      <c r="BU26" s="204">
        <f t="shared" si="40"/>
        <v>0</v>
      </c>
      <c r="BV26" s="204">
        <f t="shared" si="17"/>
        <v>0</v>
      </c>
      <c r="BW26" s="203"/>
      <c r="BX26" s="204">
        <f t="shared" si="41"/>
        <v>0</v>
      </c>
      <c r="BY26" s="204">
        <f t="shared" si="18"/>
        <v>0</v>
      </c>
      <c r="BZ26" s="203"/>
      <c r="CA26" s="204">
        <f t="shared" si="42"/>
        <v>0</v>
      </c>
      <c r="CB26" s="204">
        <f t="shared" si="19"/>
        <v>0</v>
      </c>
      <c r="CC26" s="203"/>
      <c r="CD26" s="204">
        <f t="shared" si="43"/>
        <v>0</v>
      </c>
      <c r="CE26" s="175">
        <f t="shared" si="44"/>
        <v>0</v>
      </c>
      <c r="CF26" s="200">
        <f t="shared" si="20"/>
        <v>0</v>
      </c>
      <c r="CG26" s="203"/>
      <c r="CH26" s="207">
        <f t="shared" si="45"/>
        <v>0</v>
      </c>
      <c r="CI26" s="182"/>
      <c r="CJ26" s="208">
        <f t="shared" si="46"/>
        <v>0</v>
      </c>
      <c r="CK26" s="200">
        <f t="shared" si="21"/>
        <v>0</v>
      </c>
      <c r="CL26" s="201"/>
      <c r="CM26" s="202">
        <f t="shared" si="47"/>
        <v>0</v>
      </c>
      <c r="CN26" s="200">
        <f t="shared" si="22"/>
        <v>0</v>
      </c>
      <c r="CO26" s="203"/>
      <c r="CP26" s="207">
        <f t="shared" si="48"/>
        <v>0</v>
      </c>
      <c r="CQ26" s="401">
        <f t="shared" si="49"/>
        <v>0</v>
      </c>
      <c r="CR26" s="185" t="str">
        <f t="shared" si="23"/>
        <v/>
      </c>
      <c r="CS26" s="186"/>
      <c r="CT26" s="187" t="str">
        <f t="shared" si="50"/>
        <v/>
      </c>
      <c r="CU26" s="188" t="str">
        <f t="shared" si="24"/>
        <v/>
      </c>
      <c r="CV26" s="189"/>
      <c r="CW26" s="190" t="str">
        <f t="shared" si="51"/>
        <v/>
      </c>
      <c r="CX26" s="408" t="str">
        <f t="shared" si="52"/>
        <v/>
      </c>
      <c r="CY26" s="210"/>
      <c r="DA26" s="53">
        <f>IF(AND(CT26&lt;&gt;"",OR(CT26&lt;EXPEDIENTE!$I$25,CT26&gt;EXPEDIENTE!$I$29)),1,0)</f>
        <v>0</v>
      </c>
      <c r="DB26" s="53">
        <f>IF(AND(CW26&lt;&gt;"",OR(CW26&lt;EXPEDIENTE!$I$25,CW26&gt;EXPEDIENTE!$I$29)),1,0)</f>
        <v>0</v>
      </c>
      <c r="DD26" s="55">
        <f t="shared" si="53"/>
        <v>0</v>
      </c>
      <c r="DE26" s="55">
        <f t="shared" si="54"/>
        <v>0</v>
      </c>
      <c r="DF26" s="55">
        <f t="shared" si="55"/>
        <v>0</v>
      </c>
      <c r="DG26" s="55">
        <f t="shared" si="56"/>
        <v>0</v>
      </c>
      <c r="DH26" s="55">
        <f t="shared" si="57"/>
        <v>0</v>
      </c>
      <c r="DI26" s="55">
        <f t="shared" si="58"/>
        <v>0</v>
      </c>
      <c r="DJ26" s="55">
        <f t="shared" si="59"/>
        <v>0</v>
      </c>
      <c r="DK26" s="55">
        <f t="shared" si="60"/>
        <v>0</v>
      </c>
      <c r="DL26" s="55">
        <f t="shared" si="61"/>
        <v>0</v>
      </c>
      <c r="DM26" s="55">
        <f t="shared" si="62"/>
        <v>0</v>
      </c>
      <c r="DN26" s="55">
        <f t="shared" si="63"/>
        <v>0</v>
      </c>
      <c r="DO26" s="55">
        <f t="shared" si="64"/>
        <v>0</v>
      </c>
      <c r="DP26" s="55">
        <f t="shared" si="65"/>
        <v>0</v>
      </c>
      <c r="DQ26" s="55">
        <f t="shared" si="66"/>
        <v>0</v>
      </c>
      <c r="DR26" s="55">
        <f t="shared" si="67"/>
        <v>0</v>
      </c>
      <c r="DS26" s="55">
        <f t="shared" si="68"/>
        <v>0</v>
      </c>
      <c r="DT26" s="55">
        <f t="shared" si="69"/>
        <v>0</v>
      </c>
      <c r="DU26" s="55">
        <f t="shared" si="70"/>
        <v>0</v>
      </c>
      <c r="DW26" s="55">
        <f>IF(CY26&lt;&gt;"",MAX($DW$9:DW25)+1,0)</f>
        <v>0</v>
      </c>
      <c r="DX26" s="130" t="str">
        <f t="shared" si="71"/>
        <v/>
      </c>
    </row>
    <row r="27" spans="2:128" ht="30" customHeight="1" x14ac:dyDescent="0.25">
      <c r="B27" s="972"/>
      <c r="C27" s="981" t="s">
        <v>277</v>
      </c>
      <c r="D27" s="982"/>
      <c r="E27" s="193"/>
      <c r="F27" s="194"/>
      <c r="G27" s="195"/>
      <c r="H27" s="195"/>
      <c r="I27" s="195"/>
      <c r="J27" s="195"/>
      <c r="K27" s="195"/>
      <c r="L27" s="203">
        <f t="shared" si="26"/>
        <v>0</v>
      </c>
      <c r="M27" s="205">
        <f t="shared" si="72"/>
        <v>0</v>
      </c>
      <c r="N27" s="161"/>
      <c r="O27" s="194"/>
      <c r="P27" s="195"/>
      <c r="Q27" s="195"/>
      <c r="R27" s="195"/>
      <c r="S27" s="195"/>
      <c r="T27" s="203">
        <f t="shared" si="27"/>
        <v>0</v>
      </c>
      <c r="U27" s="196"/>
      <c r="V27" s="163"/>
      <c r="W27" s="205">
        <f t="shared" si="73"/>
        <v>0</v>
      </c>
      <c r="X27" s="194"/>
      <c r="Y27" s="195"/>
      <c r="Z27" s="203">
        <f t="shared" si="28"/>
        <v>0</v>
      </c>
      <c r="AA27" s="164"/>
      <c r="AB27" s="165"/>
      <c r="AC27" s="322"/>
      <c r="AD27" s="323"/>
      <c r="AE27" s="327"/>
      <c r="AF27" s="357"/>
      <c r="AG27" s="53">
        <f>IF(AND(AA27&lt;&gt;"",OR(AA27&lt;EXPEDIENTE!$I$25,AA27&gt;EXPEDIENTE!$I$29)),1,0)</f>
        <v>0</v>
      </c>
      <c r="AH27" s="53">
        <f>IF(AND(AB27&lt;&gt;"",OR(AB27&lt;EXPEDIENTE!$I$25,AB27&gt;EXPEDIENTE!$I$29)),1,0)</f>
        <v>0</v>
      </c>
      <c r="AI27" s="53">
        <f>IF(DATE(YEAR(EXPEDIENTE!$I$25),MONTH(DATEVALUE($C27&amp;"1")),1)&gt;=DATE(YEAR(EXPEDIENTE!$I$25),MONTH(EXPEDIENTE!$I$25),1),0,1)</f>
        <v>0</v>
      </c>
      <c r="AJ27" s="53" t="e">
        <f>IF(DATE(YEAR(EXPEDIENTE!$I$25),MONTH(DATEVALUE($C27&amp;"1")),1)&lt;=DATE(YEAR(EXPEDIENTE!$I$29),MONTH(EXPEDIENTE!$I$29),1),0,1)</f>
        <v>#VALUE!</v>
      </c>
      <c r="AK27" s="53" t="e">
        <f t="shared" si="29"/>
        <v>#VALUE!</v>
      </c>
      <c r="AM27" s="1014"/>
      <c r="AN27" s="859" t="s">
        <v>277</v>
      </c>
      <c r="AO27" s="860"/>
      <c r="AP27" s="855"/>
      <c r="AQ27" s="856"/>
      <c r="AR27" s="198">
        <f t="shared" si="8"/>
        <v>0</v>
      </c>
      <c r="AS27" s="85"/>
      <c r="AT27" s="199">
        <f t="shared" si="30"/>
        <v>0</v>
      </c>
      <c r="AU27" s="200">
        <f t="shared" si="9"/>
        <v>0</v>
      </c>
      <c r="AV27" s="201"/>
      <c r="AW27" s="202">
        <f t="shared" si="31"/>
        <v>0</v>
      </c>
      <c r="AX27" s="200">
        <f t="shared" si="10"/>
        <v>0</v>
      </c>
      <c r="AY27" s="203"/>
      <c r="AZ27" s="204">
        <f t="shared" si="32"/>
        <v>0</v>
      </c>
      <c r="BA27" s="204">
        <f t="shared" si="11"/>
        <v>0</v>
      </c>
      <c r="BB27" s="203"/>
      <c r="BC27" s="204">
        <f t="shared" si="33"/>
        <v>0</v>
      </c>
      <c r="BD27" s="204">
        <f t="shared" si="12"/>
        <v>0</v>
      </c>
      <c r="BE27" s="203"/>
      <c r="BF27" s="204">
        <f t="shared" si="34"/>
        <v>0</v>
      </c>
      <c r="BG27" s="204">
        <f t="shared" si="13"/>
        <v>0</v>
      </c>
      <c r="BH27" s="203"/>
      <c r="BI27" s="204">
        <f t="shared" si="35"/>
        <v>0</v>
      </c>
      <c r="BJ27" s="204">
        <f t="shared" si="14"/>
        <v>0</v>
      </c>
      <c r="BK27" s="203"/>
      <c r="BL27" s="204">
        <f t="shared" si="36"/>
        <v>0</v>
      </c>
      <c r="BM27" s="207">
        <f t="shared" si="37"/>
        <v>0</v>
      </c>
      <c r="BN27" s="202">
        <f t="shared" si="38"/>
        <v>0</v>
      </c>
      <c r="BO27" s="177"/>
      <c r="BP27" s="200">
        <f t="shared" si="15"/>
        <v>0</v>
      </c>
      <c r="BQ27" s="201"/>
      <c r="BR27" s="206">
        <f t="shared" si="39"/>
        <v>0</v>
      </c>
      <c r="BS27" s="204">
        <f t="shared" si="16"/>
        <v>0</v>
      </c>
      <c r="BT27" s="203"/>
      <c r="BU27" s="204">
        <f t="shared" si="40"/>
        <v>0</v>
      </c>
      <c r="BV27" s="204">
        <f t="shared" si="17"/>
        <v>0</v>
      </c>
      <c r="BW27" s="203"/>
      <c r="BX27" s="204">
        <f t="shared" si="41"/>
        <v>0</v>
      </c>
      <c r="BY27" s="204">
        <f t="shared" si="18"/>
        <v>0</v>
      </c>
      <c r="BZ27" s="203"/>
      <c r="CA27" s="204">
        <f t="shared" si="42"/>
        <v>0</v>
      </c>
      <c r="CB27" s="204">
        <f t="shared" si="19"/>
        <v>0</v>
      </c>
      <c r="CC27" s="203"/>
      <c r="CD27" s="204">
        <f t="shared" si="43"/>
        <v>0</v>
      </c>
      <c r="CE27" s="175">
        <f t="shared" si="44"/>
        <v>0</v>
      </c>
      <c r="CF27" s="200">
        <f t="shared" si="20"/>
        <v>0</v>
      </c>
      <c r="CG27" s="203"/>
      <c r="CH27" s="207">
        <f t="shared" si="45"/>
        <v>0</v>
      </c>
      <c r="CI27" s="182"/>
      <c r="CJ27" s="208">
        <f t="shared" si="46"/>
        <v>0</v>
      </c>
      <c r="CK27" s="200">
        <f t="shared" si="21"/>
        <v>0</v>
      </c>
      <c r="CL27" s="201"/>
      <c r="CM27" s="202">
        <f t="shared" si="47"/>
        <v>0</v>
      </c>
      <c r="CN27" s="200">
        <f t="shared" si="22"/>
        <v>0</v>
      </c>
      <c r="CO27" s="203"/>
      <c r="CP27" s="207">
        <f t="shared" si="48"/>
        <v>0</v>
      </c>
      <c r="CQ27" s="401">
        <f t="shared" si="49"/>
        <v>0</v>
      </c>
      <c r="CR27" s="185" t="str">
        <f t="shared" si="23"/>
        <v/>
      </c>
      <c r="CS27" s="186"/>
      <c r="CT27" s="187" t="str">
        <f t="shared" si="50"/>
        <v/>
      </c>
      <c r="CU27" s="188" t="str">
        <f t="shared" si="24"/>
        <v/>
      </c>
      <c r="CV27" s="189"/>
      <c r="CW27" s="190" t="str">
        <f t="shared" si="51"/>
        <v/>
      </c>
      <c r="CX27" s="408" t="str">
        <f t="shared" si="52"/>
        <v/>
      </c>
      <c r="CY27" s="210"/>
      <c r="DA27" s="53">
        <f>IF(AND(CT27&lt;&gt;"",OR(CT27&lt;EXPEDIENTE!$I$25,CT27&gt;EXPEDIENTE!$I$29)),1,0)</f>
        <v>0</v>
      </c>
      <c r="DB27" s="53">
        <f>IF(AND(CW27&lt;&gt;"",OR(CW27&lt;EXPEDIENTE!$I$25,CW27&gt;EXPEDIENTE!$I$29)),1,0)</f>
        <v>0</v>
      </c>
      <c r="DD27" s="55">
        <f t="shared" si="53"/>
        <v>0</v>
      </c>
      <c r="DE27" s="55">
        <f t="shared" si="54"/>
        <v>0</v>
      </c>
      <c r="DF27" s="55">
        <f t="shared" si="55"/>
        <v>0</v>
      </c>
      <c r="DG27" s="55">
        <f t="shared" si="56"/>
        <v>0</v>
      </c>
      <c r="DH27" s="55">
        <f t="shared" si="57"/>
        <v>0</v>
      </c>
      <c r="DI27" s="55">
        <f t="shared" si="58"/>
        <v>0</v>
      </c>
      <c r="DJ27" s="55">
        <f t="shared" si="59"/>
        <v>0</v>
      </c>
      <c r="DK27" s="55">
        <f t="shared" si="60"/>
        <v>0</v>
      </c>
      <c r="DL27" s="55">
        <f t="shared" si="61"/>
        <v>0</v>
      </c>
      <c r="DM27" s="55">
        <f t="shared" si="62"/>
        <v>0</v>
      </c>
      <c r="DN27" s="55">
        <f t="shared" si="63"/>
        <v>0</v>
      </c>
      <c r="DO27" s="55">
        <f t="shared" si="64"/>
        <v>0</v>
      </c>
      <c r="DP27" s="55">
        <f t="shared" si="65"/>
        <v>0</v>
      </c>
      <c r="DQ27" s="55">
        <f t="shared" si="66"/>
        <v>0</v>
      </c>
      <c r="DR27" s="55">
        <f t="shared" si="67"/>
        <v>0</v>
      </c>
      <c r="DS27" s="55">
        <f t="shared" si="68"/>
        <v>0</v>
      </c>
      <c r="DT27" s="55">
        <f t="shared" si="69"/>
        <v>0</v>
      </c>
      <c r="DU27" s="55">
        <f t="shared" si="70"/>
        <v>0</v>
      </c>
      <c r="DW27" s="55">
        <f>IF(CY27&lt;&gt;"",MAX($DW$9:DW26)+1,0)</f>
        <v>0</v>
      </c>
      <c r="DX27" s="130" t="str">
        <f t="shared" si="71"/>
        <v/>
      </c>
    </row>
    <row r="28" spans="2:128" ht="30" customHeight="1" x14ac:dyDescent="0.25">
      <c r="B28" s="972"/>
      <c r="C28" s="981" t="s">
        <v>278</v>
      </c>
      <c r="D28" s="982"/>
      <c r="E28" s="193"/>
      <c r="F28" s="194"/>
      <c r="G28" s="195"/>
      <c r="H28" s="195"/>
      <c r="I28" s="195"/>
      <c r="J28" s="195"/>
      <c r="K28" s="195"/>
      <c r="L28" s="203">
        <f t="shared" si="26"/>
        <v>0</v>
      </c>
      <c r="M28" s="205">
        <f t="shared" si="72"/>
        <v>0</v>
      </c>
      <c r="N28" s="161"/>
      <c r="O28" s="194"/>
      <c r="P28" s="195"/>
      <c r="Q28" s="195"/>
      <c r="R28" s="195"/>
      <c r="S28" s="195"/>
      <c r="T28" s="203">
        <f t="shared" si="27"/>
        <v>0</v>
      </c>
      <c r="U28" s="196"/>
      <c r="V28" s="163"/>
      <c r="W28" s="205">
        <f t="shared" si="73"/>
        <v>0</v>
      </c>
      <c r="X28" s="194"/>
      <c r="Y28" s="195"/>
      <c r="Z28" s="203">
        <f t="shared" si="28"/>
        <v>0</v>
      </c>
      <c r="AA28" s="164"/>
      <c r="AB28" s="165"/>
      <c r="AC28" s="322"/>
      <c r="AD28" s="323"/>
      <c r="AE28" s="327"/>
      <c r="AF28" s="357"/>
      <c r="AG28" s="53">
        <f>IF(AND(AA28&lt;&gt;"",OR(AA28&lt;EXPEDIENTE!$I$25,AA28&gt;EXPEDIENTE!$I$29)),1,0)</f>
        <v>0</v>
      </c>
      <c r="AH28" s="53">
        <f>IF(AND(AB28&lt;&gt;"",OR(AB28&lt;EXPEDIENTE!$I$25,AB28&gt;EXPEDIENTE!$I$29)),1,0)</f>
        <v>0</v>
      </c>
      <c r="AI28" s="53">
        <f>IF(DATE(YEAR(EXPEDIENTE!$I$25),MONTH(DATEVALUE($C28&amp;"1")),1)&gt;=DATE(YEAR(EXPEDIENTE!$I$25),MONTH(EXPEDIENTE!$I$25),1),0,1)</f>
        <v>0</v>
      </c>
      <c r="AJ28" s="53" t="e">
        <f>IF(DATE(YEAR(EXPEDIENTE!$I$25),MONTH(DATEVALUE($C28&amp;"1")),1)&lt;=DATE(YEAR(EXPEDIENTE!$I$29),MONTH(EXPEDIENTE!$I$29),1),0,1)</f>
        <v>#VALUE!</v>
      </c>
      <c r="AK28" s="53" t="e">
        <f t="shared" si="29"/>
        <v>#VALUE!</v>
      </c>
      <c r="AM28" s="1014"/>
      <c r="AN28" s="859" t="s">
        <v>278</v>
      </c>
      <c r="AO28" s="860"/>
      <c r="AP28" s="855"/>
      <c r="AQ28" s="856"/>
      <c r="AR28" s="198">
        <f t="shared" si="8"/>
        <v>0</v>
      </c>
      <c r="AS28" s="85"/>
      <c r="AT28" s="199">
        <f t="shared" si="30"/>
        <v>0</v>
      </c>
      <c r="AU28" s="200">
        <f t="shared" si="9"/>
        <v>0</v>
      </c>
      <c r="AV28" s="201"/>
      <c r="AW28" s="202">
        <f t="shared" si="31"/>
        <v>0</v>
      </c>
      <c r="AX28" s="200">
        <f t="shared" si="10"/>
        <v>0</v>
      </c>
      <c r="AY28" s="203"/>
      <c r="AZ28" s="204">
        <f t="shared" si="32"/>
        <v>0</v>
      </c>
      <c r="BA28" s="204">
        <f t="shared" si="11"/>
        <v>0</v>
      </c>
      <c r="BB28" s="203"/>
      <c r="BC28" s="204">
        <f t="shared" si="33"/>
        <v>0</v>
      </c>
      <c r="BD28" s="204">
        <f t="shared" si="12"/>
        <v>0</v>
      </c>
      <c r="BE28" s="203"/>
      <c r="BF28" s="204">
        <f t="shared" si="34"/>
        <v>0</v>
      </c>
      <c r="BG28" s="204">
        <f t="shared" si="13"/>
        <v>0</v>
      </c>
      <c r="BH28" s="203"/>
      <c r="BI28" s="204">
        <f t="shared" si="35"/>
        <v>0</v>
      </c>
      <c r="BJ28" s="204">
        <f t="shared" si="14"/>
        <v>0</v>
      </c>
      <c r="BK28" s="203"/>
      <c r="BL28" s="204">
        <f t="shared" si="36"/>
        <v>0</v>
      </c>
      <c r="BM28" s="207">
        <f t="shared" si="37"/>
        <v>0</v>
      </c>
      <c r="BN28" s="202">
        <f t="shared" si="38"/>
        <v>0</v>
      </c>
      <c r="BO28" s="177"/>
      <c r="BP28" s="200">
        <f t="shared" si="15"/>
        <v>0</v>
      </c>
      <c r="BQ28" s="201"/>
      <c r="BR28" s="206">
        <f t="shared" si="39"/>
        <v>0</v>
      </c>
      <c r="BS28" s="204">
        <f t="shared" si="16"/>
        <v>0</v>
      </c>
      <c r="BT28" s="203"/>
      <c r="BU28" s="204">
        <f t="shared" si="40"/>
        <v>0</v>
      </c>
      <c r="BV28" s="204">
        <f t="shared" si="17"/>
        <v>0</v>
      </c>
      <c r="BW28" s="203"/>
      <c r="BX28" s="204">
        <f t="shared" si="41"/>
        <v>0</v>
      </c>
      <c r="BY28" s="204">
        <f t="shared" si="18"/>
        <v>0</v>
      </c>
      <c r="BZ28" s="203"/>
      <c r="CA28" s="204">
        <f t="shared" si="42"/>
        <v>0</v>
      </c>
      <c r="CB28" s="204">
        <f t="shared" si="19"/>
        <v>0</v>
      </c>
      <c r="CC28" s="203"/>
      <c r="CD28" s="204">
        <f t="shared" si="43"/>
        <v>0</v>
      </c>
      <c r="CE28" s="175">
        <f t="shared" si="44"/>
        <v>0</v>
      </c>
      <c r="CF28" s="200">
        <f t="shared" si="20"/>
        <v>0</v>
      </c>
      <c r="CG28" s="203"/>
      <c r="CH28" s="207">
        <f t="shared" si="45"/>
        <v>0</v>
      </c>
      <c r="CI28" s="182"/>
      <c r="CJ28" s="208">
        <f t="shared" si="46"/>
        <v>0</v>
      </c>
      <c r="CK28" s="200">
        <f t="shared" si="21"/>
        <v>0</v>
      </c>
      <c r="CL28" s="201"/>
      <c r="CM28" s="202">
        <f t="shared" si="47"/>
        <v>0</v>
      </c>
      <c r="CN28" s="200">
        <f t="shared" si="22"/>
        <v>0</v>
      </c>
      <c r="CO28" s="203"/>
      <c r="CP28" s="207">
        <f t="shared" si="48"/>
        <v>0</v>
      </c>
      <c r="CQ28" s="401">
        <f t="shared" si="49"/>
        <v>0</v>
      </c>
      <c r="CR28" s="185" t="str">
        <f t="shared" si="23"/>
        <v/>
      </c>
      <c r="CS28" s="186"/>
      <c r="CT28" s="187" t="str">
        <f t="shared" si="50"/>
        <v/>
      </c>
      <c r="CU28" s="188" t="str">
        <f t="shared" si="24"/>
        <v/>
      </c>
      <c r="CV28" s="189"/>
      <c r="CW28" s="190" t="str">
        <f t="shared" si="51"/>
        <v/>
      </c>
      <c r="CX28" s="408" t="str">
        <f t="shared" si="52"/>
        <v/>
      </c>
      <c r="CY28" s="210"/>
      <c r="DA28" s="53">
        <f>IF(AND(CT28&lt;&gt;"",OR(CT28&lt;EXPEDIENTE!$I$25,CT28&gt;EXPEDIENTE!$I$29)),1,0)</f>
        <v>0</v>
      </c>
      <c r="DB28" s="53">
        <f>IF(AND(CW28&lt;&gt;"",OR(CW28&lt;EXPEDIENTE!$I$25,CW28&gt;EXPEDIENTE!$I$29)),1,0)</f>
        <v>0</v>
      </c>
      <c r="DD28" s="55">
        <f t="shared" si="53"/>
        <v>0</v>
      </c>
      <c r="DE28" s="55">
        <f t="shared" si="54"/>
        <v>0</v>
      </c>
      <c r="DF28" s="55">
        <f t="shared" si="55"/>
        <v>0</v>
      </c>
      <c r="DG28" s="55">
        <f t="shared" si="56"/>
        <v>0</v>
      </c>
      <c r="DH28" s="55">
        <f t="shared" si="57"/>
        <v>0</v>
      </c>
      <c r="DI28" s="55">
        <f t="shared" si="58"/>
        <v>0</v>
      </c>
      <c r="DJ28" s="55">
        <f t="shared" si="59"/>
        <v>0</v>
      </c>
      <c r="DK28" s="55">
        <f t="shared" si="60"/>
        <v>0</v>
      </c>
      <c r="DL28" s="55">
        <f t="shared" si="61"/>
        <v>0</v>
      </c>
      <c r="DM28" s="55">
        <f t="shared" si="62"/>
        <v>0</v>
      </c>
      <c r="DN28" s="55">
        <f t="shared" si="63"/>
        <v>0</v>
      </c>
      <c r="DO28" s="55">
        <f t="shared" si="64"/>
        <v>0</v>
      </c>
      <c r="DP28" s="55">
        <f t="shared" si="65"/>
        <v>0</v>
      </c>
      <c r="DQ28" s="55">
        <f t="shared" si="66"/>
        <v>0</v>
      </c>
      <c r="DR28" s="55">
        <f t="shared" si="67"/>
        <v>0</v>
      </c>
      <c r="DS28" s="55">
        <f t="shared" si="68"/>
        <v>0</v>
      </c>
      <c r="DT28" s="55">
        <f t="shared" si="69"/>
        <v>0</v>
      </c>
      <c r="DU28" s="55">
        <f t="shared" si="70"/>
        <v>0</v>
      </c>
      <c r="DW28" s="55">
        <f>IF(CY28&lt;&gt;"",MAX($DW$9:DW27)+1,0)</f>
        <v>0</v>
      </c>
      <c r="DX28" s="130" t="str">
        <f t="shared" si="71"/>
        <v/>
      </c>
    </row>
    <row r="29" spans="2:128" ht="30" customHeight="1" x14ac:dyDescent="0.25">
      <c r="B29" s="972"/>
      <c r="C29" s="981" t="s">
        <v>279</v>
      </c>
      <c r="D29" s="982"/>
      <c r="E29" s="193"/>
      <c r="F29" s="194"/>
      <c r="G29" s="195"/>
      <c r="H29" s="195"/>
      <c r="I29" s="195"/>
      <c r="J29" s="195"/>
      <c r="K29" s="195"/>
      <c r="L29" s="203">
        <f t="shared" si="26"/>
        <v>0</v>
      </c>
      <c r="M29" s="205">
        <f t="shared" si="72"/>
        <v>0</v>
      </c>
      <c r="N29" s="161"/>
      <c r="O29" s="194"/>
      <c r="P29" s="195"/>
      <c r="Q29" s="195"/>
      <c r="R29" s="195"/>
      <c r="S29" s="195"/>
      <c r="T29" s="203">
        <f t="shared" si="27"/>
        <v>0</v>
      </c>
      <c r="U29" s="196"/>
      <c r="V29" s="163"/>
      <c r="W29" s="205">
        <f t="shared" si="73"/>
        <v>0</v>
      </c>
      <c r="X29" s="194"/>
      <c r="Y29" s="195"/>
      <c r="Z29" s="203">
        <f t="shared" si="28"/>
        <v>0</v>
      </c>
      <c r="AA29" s="164"/>
      <c r="AB29" s="165"/>
      <c r="AC29" s="322"/>
      <c r="AD29" s="323"/>
      <c r="AE29" s="327"/>
      <c r="AF29" s="357"/>
      <c r="AG29" s="53">
        <f>IF(AND(AA29&lt;&gt;"",OR(AA29&lt;EXPEDIENTE!$I$25,AA29&gt;EXPEDIENTE!$I$29)),1,0)</f>
        <v>0</v>
      </c>
      <c r="AH29" s="53">
        <f>IF(AND(AB29&lt;&gt;"",OR(AB29&lt;EXPEDIENTE!$I$25,AB29&gt;EXPEDIENTE!$I$29)),1,0)</f>
        <v>0</v>
      </c>
      <c r="AI29" s="53">
        <f>IF(DATE(YEAR(EXPEDIENTE!$I$25),MONTH(DATEVALUE($C29&amp;"1")),1)&gt;=DATE(YEAR(EXPEDIENTE!$I$25),MONTH(EXPEDIENTE!$I$25),1),0,1)</f>
        <v>0</v>
      </c>
      <c r="AJ29" s="53" t="e">
        <f>IF(DATE(YEAR(EXPEDIENTE!$I$25),MONTH(DATEVALUE($C29&amp;"1")),1)&lt;=DATE(YEAR(EXPEDIENTE!$I$29),MONTH(EXPEDIENTE!$I$29),1),0,1)</f>
        <v>#VALUE!</v>
      </c>
      <c r="AK29" s="53" t="e">
        <f t="shared" si="29"/>
        <v>#VALUE!</v>
      </c>
      <c r="AM29" s="1014"/>
      <c r="AN29" s="859" t="s">
        <v>279</v>
      </c>
      <c r="AO29" s="860"/>
      <c r="AP29" s="855"/>
      <c r="AQ29" s="856"/>
      <c r="AR29" s="198">
        <f t="shared" si="8"/>
        <v>0</v>
      </c>
      <c r="AS29" s="85"/>
      <c r="AT29" s="199">
        <f t="shared" si="30"/>
        <v>0</v>
      </c>
      <c r="AU29" s="200">
        <f t="shared" si="9"/>
        <v>0</v>
      </c>
      <c r="AV29" s="201"/>
      <c r="AW29" s="202">
        <f t="shared" si="31"/>
        <v>0</v>
      </c>
      <c r="AX29" s="200">
        <f t="shared" si="10"/>
        <v>0</v>
      </c>
      <c r="AY29" s="203"/>
      <c r="AZ29" s="204">
        <f t="shared" si="32"/>
        <v>0</v>
      </c>
      <c r="BA29" s="204">
        <f t="shared" si="11"/>
        <v>0</v>
      </c>
      <c r="BB29" s="203"/>
      <c r="BC29" s="204">
        <f t="shared" si="33"/>
        <v>0</v>
      </c>
      <c r="BD29" s="204">
        <f t="shared" si="12"/>
        <v>0</v>
      </c>
      <c r="BE29" s="203"/>
      <c r="BF29" s="204">
        <f t="shared" si="34"/>
        <v>0</v>
      </c>
      <c r="BG29" s="204">
        <f t="shared" si="13"/>
        <v>0</v>
      </c>
      <c r="BH29" s="203"/>
      <c r="BI29" s="204">
        <f t="shared" si="35"/>
        <v>0</v>
      </c>
      <c r="BJ29" s="204">
        <f t="shared" si="14"/>
        <v>0</v>
      </c>
      <c r="BK29" s="203"/>
      <c r="BL29" s="204">
        <f t="shared" si="36"/>
        <v>0</v>
      </c>
      <c r="BM29" s="207">
        <f t="shared" si="37"/>
        <v>0</v>
      </c>
      <c r="BN29" s="202">
        <f t="shared" si="38"/>
        <v>0</v>
      </c>
      <c r="BO29" s="177"/>
      <c r="BP29" s="200">
        <f t="shared" si="15"/>
        <v>0</v>
      </c>
      <c r="BQ29" s="201"/>
      <c r="BR29" s="206">
        <f t="shared" si="39"/>
        <v>0</v>
      </c>
      <c r="BS29" s="204">
        <f t="shared" si="16"/>
        <v>0</v>
      </c>
      <c r="BT29" s="203"/>
      <c r="BU29" s="204">
        <f t="shared" si="40"/>
        <v>0</v>
      </c>
      <c r="BV29" s="204">
        <f t="shared" si="17"/>
        <v>0</v>
      </c>
      <c r="BW29" s="203"/>
      <c r="BX29" s="204">
        <f t="shared" si="41"/>
        <v>0</v>
      </c>
      <c r="BY29" s="204">
        <f t="shared" si="18"/>
        <v>0</v>
      </c>
      <c r="BZ29" s="203"/>
      <c r="CA29" s="204">
        <f t="shared" si="42"/>
        <v>0</v>
      </c>
      <c r="CB29" s="204">
        <f t="shared" si="19"/>
        <v>0</v>
      </c>
      <c r="CC29" s="203"/>
      <c r="CD29" s="204">
        <f t="shared" si="43"/>
        <v>0</v>
      </c>
      <c r="CE29" s="175">
        <f t="shared" si="44"/>
        <v>0</v>
      </c>
      <c r="CF29" s="200">
        <f t="shared" si="20"/>
        <v>0</v>
      </c>
      <c r="CG29" s="203"/>
      <c r="CH29" s="207">
        <f t="shared" si="45"/>
        <v>0</v>
      </c>
      <c r="CI29" s="182"/>
      <c r="CJ29" s="208">
        <f t="shared" si="46"/>
        <v>0</v>
      </c>
      <c r="CK29" s="200">
        <f t="shared" si="21"/>
        <v>0</v>
      </c>
      <c r="CL29" s="201"/>
      <c r="CM29" s="202">
        <f t="shared" si="47"/>
        <v>0</v>
      </c>
      <c r="CN29" s="200">
        <f t="shared" si="22"/>
        <v>0</v>
      </c>
      <c r="CO29" s="203"/>
      <c r="CP29" s="207">
        <f t="shared" si="48"/>
        <v>0</v>
      </c>
      <c r="CQ29" s="401">
        <f t="shared" si="49"/>
        <v>0</v>
      </c>
      <c r="CR29" s="185" t="str">
        <f t="shared" si="23"/>
        <v/>
      </c>
      <c r="CS29" s="186"/>
      <c r="CT29" s="187" t="str">
        <f t="shared" si="50"/>
        <v/>
      </c>
      <c r="CU29" s="188" t="str">
        <f t="shared" si="24"/>
        <v/>
      </c>
      <c r="CV29" s="189"/>
      <c r="CW29" s="190" t="str">
        <f t="shared" si="51"/>
        <v/>
      </c>
      <c r="CX29" s="408" t="str">
        <f t="shared" si="52"/>
        <v/>
      </c>
      <c r="CY29" s="210"/>
      <c r="DA29" s="53">
        <f>IF(AND(CT29&lt;&gt;"",OR(CT29&lt;EXPEDIENTE!$I$25,CT29&gt;EXPEDIENTE!$I$29)),1,0)</f>
        <v>0</v>
      </c>
      <c r="DB29" s="53">
        <f>IF(AND(CW29&lt;&gt;"",OR(CW29&lt;EXPEDIENTE!$I$25,CW29&gt;EXPEDIENTE!$I$29)),1,0)</f>
        <v>0</v>
      </c>
      <c r="DD29" s="55">
        <f t="shared" si="53"/>
        <v>0</v>
      </c>
      <c r="DE29" s="55">
        <f t="shared" si="54"/>
        <v>0</v>
      </c>
      <c r="DF29" s="55">
        <f t="shared" si="55"/>
        <v>0</v>
      </c>
      <c r="DG29" s="55">
        <f t="shared" si="56"/>
        <v>0</v>
      </c>
      <c r="DH29" s="55">
        <f t="shared" si="57"/>
        <v>0</v>
      </c>
      <c r="DI29" s="55">
        <f t="shared" si="58"/>
        <v>0</v>
      </c>
      <c r="DJ29" s="55">
        <f t="shared" si="59"/>
        <v>0</v>
      </c>
      <c r="DK29" s="55">
        <f t="shared" si="60"/>
        <v>0</v>
      </c>
      <c r="DL29" s="55">
        <f t="shared" si="61"/>
        <v>0</v>
      </c>
      <c r="DM29" s="55">
        <f t="shared" si="62"/>
        <v>0</v>
      </c>
      <c r="DN29" s="55">
        <f t="shared" si="63"/>
        <v>0</v>
      </c>
      <c r="DO29" s="55">
        <f t="shared" si="64"/>
        <v>0</v>
      </c>
      <c r="DP29" s="55">
        <f t="shared" si="65"/>
        <v>0</v>
      </c>
      <c r="DQ29" s="55">
        <f t="shared" si="66"/>
        <v>0</v>
      </c>
      <c r="DR29" s="55">
        <f t="shared" si="67"/>
        <v>0</v>
      </c>
      <c r="DS29" s="55">
        <f t="shared" si="68"/>
        <v>0</v>
      </c>
      <c r="DT29" s="55">
        <f t="shared" si="69"/>
        <v>0</v>
      </c>
      <c r="DU29" s="55">
        <f t="shared" si="70"/>
        <v>0</v>
      </c>
      <c r="DW29" s="55">
        <f>IF(CY29&lt;&gt;"",MAX($DW$9:DW28)+1,0)</f>
        <v>0</v>
      </c>
      <c r="DX29" s="130" t="str">
        <f t="shared" si="71"/>
        <v/>
      </c>
    </row>
    <row r="30" spans="2:128" ht="30" customHeight="1" x14ac:dyDescent="0.25">
      <c r="B30" s="972"/>
      <c r="C30" s="981" t="s">
        <v>280</v>
      </c>
      <c r="D30" s="982"/>
      <c r="E30" s="193"/>
      <c r="F30" s="194"/>
      <c r="G30" s="195"/>
      <c r="H30" s="195"/>
      <c r="I30" s="195"/>
      <c r="J30" s="195"/>
      <c r="K30" s="195"/>
      <c r="L30" s="203">
        <f t="shared" si="26"/>
        <v>0</v>
      </c>
      <c r="M30" s="205">
        <f t="shared" si="72"/>
        <v>0</v>
      </c>
      <c r="N30" s="161"/>
      <c r="O30" s="194"/>
      <c r="P30" s="195"/>
      <c r="Q30" s="195"/>
      <c r="R30" s="195"/>
      <c r="S30" s="195"/>
      <c r="T30" s="203">
        <f t="shared" si="27"/>
        <v>0</v>
      </c>
      <c r="U30" s="196"/>
      <c r="V30" s="163"/>
      <c r="W30" s="205">
        <f t="shared" si="73"/>
        <v>0</v>
      </c>
      <c r="X30" s="194"/>
      <c r="Y30" s="195"/>
      <c r="Z30" s="203">
        <f t="shared" si="28"/>
        <v>0</v>
      </c>
      <c r="AA30" s="164"/>
      <c r="AB30" s="165"/>
      <c r="AC30" s="322"/>
      <c r="AD30" s="323"/>
      <c r="AE30" s="327"/>
      <c r="AF30" s="357"/>
      <c r="AG30" s="53">
        <f>IF(AND(AA30&lt;&gt;"",OR(AA30&lt;EXPEDIENTE!$I$25,AA30&gt;EXPEDIENTE!$I$29)),1,0)</f>
        <v>0</v>
      </c>
      <c r="AH30" s="53">
        <f>IF(AND(AB30&lt;&gt;"",OR(AB30&lt;EXPEDIENTE!$I$25,AB30&gt;EXPEDIENTE!$I$29)),1,0)</f>
        <v>0</v>
      </c>
      <c r="AI30" s="53">
        <f>IF(DATE(YEAR(EXPEDIENTE!$I$25),MONTH(DATEVALUE($C30&amp;"1")),1)&gt;=DATE(YEAR(EXPEDIENTE!$I$25),MONTH(EXPEDIENTE!$I$25),1),0,1)</f>
        <v>0</v>
      </c>
      <c r="AJ30" s="53" t="e">
        <f>IF(DATE(YEAR(EXPEDIENTE!$I$25),MONTH(DATEVALUE($C30&amp;"1")),1)&lt;=DATE(YEAR(EXPEDIENTE!$I$29),MONTH(EXPEDIENTE!$I$29),1),0,1)</f>
        <v>#VALUE!</v>
      </c>
      <c r="AK30" s="53" t="e">
        <f t="shared" si="29"/>
        <v>#VALUE!</v>
      </c>
      <c r="AM30" s="1014"/>
      <c r="AN30" s="859" t="s">
        <v>280</v>
      </c>
      <c r="AO30" s="860"/>
      <c r="AP30" s="855"/>
      <c r="AQ30" s="856"/>
      <c r="AR30" s="198">
        <f t="shared" si="8"/>
        <v>0</v>
      </c>
      <c r="AS30" s="85"/>
      <c r="AT30" s="199">
        <f t="shared" si="30"/>
        <v>0</v>
      </c>
      <c r="AU30" s="200">
        <f t="shared" si="9"/>
        <v>0</v>
      </c>
      <c r="AV30" s="201"/>
      <c r="AW30" s="202">
        <f t="shared" si="31"/>
        <v>0</v>
      </c>
      <c r="AX30" s="200">
        <f t="shared" si="10"/>
        <v>0</v>
      </c>
      <c r="AY30" s="203"/>
      <c r="AZ30" s="204">
        <f t="shared" si="32"/>
        <v>0</v>
      </c>
      <c r="BA30" s="204">
        <f t="shared" si="11"/>
        <v>0</v>
      </c>
      <c r="BB30" s="203"/>
      <c r="BC30" s="204">
        <f t="shared" si="33"/>
        <v>0</v>
      </c>
      <c r="BD30" s="204">
        <f t="shared" si="12"/>
        <v>0</v>
      </c>
      <c r="BE30" s="203"/>
      <c r="BF30" s="204">
        <f t="shared" si="34"/>
        <v>0</v>
      </c>
      <c r="BG30" s="204">
        <f t="shared" si="13"/>
        <v>0</v>
      </c>
      <c r="BH30" s="203"/>
      <c r="BI30" s="204">
        <f t="shared" si="35"/>
        <v>0</v>
      </c>
      <c r="BJ30" s="204">
        <f t="shared" si="14"/>
        <v>0</v>
      </c>
      <c r="BK30" s="203"/>
      <c r="BL30" s="204">
        <f t="shared" si="36"/>
        <v>0</v>
      </c>
      <c r="BM30" s="207">
        <f t="shared" si="37"/>
        <v>0</v>
      </c>
      <c r="BN30" s="202">
        <f t="shared" si="38"/>
        <v>0</v>
      </c>
      <c r="BO30" s="177"/>
      <c r="BP30" s="200">
        <f t="shared" si="15"/>
        <v>0</v>
      </c>
      <c r="BQ30" s="201"/>
      <c r="BR30" s="206">
        <f t="shared" si="39"/>
        <v>0</v>
      </c>
      <c r="BS30" s="204">
        <f t="shared" si="16"/>
        <v>0</v>
      </c>
      <c r="BT30" s="203"/>
      <c r="BU30" s="204">
        <f t="shared" si="40"/>
        <v>0</v>
      </c>
      <c r="BV30" s="204">
        <f t="shared" si="17"/>
        <v>0</v>
      </c>
      <c r="BW30" s="203"/>
      <c r="BX30" s="204">
        <f t="shared" si="41"/>
        <v>0</v>
      </c>
      <c r="BY30" s="204">
        <f t="shared" si="18"/>
        <v>0</v>
      </c>
      <c r="BZ30" s="203"/>
      <c r="CA30" s="204">
        <f t="shared" si="42"/>
        <v>0</v>
      </c>
      <c r="CB30" s="204">
        <f t="shared" si="19"/>
        <v>0</v>
      </c>
      <c r="CC30" s="203"/>
      <c r="CD30" s="204">
        <f t="shared" si="43"/>
        <v>0</v>
      </c>
      <c r="CE30" s="175">
        <f t="shared" si="44"/>
        <v>0</v>
      </c>
      <c r="CF30" s="200">
        <f t="shared" si="20"/>
        <v>0</v>
      </c>
      <c r="CG30" s="203"/>
      <c r="CH30" s="207">
        <f t="shared" si="45"/>
        <v>0</v>
      </c>
      <c r="CI30" s="182"/>
      <c r="CJ30" s="208">
        <f t="shared" si="46"/>
        <v>0</v>
      </c>
      <c r="CK30" s="200">
        <f t="shared" si="21"/>
        <v>0</v>
      </c>
      <c r="CL30" s="201"/>
      <c r="CM30" s="202">
        <f t="shared" si="47"/>
        <v>0</v>
      </c>
      <c r="CN30" s="200">
        <f t="shared" si="22"/>
        <v>0</v>
      </c>
      <c r="CO30" s="203"/>
      <c r="CP30" s="207">
        <f t="shared" si="48"/>
        <v>0</v>
      </c>
      <c r="CQ30" s="401">
        <f t="shared" si="49"/>
        <v>0</v>
      </c>
      <c r="CR30" s="185" t="str">
        <f t="shared" si="23"/>
        <v/>
      </c>
      <c r="CS30" s="186"/>
      <c r="CT30" s="187" t="str">
        <f t="shared" si="50"/>
        <v/>
      </c>
      <c r="CU30" s="188" t="str">
        <f t="shared" si="24"/>
        <v/>
      </c>
      <c r="CV30" s="189"/>
      <c r="CW30" s="190" t="str">
        <f t="shared" si="51"/>
        <v/>
      </c>
      <c r="CX30" s="408" t="str">
        <f t="shared" si="52"/>
        <v/>
      </c>
      <c r="CY30" s="210"/>
      <c r="DA30" s="53">
        <f>IF(AND(CT30&lt;&gt;"",OR(CT30&lt;EXPEDIENTE!$I$25,CT30&gt;EXPEDIENTE!$I$29)),1,0)</f>
        <v>0</v>
      </c>
      <c r="DB30" s="53">
        <f>IF(AND(CW30&lt;&gt;"",OR(CW30&lt;EXPEDIENTE!$I$25,CW30&gt;EXPEDIENTE!$I$29)),1,0)</f>
        <v>0</v>
      </c>
      <c r="DD30" s="55">
        <f t="shared" si="53"/>
        <v>0</v>
      </c>
      <c r="DE30" s="55">
        <f t="shared" si="54"/>
        <v>0</v>
      </c>
      <c r="DF30" s="55">
        <f t="shared" si="55"/>
        <v>0</v>
      </c>
      <c r="DG30" s="55">
        <f t="shared" si="56"/>
        <v>0</v>
      </c>
      <c r="DH30" s="55">
        <f t="shared" si="57"/>
        <v>0</v>
      </c>
      <c r="DI30" s="55">
        <f t="shared" si="58"/>
        <v>0</v>
      </c>
      <c r="DJ30" s="55">
        <f t="shared" si="59"/>
        <v>0</v>
      </c>
      <c r="DK30" s="55">
        <f t="shared" si="60"/>
        <v>0</v>
      </c>
      <c r="DL30" s="55">
        <f t="shared" si="61"/>
        <v>0</v>
      </c>
      <c r="DM30" s="55">
        <f t="shared" si="62"/>
        <v>0</v>
      </c>
      <c r="DN30" s="55">
        <f t="shared" si="63"/>
        <v>0</v>
      </c>
      <c r="DO30" s="55">
        <f t="shared" si="64"/>
        <v>0</v>
      </c>
      <c r="DP30" s="55">
        <f t="shared" si="65"/>
        <v>0</v>
      </c>
      <c r="DQ30" s="55">
        <f t="shared" si="66"/>
        <v>0</v>
      </c>
      <c r="DR30" s="55">
        <f t="shared" si="67"/>
        <v>0</v>
      </c>
      <c r="DS30" s="55">
        <f t="shared" si="68"/>
        <v>0</v>
      </c>
      <c r="DT30" s="55">
        <f t="shared" si="69"/>
        <v>0</v>
      </c>
      <c r="DU30" s="55">
        <f t="shared" si="70"/>
        <v>0</v>
      </c>
      <c r="DW30" s="55">
        <f>IF(CY30&lt;&gt;"",MAX($DW$9:DW29)+1,0)</f>
        <v>0</v>
      </c>
      <c r="DX30" s="130" t="str">
        <f t="shared" si="71"/>
        <v/>
      </c>
    </row>
    <row r="31" spans="2:128" ht="30" customHeight="1" thickBot="1" x14ac:dyDescent="0.3">
      <c r="B31" s="972"/>
      <c r="C31" s="984" t="s">
        <v>281</v>
      </c>
      <c r="D31" s="985"/>
      <c r="E31" s="211"/>
      <c r="F31" s="212"/>
      <c r="G31" s="213"/>
      <c r="H31" s="213"/>
      <c r="I31" s="213"/>
      <c r="J31" s="213"/>
      <c r="K31" s="213"/>
      <c r="L31" s="268">
        <f t="shared" si="26"/>
        <v>0</v>
      </c>
      <c r="M31" s="690">
        <f t="shared" si="72"/>
        <v>0</v>
      </c>
      <c r="N31" s="161"/>
      <c r="O31" s="215"/>
      <c r="P31" s="216"/>
      <c r="Q31" s="216"/>
      <c r="R31" s="216"/>
      <c r="S31" s="216"/>
      <c r="T31" s="227">
        <f t="shared" si="27"/>
        <v>0</v>
      </c>
      <c r="U31" s="217"/>
      <c r="V31" s="163"/>
      <c r="W31" s="690">
        <f t="shared" si="73"/>
        <v>0</v>
      </c>
      <c r="X31" s="212"/>
      <c r="Y31" s="213"/>
      <c r="Z31" s="214">
        <f t="shared" si="28"/>
        <v>0</v>
      </c>
      <c r="AA31" s="218"/>
      <c r="AB31" s="219"/>
      <c r="AC31" s="324"/>
      <c r="AD31" s="325"/>
      <c r="AE31" s="328"/>
      <c r="AF31" s="357"/>
      <c r="AG31" s="53">
        <f>IF(AND(AA31&lt;&gt;"",OR(AA31&lt;EXPEDIENTE!$I$25,AA31&gt;EXPEDIENTE!$I$29)),1,0)</f>
        <v>0</v>
      </c>
      <c r="AH31" s="53">
        <f>IF(AND(AB31&lt;&gt;"",OR(AB31&lt;EXPEDIENTE!$I$25,AB31&gt;EXPEDIENTE!$I$29)),1,0)</f>
        <v>0</v>
      </c>
      <c r="AI31" s="53">
        <f>IF(DATE(YEAR(EXPEDIENTE!$I$25),MONTH(DATEVALUE($C31&amp;"1")),1)&gt;=DATE(YEAR(EXPEDIENTE!$I$25),MONTH(EXPEDIENTE!$I$25),1),0,1)</f>
        <v>0</v>
      </c>
      <c r="AJ31" s="53" t="e">
        <f>IF(DATE(YEAR(EXPEDIENTE!$I$25),MONTH(DATEVALUE($C31&amp;"1")),1)&lt;=DATE(YEAR(EXPEDIENTE!$I$29),MONTH(EXPEDIENTE!$I$29),1),0,1)</f>
        <v>#VALUE!</v>
      </c>
      <c r="AK31" s="53" t="e">
        <f t="shared" si="29"/>
        <v>#VALUE!</v>
      </c>
      <c r="AM31" s="1014"/>
      <c r="AN31" s="891" t="s">
        <v>281</v>
      </c>
      <c r="AO31" s="892"/>
      <c r="AP31" s="857"/>
      <c r="AQ31" s="858"/>
      <c r="AR31" s="221">
        <f t="shared" si="8"/>
        <v>0</v>
      </c>
      <c r="AS31" s="222"/>
      <c r="AT31" s="223">
        <f t="shared" si="30"/>
        <v>0</v>
      </c>
      <c r="AU31" s="224">
        <f t="shared" si="9"/>
        <v>0</v>
      </c>
      <c r="AV31" s="225"/>
      <c r="AW31" s="226">
        <f t="shared" si="31"/>
        <v>0</v>
      </c>
      <c r="AX31" s="224">
        <f t="shared" si="10"/>
        <v>0</v>
      </c>
      <c r="AY31" s="227"/>
      <c r="AZ31" s="228">
        <f t="shared" si="32"/>
        <v>0</v>
      </c>
      <c r="BA31" s="228">
        <f t="shared" si="11"/>
        <v>0</v>
      </c>
      <c r="BB31" s="227"/>
      <c r="BC31" s="228">
        <f t="shared" si="33"/>
        <v>0</v>
      </c>
      <c r="BD31" s="228">
        <f t="shared" si="12"/>
        <v>0</v>
      </c>
      <c r="BE31" s="227"/>
      <c r="BF31" s="228">
        <f t="shared" si="34"/>
        <v>0</v>
      </c>
      <c r="BG31" s="228">
        <f t="shared" si="13"/>
        <v>0</v>
      </c>
      <c r="BH31" s="227"/>
      <c r="BI31" s="228">
        <f t="shared" si="35"/>
        <v>0</v>
      </c>
      <c r="BJ31" s="228">
        <f t="shared" si="14"/>
        <v>0</v>
      </c>
      <c r="BK31" s="227"/>
      <c r="BL31" s="228">
        <f t="shared" si="36"/>
        <v>0</v>
      </c>
      <c r="BM31" s="232">
        <f t="shared" si="37"/>
        <v>0</v>
      </c>
      <c r="BN31" s="386">
        <f t="shared" si="38"/>
        <v>0</v>
      </c>
      <c r="BO31" s="177"/>
      <c r="BP31" s="224">
        <f t="shared" si="15"/>
        <v>0</v>
      </c>
      <c r="BQ31" s="225"/>
      <c r="BR31" s="231">
        <f t="shared" si="39"/>
        <v>0</v>
      </c>
      <c r="BS31" s="228">
        <f t="shared" si="16"/>
        <v>0</v>
      </c>
      <c r="BT31" s="227"/>
      <c r="BU31" s="228">
        <f t="shared" si="40"/>
        <v>0</v>
      </c>
      <c r="BV31" s="228">
        <f t="shared" si="17"/>
        <v>0</v>
      </c>
      <c r="BW31" s="227"/>
      <c r="BX31" s="228">
        <f t="shared" si="41"/>
        <v>0</v>
      </c>
      <c r="BY31" s="228">
        <f t="shared" si="18"/>
        <v>0</v>
      </c>
      <c r="BZ31" s="227"/>
      <c r="CA31" s="228">
        <f t="shared" si="42"/>
        <v>0</v>
      </c>
      <c r="CB31" s="228">
        <f t="shared" si="19"/>
        <v>0</v>
      </c>
      <c r="CC31" s="227"/>
      <c r="CD31" s="228">
        <f t="shared" si="43"/>
        <v>0</v>
      </c>
      <c r="CE31" s="229">
        <f t="shared" si="44"/>
        <v>0</v>
      </c>
      <c r="CF31" s="224">
        <f t="shared" si="20"/>
        <v>0</v>
      </c>
      <c r="CG31" s="227"/>
      <c r="CH31" s="232">
        <f t="shared" si="45"/>
        <v>0</v>
      </c>
      <c r="CI31" s="182"/>
      <c r="CJ31" s="230">
        <f t="shared" si="46"/>
        <v>0</v>
      </c>
      <c r="CK31" s="224">
        <f t="shared" si="21"/>
        <v>0</v>
      </c>
      <c r="CL31" s="225"/>
      <c r="CM31" s="226">
        <f t="shared" si="47"/>
        <v>0</v>
      </c>
      <c r="CN31" s="224">
        <f t="shared" si="22"/>
        <v>0</v>
      </c>
      <c r="CO31" s="227"/>
      <c r="CP31" s="232">
        <f t="shared" si="48"/>
        <v>0</v>
      </c>
      <c r="CQ31" s="386">
        <f t="shared" si="49"/>
        <v>0</v>
      </c>
      <c r="CR31" s="233" t="str">
        <f t="shared" si="23"/>
        <v/>
      </c>
      <c r="CS31" s="234"/>
      <c r="CT31" s="235" t="str">
        <f t="shared" si="50"/>
        <v/>
      </c>
      <c r="CU31" s="236" t="str">
        <f t="shared" si="24"/>
        <v/>
      </c>
      <c r="CV31" s="237"/>
      <c r="CW31" s="238" t="str">
        <f t="shared" si="51"/>
        <v/>
      </c>
      <c r="CX31" s="409" t="str">
        <f t="shared" si="52"/>
        <v/>
      </c>
      <c r="CY31" s="240"/>
      <c r="DA31" s="53">
        <f>IF(AND(CT31&lt;&gt;"",OR(CT31&lt;EXPEDIENTE!$I$25,CT31&gt;EXPEDIENTE!$I$29)),1,0)</f>
        <v>0</v>
      </c>
      <c r="DB31" s="53">
        <f>IF(AND(CW31&lt;&gt;"",OR(CW31&lt;EXPEDIENTE!$I$25,CW31&gt;EXPEDIENTE!$I$29)),1,0)</f>
        <v>0</v>
      </c>
      <c r="DD31" s="55">
        <f t="shared" si="53"/>
        <v>0</v>
      </c>
      <c r="DE31" s="55">
        <f t="shared" si="54"/>
        <v>0</v>
      </c>
      <c r="DF31" s="55">
        <f t="shared" si="55"/>
        <v>0</v>
      </c>
      <c r="DG31" s="55">
        <f t="shared" si="56"/>
        <v>0</v>
      </c>
      <c r="DH31" s="55">
        <f t="shared" si="57"/>
        <v>0</v>
      </c>
      <c r="DI31" s="55">
        <f t="shared" si="58"/>
        <v>0</v>
      </c>
      <c r="DJ31" s="55">
        <f t="shared" si="59"/>
        <v>0</v>
      </c>
      <c r="DK31" s="55">
        <f t="shared" si="60"/>
        <v>0</v>
      </c>
      <c r="DL31" s="55">
        <f t="shared" si="61"/>
        <v>0</v>
      </c>
      <c r="DM31" s="55">
        <f t="shared" si="62"/>
        <v>0</v>
      </c>
      <c r="DN31" s="55">
        <f t="shared" si="63"/>
        <v>0</v>
      </c>
      <c r="DO31" s="55">
        <f t="shared" si="64"/>
        <v>0</v>
      </c>
      <c r="DP31" s="55">
        <f t="shared" si="65"/>
        <v>0</v>
      </c>
      <c r="DQ31" s="55">
        <f t="shared" si="66"/>
        <v>0</v>
      </c>
      <c r="DR31" s="55">
        <f t="shared" si="67"/>
        <v>0</v>
      </c>
      <c r="DS31" s="55">
        <f t="shared" si="68"/>
        <v>0</v>
      </c>
      <c r="DT31" s="55">
        <f t="shared" si="69"/>
        <v>0</v>
      </c>
      <c r="DU31" s="55">
        <f t="shared" si="70"/>
        <v>0</v>
      </c>
      <c r="DW31" s="55">
        <f>IF(CY31&lt;&gt;"",MAX($DW$9:DW30)+1,0)</f>
        <v>0</v>
      </c>
      <c r="DX31" s="130" t="str">
        <f t="shared" si="71"/>
        <v/>
      </c>
    </row>
    <row r="32" spans="2:128" ht="9.9499999999999993" customHeight="1" thickBot="1" x14ac:dyDescent="0.3">
      <c r="B32" s="972"/>
      <c r="C32" s="336"/>
      <c r="D32" s="337"/>
      <c r="E32" s="337"/>
      <c r="F32" s="337"/>
      <c r="G32" s="337"/>
      <c r="H32" s="337"/>
      <c r="I32" s="337"/>
      <c r="J32" s="337"/>
      <c r="K32" s="337"/>
      <c r="L32" s="337"/>
      <c r="M32" s="338"/>
      <c r="N32" s="349"/>
      <c r="O32" s="350"/>
      <c r="P32" s="350"/>
      <c r="Q32" s="350"/>
      <c r="R32" s="350"/>
      <c r="S32" s="350"/>
      <c r="T32" s="350"/>
      <c r="U32" s="350"/>
      <c r="V32" s="351"/>
      <c r="W32" s="339"/>
      <c r="X32" s="337"/>
      <c r="Y32" s="337"/>
      <c r="Z32" s="337"/>
      <c r="AA32" s="337"/>
      <c r="AB32" s="337"/>
      <c r="AC32" s="337"/>
      <c r="AD32" s="337"/>
      <c r="AE32" s="340"/>
      <c r="AF32" s="357"/>
      <c r="AM32" s="1014"/>
      <c r="AN32" s="379"/>
      <c r="AO32" s="380"/>
      <c r="AP32" s="380"/>
      <c r="AQ32" s="380"/>
      <c r="AR32" s="380"/>
      <c r="AS32" s="380"/>
      <c r="AT32" s="380"/>
      <c r="AU32" s="380"/>
      <c r="AV32" s="380"/>
      <c r="AW32" s="380"/>
      <c r="AX32" s="380"/>
      <c r="AY32" s="380"/>
      <c r="AZ32" s="380"/>
      <c r="BA32" s="380"/>
      <c r="BB32" s="380"/>
      <c r="BC32" s="380"/>
      <c r="BD32" s="380"/>
      <c r="BE32" s="380"/>
      <c r="BF32" s="380"/>
      <c r="BG32" s="380"/>
      <c r="BH32" s="380"/>
      <c r="BI32" s="380"/>
      <c r="BJ32" s="380"/>
      <c r="BK32" s="380"/>
      <c r="BL32" s="380"/>
      <c r="BM32" s="380"/>
      <c r="BN32" s="381"/>
      <c r="BO32" s="241"/>
      <c r="BP32" s="242"/>
      <c r="BQ32" s="242"/>
      <c r="BR32" s="242"/>
      <c r="BS32" s="242"/>
      <c r="BT32" s="242"/>
      <c r="BU32" s="242"/>
      <c r="BV32" s="242"/>
      <c r="BW32" s="242"/>
      <c r="BX32" s="242"/>
      <c r="BY32" s="242"/>
      <c r="BZ32" s="242"/>
      <c r="CA32" s="242"/>
      <c r="CB32" s="242"/>
      <c r="CC32" s="242"/>
      <c r="CD32" s="242"/>
      <c r="CE32" s="242"/>
      <c r="CF32" s="242"/>
      <c r="CG32" s="242"/>
      <c r="CH32" s="242"/>
      <c r="CI32" s="243"/>
      <c r="CJ32" s="384"/>
      <c r="CK32" s="380"/>
      <c r="CL32" s="380"/>
      <c r="CM32" s="380"/>
      <c r="CN32" s="380"/>
      <c r="CO32" s="380"/>
      <c r="CP32" s="380"/>
      <c r="CQ32" s="380"/>
      <c r="CR32" s="380"/>
      <c r="CS32" s="380"/>
      <c r="CT32" s="380"/>
      <c r="CU32" s="380"/>
      <c r="CV32" s="380"/>
      <c r="CW32" s="380"/>
      <c r="CX32" s="380"/>
      <c r="CY32" s="385"/>
    </row>
    <row r="33" spans="2:128" ht="9.9499999999999993" customHeight="1" thickBot="1" x14ac:dyDescent="0.3">
      <c r="B33" s="972"/>
      <c r="C33" s="348"/>
      <c r="D33" s="346"/>
      <c r="E33" s="346"/>
      <c r="F33" s="346"/>
      <c r="G33" s="346"/>
      <c r="H33" s="346"/>
      <c r="I33" s="346"/>
      <c r="J33" s="346"/>
      <c r="K33" s="346"/>
      <c r="L33" s="346"/>
      <c r="M33" s="346"/>
      <c r="N33" s="346"/>
      <c r="O33" s="346"/>
      <c r="P33" s="346"/>
      <c r="Q33" s="346"/>
      <c r="R33" s="346"/>
      <c r="S33" s="346"/>
      <c r="T33" s="346"/>
      <c r="U33" s="346"/>
      <c r="V33" s="346"/>
      <c r="W33" s="346"/>
      <c r="X33" s="346"/>
      <c r="Y33" s="346"/>
      <c r="Z33" s="346"/>
      <c r="AA33" s="346"/>
      <c r="AB33" s="346"/>
      <c r="AC33" s="346"/>
      <c r="AD33" s="346"/>
      <c r="AE33" s="347"/>
      <c r="AF33" s="357"/>
      <c r="AM33" s="1014"/>
      <c r="AN33" s="377"/>
      <c r="AO33" s="378"/>
      <c r="AP33" s="378"/>
      <c r="AQ33" s="378"/>
      <c r="AR33" s="378"/>
      <c r="AS33" s="378"/>
      <c r="AT33" s="378"/>
      <c r="AU33" s="378"/>
      <c r="AV33" s="378"/>
      <c r="AW33" s="378"/>
      <c r="AX33" s="378"/>
      <c r="AY33" s="378"/>
      <c r="AZ33" s="378"/>
      <c r="BA33" s="378"/>
      <c r="BB33" s="378"/>
      <c r="BC33" s="378"/>
      <c r="BD33" s="378"/>
      <c r="BE33" s="378"/>
      <c r="BF33" s="378"/>
      <c r="BG33" s="378"/>
      <c r="BH33" s="378"/>
      <c r="BI33" s="378"/>
      <c r="BJ33" s="378"/>
      <c r="BK33" s="378"/>
      <c r="BL33" s="378"/>
      <c r="BM33" s="378"/>
      <c r="BN33" s="378"/>
      <c r="BO33" s="378"/>
      <c r="BP33" s="378"/>
      <c r="BQ33" s="378"/>
      <c r="BR33" s="378"/>
      <c r="BS33" s="378"/>
      <c r="BT33" s="378"/>
      <c r="BU33" s="378"/>
      <c r="BV33" s="378"/>
      <c r="BW33" s="378"/>
      <c r="BX33" s="378"/>
      <c r="BY33" s="378"/>
      <c r="BZ33" s="378"/>
      <c r="CA33" s="378"/>
      <c r="CB33" s="378"/>
      <c r="CC33" s="378"/>
      <c r="CD33" s="378"/>
      <c r="CE33" s="378"/>
      <c r="CF33" s="378"/>
      <c r="CG33" s="378"/>
      <c r="CH33" s="378"/>
      <c r="CI33" s="378"/>
      <c r="CJ33" s="378"/>
      <c r="CK33" s="378"/>
      <c r="CL33" s="378"/>
      <c r="CM33" s="378"/>
      <c r="CN33" s="378"/>
      <c r="CO33" s="378"/>
      <c r="CP33" s="378"/>
      <c r="CQ33" s="378"/>
      <c r="CR33" s="378"/>
      <c r="CS33" s="378"/>
      <c r="CT33" s="378"/>
      <c r="CU33" s="378"/>
      <c r="CV33" s="378"/>
      <c r="CW33" s="378"/>
      <c r="CX33" s="378"/>
      <c r="CY33" s="383"/>
    </row>
    <row r="34" spans="2:128" s="244" customFormat="1" ht="54.95" customHeight="1" thickTop="1" thickBot="1" x14ac:dyDescent="0.3">
      <c r="B34" s="972"/>
      <c r="C34" s="983" t="s">
        <v>282</v>
      </c>
      <c r="D34" s="983"/>
      <c r="E34" s="983"/>
      <c r="F34" s="983"/>
      <c r="G34" s="983"/>
      <c r="H34" s="983"/>
      <c r="I34" s="983"/>
      <c r="J34" s="983"/>
      <c r="K34" s="983"/>
      <c r="L34" s="983"/>
      <c r="M34" s="983"/>
      <c r="N34" s="983"/>
      <c r="O34" s="983"/>
      <c r="P34" s="983"/>
      <c r="Q34" s="983"/>
      <c r="R34" s="983"/>
      <c r="S34" s="983"/>
      <c r="T34" s="983"/>
      <c r="U34" s="983"/>
      <c r="V34" s="983"/>
      <c r="W34" s="983"/>
      <c r="X34" s="983"/>
      <c r="Y34" s="983"/>
      <c r="Z34" s="983"/>
      <c r="AA34" s="983"/>
      <c r="AB34" s="983"/>
      <c r="AC34" s="983"/>
      <c r="AD34" s="983"/>
      <c r="AE34" s="983"/>
      <c r="AF34" s="358"/>
      <c r="AG34" s="53"/>
      <c r="AH34" s="53"/>
      <c r="AI34" s="245"/>
      <c r="AJ34" s="245"/>
      <c r="AK34" s="245"/>
      <c r="AL34" s="246"/>
      <c r="AM34" s="1014"/>
      <c r="AN34" s="1019" t="s">
        <v>282</v>
      </c>
      <c r="AO34" s="1019"/>
      <c r="AP34" s="1019"/>
      <c r="AQ34" s="1019"/>
      <c r="AR34" s="1019"/>
      <c r="AS34" s="1019"/>
      <c r="AT34" s="1019"/>
      <c r="AU34" s="1019"/>
      <c r="AV34" s="1019"/>
      <c r="AW34" s="1019"/>
      <c r="AX34" s="1019"/>
      <c r="AY34" s="1019"/>
      <c r="AZ34" s="1019"/>
      <c r="BA34" s="1019"/>
      <c r="BB34" s="1019"/>
      <c r="BC34" s="1019"/>
      <c r="BD34" s="1019"/>
      <c r="BE34" s="1019"/>
      <c r="BF34" s="1019"/>
      <c r="BG34" s="1019"/>
      <c r="BH34" s="1019"/>
      <c r="BI34" s="1019"/>
      <c r="BJ34" s="1019"/>
      <c r="BK34" s="1019"/>
      <c r="BL34" s="1019"/>
      <c r="BM34" s="1019"/>
      <c r="BN34" s="1019"/>
      <c r="BO34" s="1019"/>
      <c r="BP34" s="1019"/>
      <c r="BQ34" s="1019"/>
      <c r="BR34" s="1019"/>
      <c r="BS34" s="1019"/>
      <c r="BT34" s="1019"/>
      <c r="BU34" s="1019"/>
      <c r="BV34" s="1019"/>
      <c r="BW34" s="1019"/>
      <c r="BX34" s="1019"/>
      <c r="BY34" s="1019"/>
      <c r="BZ34" s="1019"/>
      <c r="CA34" s="1019"/>
      <c r="CB34" s="1019"/>
      <c r="CC34" s="1019"/>
      <c r="CD34" s="1019"/>
      <c r="CE34" s="1019"/>
      <c r="CF34" s="1019"/>
      <c r="CG34" s="1019"/>
      <c r="CH34" s="1019"/>
      <c r="CI34" s="1019"/>
      <c r="CJ34" s="1019"/>
      <c r="CK34" s="1019"/>
      <c r="CL34" s="1019"/>
      <c r="CM34" s="1019"/>
      <c r="CN34" s="1019"/>
      <c r="CO34" s="1019"/>
      <c r="CP34" s="1019"/>
      <c r="CQ34" s="1019"/>
      <c r="CR34" s="1019"/>
      <c r="CS34" s="1019"/>
      <c r="CT34" s="1019"/>
      <c r="CU34" s="1019"/>
      <c r="CV34" s="1019"/>
      <c r="CW34" s="1019"/>
      <c r="CX34" s="1019"/>
      <c r="CY34" s="1020"/>
      <c r="CZ34" s="246"/>
      <c r="DA34" s="53"/>
      <c r="DB34" s="53"/>
      <c r="DD34" s="245"/>
      <c r="DE34" s="245"/>
      <c r="DF34" s="245"/>
      <c r="DG34" s="245"/>
      <c r="DH34" s="245"/>
      <c r="DI34" s="245"/>
      <c r="DJ34" s="245"/>
      <c r="DK34" s="245"/>
      <c r="DL34" s="245"/>
      <c r="DM34" s="245"/>
      <c r="DN34" s="245"/>
      <c r="DO34" s="245"/>
      <c r="DP34" s="245"/>
      <c r="DQ34" s="245"/>
      <c r="DR34" s="245"/>
      <c r="DS34" s="245"/>
      <c r="DT34" s="245"/>
      <c r="DU34" s="245"/>
    </row>
    <row r="35" spans="2:128" ht="20.100000000000001" customHeight="1" thickTop="1" thickBot="1" x14ac:dyDescent="0.3">
      <c r="B35" s="972"/>
      <c r="C35" s="957" t="s">
        <v>193</v>
      </c>
      <c r="D35" s="958"/>
      <c r="E35" s="958"/>
      <c r="F35" s="959" t="s">
        <v>194</v>
      </c>
      <c r="G35" s="959"/>
      <c r="H35" s="959"/>
      <c r="I35" s="959"/>
      <c r="J35" s="959"/>
      <c r="K35" s="959"/>
      <c r="L35" s="959"/>
      <c r="M35" s="960"/>
      <c r="N35" s="968" t="s">
        <v>195</v>
      </c>
      <c r="O35" s="969"/>
      <c r="P35" s="969"/>
      <c r="Q35" s="969"/>
      <c r="R35" s="969"/>
      <c r="S35" s="969"/>
      <c r="T35" s="969"/>
      <c r="U35" s="969"/>
      <c r="V35" s="970"/>
      <c r="W35" s="961" t="s">
        <v>196</v>
      </c>
      <c r="X35" s="953" t="s">
        <v>197</v>
      </c>
      <c r="Y35" s="898" t="s">
        <v>198</v>
      </c>
      <c r="Z35" s="898" t="s">
        <v>199</v>
      </c>
      <c r="AA35" s="898" t="s">
        <v>200</v>
      </c>
      <c r="AB35" s="900" t="s">
        <v>201</v>
      </c>
      <c r="AC35" s="953" t="s">
        <v>202</v>
      </c>
      <c r="AD35" s="900" t="s">
        <v>203</v>
      </c>
      <c r="AE35" s="1009" t="s">
        <v>204</v>
      </c>
      <c r="AF35" s="357"/>
      <c r="AM35" s="1014"/>
      <c r="AN35" s="939" t="s">
        <v>193</v>
      </c>
      <c r="AO35" s="940"/>
      <c r="AP35" s="940"/>
      <c r="AQ35" s="940"/>
      <c r="AR35" s="940"/>
      <c r="AS35" s="940"/>
      <c r="AT35" s="942"/>
      <c r="AU35" s="888" t="s">
        <v>194</v>
      </c>
      <c r="AV35" s="889"/>
      <c r="AW35" s="889"/>
      <c r="AX35" s="889"/>
      <c r="AY35" s="889"/>
      <c r="AZ35" s="889"/>
      <c r="BA35" s="889"/>
      <c r="BB35" s="889"/>
      <c r="BC35" s="889"/>
      <c r="BD35" s="889"/>
      <c r="BE35" s="889"/>
      <c r="BF35" s="889"/>
      <c r="BG35" s="889"/>
      <c r="BH35" s="889"/>
      <c r="BI35" s="889"/>
      <c r="BJ35" s="889"/>
      <c r="BK35" s="889"/>
      <c r="BL35" s="889"/>
      <c r="BM35" s="889"/>
      <c r="BN35" s="890"/>
      <c r="BO35" s="916" t="s">
        <v>195</v>
      </c>
      <c r="BP35" s="917"/>
      <c r="BQ35" s="917"/>
      <c r="BR35" s="917"/>
      <c r="BS35" s="917"/>
      <c r="BT35" s="917"/>
      <c r="BU35" s="917"/>
      <c r="BV35" s="917"/>
      <c r="BW35" s="917"/>
      <c r="BX35" s="917"/>
      <c r="BY35" s="917"/>
      <c r="BZ35" s="917"/>
      <c r="CA35" s="917"/>
      <c r="CB35" s="917"/>
      <c r="CC35" s="917"/>
      <c r="CD35" s="917"/>
      <c r="CE35" s="917"/>
      <c r="CF35" s="917"/>
      <c r="CG35" s="918"/>
      <c r="CH35" s="918"/>
      <c r="CI35" s="919"/>
      <c r="CJ35" s="922" t="s">
        <v>196</v>
      </c>
      <c r="CK35" s="816" t="s">
        <v>208</v>
      </c>
      <c r="CL35" s="817"/>
      <c r="CM35" s="818"/>
      <c r="CN35" s="816" t="s">
        <v>209</v>
      </c>
      <c r="CO35" s="817"/>
      <c r="CP35" s="818"/>
      <c r="CQ35" s="885" t="s">
        <v>199</v>
      </c>
      <c r="CR35" s="827" t="s">
        <v>210</v>
      </c>
      <c r="CS35" s="828"/>
      <c r="CT35" s="829"/>
      <c r="CU35" s="830" t="s">
        <v>211</v>
      </c>
      <c r="CV35" s="831"/>
      <c r="CW35" s="832"/>
      <c r="CX35" s="847" t="s">
        <v>212</v>
      </c>
      <c r="CY35" s="838" t="s">
        <v>213</v>
      </c>
    </row>
    <row r="36" spans="2:128" ht="15" customHeight="1" x14ac:dyDescent="0.25">
      <c r="B36" s="972"/>
      <c r="C36" s="974" t="s">
        <v>283</v>
      </c>
      <c r="D36" s="897" t="s">
        <v>284</v>
      </c>
      <c r="E36" s="986"/>
      <c r="F36" s="951" t="s">
        <v>216</v>
      </c>
      <c r="G36" s="897" t="s">
        <v>217</v>
      </c>
      <c r="H36" s="897"/>
      <c r="I36" s="897"/>
      <c r="J36" s="897"/>
      <c r="K36" s="897"/>
      <c r="L36" s="1012"/>
      <c r="M36" s="902" t="s">
        <v>218</v>
      </c>
      <c r="N36" s="143"/>
      <c r="O36" s="896" t="s">
        <v>219</v>
      </c>
      <c r="P36" s="897"/>
      <c r="Q36" s="897"/>
      <c r="R36" s="897"/>
      <c r="S36" s="897"/>
      <c r="T36" s="897"/>
      <c r="U36" s="902" t="s">
        <v>220</v>
      </c>
      <c r="V36" s="144"/>
      <c r="W36" s="961"/>
      <c r="X36" s="953"/>
      <c r="Y36" s="898"/>
      <c r="Z36" s="898"/>
      <c r="AA36" s="898"/>
      <c r="AB36" s="900"/>
      <c r="AC36" s="953"/>
      <c r="AD36" s="900"/>
      <c r="AE36" s="1010"/>
      <c r="AF36" s="357"/>
      <c r="AM36" s="1014"/>
      <c r="AN36" s="920" t="s">
        <v>283</v>
      </c>
      <c r="AO36" s="862" t="s">
        <v>284</v>
      </c>
      <c r="AP36" s="863"/>
      <c r="AQ36" s="864"/>
      <c r="AR36" s="862" t="s">
        <v>284</v>
      </c>
      <c r="AS36" s="863"/>
      <c r="AT36" s="864"/>
      <c r="AU36" s="865" t="s">
        <v>221</v>
      </c>
      <c r="AV36" s="866"/>
      <c r="AW36" s="867"/>
      <c r="AX36" s="909" t="s">
        <v>217</v>
      </c>
      <c r="AY36" s="911"/>
      <c r="AZ36" s="911"/>
      <c r="BA36" s="911"/>
      <c r="BB36" s="911"/>
      <c r="BC36" s="911"/>
      <c r="BD36" s="911"/>
      <c r="BE36" s="911"/>
      <c r="BF36" s="911"/>
      <c r="BG36" s="911"/>
      <c r="BH36" s="911"/>
      <c r="BI36" s="911"/>
      <c r="BJ36" s="911"/>
      <c r="BK36" s="911"/>
      <c r="BL36" s="911"/>
      <c r="BM36" s="912"/>
      <c r="BN36" s="937" t="s">
        <v>222</v>
      </c>
      <c r="BO36" s="145"/>
      <c r="BP36" s="909" t="s">
        <v>223</v>
      </c>
      <c r="BQ36" s="910"/>
      <c r="BR36" s="910"/>
      <c r="BS36" s="911"/>
      <c r="BT36" s="911"/>
      <c r="BU36" s="911"/>
      <c r="BV36" s="911"/>
      <c r="BW36" s="911"/>
      <c r="BX36" s="911"/>
      <c r="BY36" s="911"/>
      <c r="BZ36" s="911"/>
      <c r="CA36" s="911"/>
      <c r="CB36" s="911"/>
      <c r="CC36" s="911"/>
      <c r="CD36" s="911"/>
      <c r="CE36" s="912"/>
      <c r="CF36" s="813" t="s">
        <v>224</v>
      </c>
      <c r="CG36" s="814"/>
      <c r="CH36" s="815"/>
      <c r="CI36" s="146"/>
      <c r="CJ36" s="923"/>
      <c r="CK36" s="819" t="s">
        <v>161</v>
      </c>
      <c r="CL36" s="821" t="s">
        <v>68</v>
      </c>
      <c r="CM36" s="823" t="s">
        <v>162</v>
      </c>
      <c r="CN36" s="819" t="s">
        <v>161</v>
      </c>
      <c r="CO36" s="821" t="s">
        <v>68</v>
      </c>
      <c r="CP36" s="823" t="s">
        <v>162</v>
      </c>
      <c r="CQ36" s="886"/>
      <c r="CR36" s="819" t="s">
        <v>161</v>
      </c>
      <c r="CS36" s="821" t="s">
        <v>68</v>
      </c>
      <c r="CT36" s="823" t="s">
        <v>162</v>
      </c>
      <c r="CU36" s="819" t="s">
        <v>161</v>
      </c>
      <c r="CV36" s="821" t="s">
        <v>68</v>
      </c>
      <c r="CW36" s="823" t="s">
        <v>162</v>
      </c>
      <c r="CX36" s="849"/>
      <c r="CY36" s="839"/>
    </row>
    <row r="37" spans="2:128" ht="45" customHeight="1" thickBot="1" x14ac:dyDescent="0.3">
      <c r="B37" s="972"/>
      <c r="C37" s="975"/>
      <c r="D37" s="329" t="s">
        <v>285</v>
      </c>
      <c r="E37" s="330" t="s">
        <v>286</v>
      </c>
      <c r="F37" s="952"/>
      <c r="G37" s="310" t="s">
        <v>225</v>
      </c>
      <c r="H37" s="310" t="s">
        <v>226</v>
      </c>
      <c r="I37" s="310" t="s">
        <v>227</v>
      </c>
      <c r="J37" s="310" t="s">
        <v>228</v>
      </c>
      <c r="K37" s="310" t="s">
        <v>229</v>
      </c>
      <c r="L37" s="311" t="s">
        <v>230</v>
      </c>
      <c r="M37" s="903"/>
      <c r="N37" s="147"/>
      <c r="O37" s="319" t="s">
        <v>231</v>
      </c>
      <c r="P37" s="310" t="s">
        <v>232</v>
      </c>
      <c r="Q37" s="310" t="s">
        <v>233</v>
      </c>
      <c r="R37" s="310" t="s">
        <v>234</v>
      </c>
      <c r="S37" s="310" t="s">
        <v>235</v>
      </c>
      <c r="T37" s="310" t="s">
        <v>236</v>
      </c>
      <c r="U37" s="903"/>
      <c r="V37" s="148"/>
      <c r="W37" s="962"/>
      <c r="X37" s="954"/>
      <c r="Y37" s="899"/>
      <c r="Z37" s="899"/>
      <c r="AA37" s="899"/>
      <c r="AB37" s="901"/>
      <c r="AC37" s="954"/>
      <c r="AD37" s="901"/>
      <c r="AE37" s="1011"/>
      <c r="AF37" s="357"/>
      <c r="AM37" s="1014"/>
      <c r="AN37" s="921"/>
      <c r="AO37" s="149" t="s">
        <v>287</v>
      </c>
      <c r="AP37" s="557" t="s">
        <v>288</v>
      </c>
      <c r="AQ37" s="150" t="s">
        <v>162</v>
      </c>
      <c r="AR37" s="149" t="s">
        <v>289</v>
      </c>
      <c r="AS37" s="557" t="s">
        <v>290</v>
      </c>
      <c r="AT37" s="150" t="s">
        <v>162</v>
      </c>
      <c r="AU37" s="149" t="s">
        <v>161</v>
      </c>
      <c r="AV37" s="554" t="s">
        <v>68</v>
      </c>
      <c r="AW37" s="150" t="s">
        <v>162</v>
      </c>
      <c r="AX37" s="151" t="s">
        <v>238</v>
      </c>
      <c r="AY37" s="555" t="s">
        <v>239</v>
      </c>
      <c r="AZ37" s="152" t="s">
        <v>240</v>
      </c>
      <c r="BA37" s="152" t="s">
        <v>241</v>
      </c>
      <c r="BB37" s="555" t="s">
        <v>242</v>
      </c>
      <c r="BC37" s="152" t="s">
        <v>243</v>
      </c>
      <c r="BD37" s="152" t="s">
        <v>244</v>
      </c>
      <c r="BE37" s="555" t="s">
        <v>245</v>
      </c>
      <c r="BF37" s="152" t="s">
        <v>246</v>
      </c>
      <c r="BG37" s="152" t="s">
        <v>247</v>
      </c>
      <c r="BH37" s="555" t="s">
        <v>248</v>
      </c>
      <c r="BI37" s="152" t="s">
        <v>249</v>
      </c>
      <c r="BJ37" s="152" t="s">
        <v>250</v>
      </c>
      <c r="BK37" s="555" t="s">
        <v>251</v>
      </c>
      <c r="BL37" s="152" t="s">
        <v>252</v>
      </c>
      <c r="BM37" s="373" t="s">
        <v>253</v>
      </c>
      <c r="BN37" s="938"/>
      <c r="BO37" s="154"/>
      <c r="BP37" s="151" t="s">
        <v>254</v>
      </c>
      <c r="BQ37" s="555" t="s">
        <v>255</v>
      </c>
      <c r="BR37" s="152" t="s">
        <v>256</v>
      </c>
      <c r="BS37" s="152" t="s">
        <v>257</v>
      </c>
      <c r="BT37" s="555" t="s">
        <v>258</v>
      </c>
      <c r="BU37" s="152" t="s">
        <v>259</v>
      </c>
      <c r="BV37" s="152" t="s">
        <v>260</v>
      </c>
      <c r="BW37" s="555" t="s">
        <v>261</v>
      </c>
      <c r="BX37" s="152" t="s">
        <v>262</v>
      </c>
      <c r="BY37" s="152" t="s">
        <v>263</v>
      </c>
      <c r="BZ37" s="555" t="s">
        <v>264</v>
      </c>
      <c r="CA37" s="152" t="s">
        <v>265</v>
      </c>
      <c r="CB37" s="152" t="s">
        <v>266</v>
      </c>
      <c r="CC37" s="555" t="s">
        <v>267</v>
      </c>
      <c r="CD37" s="152" t="s">
        <v>268</v>
      </c>
      <c r="CE37" s="373" t="s">
        <v>269</v>
      </c>
      <c r="CF37" s="155" t="s">
        <v>161</v>
      </c>
      <c r="CG37" s="556" t="s">
        <v>68</v>
      </c>
      <c r="CH37" s="156" t="s">
        <v>162</v>
      </c>
      <c r="CI37" s="157"/>
      <c r="CJ37" s="924"/>
      <c r="CK37" s="820"/>
      <c r="CL37" s="822"/>
      <c r="CM37" s="824"/>
      <c r="CN37" s="820"/>
      <c r="CO37" s="822"/>
      <c r="CP37" s="824"/>
      <c r="CQ37" s="887"/>
      <c r="CR37" s="820"/>
      <c r="CS37" s="822"/>
      <c r="CT37" s="824"/>
      <c r="CU37" s="820"/>
      <c r="CV37" s="822"/>
      <c r="CW37" s="824"/>
      <c r="CX37" s="848"/>
      <c r="CY37" s="840"/>
      <c r="DD37" s="55" t="s">
        <v>164</v>
      </c>
      <c r="DE37" s="55" t="s">
        <v>165</v>
      </c>
      <c r="DF37" s="55" t="s">
        <v>166</v>
      </c>
      <c r="DG37" s="55" t="s">
        <v>167</v>
      </c>
      <c r="DH37" s="55" t="s">
        <v>168</v>
      </c>
      <c r="DI37" s="55" t="s">
        <v>169</v>
      </c>
      <c r="DJ37" s="55" t="s">
        <v>170</v>
      </c>
      <c r="DK37" s="55" t="s">
        <v>171</v>
      </c>
      <c r="DL37" s="55" t="s">
        <v>172</v>
      </c>
      <c r="DM37" s="55" t="s">
        <v>173</v>
      </c>
      <c r="DN37" s="55" t="s">
        <v>174</v>
      </c>
      <c r="DO37" s="55" t="s">
        <v>175</v>
      </c>
      <c r="DP37" s="55" t="s">
        <v>176</v>
      </c>
      <c r="DQ37" s="55" t="s">
        <v>177</v>
      </c>
      <c r="DR37" s="55" t="s">
        <v>178</v>
      </c>
      <c r="DS37" s="55" t="s">
        <v>179</v>
      </c>
      <c r="DT37" s="55" t="s">
        <v>180</v>
      </c>
      <c r="DU37" s="55" t="s">
        <v>181</v>
      </c>
    </row>
    <row r="38" spans="2:128" ht="30" customHeight="1" x14ac:dyDescent="0.25">
      <c r="B38" s="972"/>
      <c r="C38" s="331"/>
      <c r="D38" s="164"/>
      <c r="E38" s="165"/>
      <c r="F38" s="159"/>
      <c r="G38" s="160"/>
      <c r="H38" s="160"/>
      <c r="I38" s="160"/>
      <c r="J38" s="160"/>
      <c r="K38" s="160"/>
      <c r="L38" s="180">
        <f>SUM(G38:K38)</f>
        <v>0</v>
      </c>
      <c r="M38" s="257">
        <f>F38+L38</f>
        <v>0</v>
      </c>
      <c r="N38" s="247"/>
      <c r="O38" s="248"/>
      <c r="P38" s="249"/>
      <c r="Q38" s="249"/>
      <c r="R38" s="249"/>
      <c r="S38" s="249"/>
      <c r="T38" s="180">
        <f>SUM(O38:S38)</f>
        <v>0</v>
      </c>
      <c r="U38" s="250"/>
      <c r="V38" s="163"/>
      <c r="W38" s="183">
        <f>M38+T38+U38</f>
        <v>0</v>
      </c>
      <c r="X38" s="248"/>
      <c r="Y38" s="249"/>
      <c r="Z38" s="173">
        <f>F38+L38+T38+U38-X38-Y38</f>
        <v>0</v>
      </c>
      <c r="AA38" s="164"/>
      <c r="AB38" s="165"/>
      <c r="AC38" s="320"/>
      <c r="AD38" s="321"/>
      <c r="AE38" s="359"/>
      <c r="AF38" s="357"/>
      <c r="AG38" s="53">
        <f>IF(AND(AA38&lt;&gt;"",OR(AA38&lt;EXPEDIENTE!$I$25,AA38&gt;EXPEDIENTE!$I$29)),1,0)</f>
        <v>0</v>
      </c>
      <c r="AH38" s="53">
        <f>IF(AND(AB38&lt;&gt;"",OR(AB38&lt;EXPEDIENTE!$I$25,AB38&gt;EXPEDIENTE!$I$29)),1,0)</f>
        <v>0</v>
      </c>
      <c r="AM38" s="1014"/>
      <c r="AN38" s="558" t="str">
        <f t="shared" ref="AN38:AN45" si="74">IF(C38="","",C38)</f>
        <v/>
      </c>
      <c r="AO38" s="252" t="str">
        <f>IF(D38="","",D38)</f>
        <v/>
      </c>
      <c r="AP38" s="253"/>
      <c r="AQ38" s="254" t="str">
        <f>IF(AP38="",AO38,AP38)</f>
        <v/>
      </c>
      <c r="AR38" s="252" t="str">
        <f t="shared" ref="AR38:AR45" si="75">IF(E38="","",E38)</f>
        <v/>
      </c>
      <c r="AS38" s="253"/>
      <c r="AT38" s="254" t="str">
        <f>IF(AS38="",AR38,AS38)</f>
        <v/>
      </c>
      <c r="AU38" s="170">
        <f t="shared" ref="AU38:AU45" si="76">IF(F38="",0,F38)</f>
        <v>0</v>
      </c>
      <c r="AV38" s="171"/>
      <c r="AW38" s="172">
        <f>IF(AV38="",AU38,AV38)</f>
        <v>0</v>
      </c>
      <c r="AX38" s="170">
        <f t="shared" ref="AX38:AX45" si="77">IF(G38="",0,G38)</f>
        <v>0</v>
      </c>
      <c r="AY38" s="173"/>
      <c r="AZ38" s="174">
        <f>IF(AY38="",AX38,AY38)</f>
        <v>0</v>
      </c>
      <c r="BA38" s="174">
        <f t="shared" ref="BA38:BA45" si="78">IF(H38="",0,H38)</f>
        <v>0</v>
      </c>
      <c r="BB38" s="173"/>
      <c r="BC38" s="174">
        <f>IF(BB38="",BA38,BB38)</f>
        <v>0</v>
      </c>
      <c r="BD38" s="174">
        <f t="shared" ref="BD38:BD45" si="79">IF(I38="",0,I38)</f>
        <v>0</v>
      </c>
      <c r="BE38" s="173"/>
      <c r="BF38" s="174">
        <f>IF(BE38="",BD38,BE38)</f>
        <v>0</v>
      </c>
      <c r="BG38" s="174">
        <f t="shared" ref="BG38:BG45" si="80">IF(J38="",0,J38)</f>
        <v>0</v>
      </c>
      <c r="BH38" s="173"/>
      <c r="BI38" s="174">
        <f>IF(BH38="",BG38,BH38)</f>
        <v>0</v>
      </c>
      <c r="BJ38" s="174">
        <f t="shared" ref="BJ38:BJ45" si="81">IF(K38="",0,K38)</f>
        <v>0</v>
      </c>
      <c r="BK38" s="173"/>
      <c r="BL38" s="174">
        <f>IF(BK38="",BJ38,BK38)</f>
        <v>0</v>
      </c>
      <c r="BM38" s="207">
        <f>AZ38+BC38+BF38+BI38+BL38</f>
        <v>0</v>
      </c>
      <c r="BN38" s="258">
        <f>AW38+BM38</f>
        <v>0</v>
      </c>
      <c r="BO38" s="255"/>
      <c r="BP38" s="170">
        <f t="shared" ref="BP38:BP45" si="82">IF(O38="",0,O38)</f>
        <v>0</v>
      </c>
      <c r="BQ38" s="256"/>
      <c r="BR38" s="178">
        <f>IF(BQ38="",BP38,BQ38)</f>
        <v>0</v>
      </c>
      <c r="BS38" s="174">
        <f t="shared" ref="BS38:BS45" si="83">IF(P38="",0,P38)</f>
        <v>0</v>
      </c>
      <c r="BT38" s="180"/>
      <c r="BU38" s="174">
        <f>IF(BT38="",BS38,BT38)</f>
        <v>0</v>
      </c>
      <c r="BV38" s="174">
        <f t="shared" ref="BV38:BV45" si="84">IF(Q38="",0,Q38)</f>
        <v>0</v>
      </c>
      <c r="BW38" s="180"/>
      <c r="BX38" s="174">
        <f>IF(BW38="",BV38,BW38)</f>
        <v>0</v>
      </c>
      <c r="BY38" s="174">
        <f t="shared" ref="BY38:BY45" si="85">IF(R38="",0,R38)</f>
        <v>0</v>
      </c>
      <c r="BZ38" s="180"/>
      <c r="CA38" s="174">
        <f>IF(BZ38="",BY38,BZ38)</f>
        <v>0</v>
      </c>
      <c r="CB38" s="174">
        <f t="shared" ref="CB38:CB45" si="86">IF(S38="",0,S38)</f>
        <v>0</v>
      </c>
      <c r="CC38" s="180"/>
      <c r="CD38" s="174">
        <f>IF(CC38="",CB38,CC38)</f>
        <v>0</v>
      </c>
      <c r="CE38" s="181">
        <f>BR38+BU38+BX38+CA38+CD38</f>
        <v>0</v>
      </c>
      <c r="CF38" s="179">
        <f t="shared" ref="CF38:CF45" si="87">IF(U38="",0,U38)</f>
        <v>0</v>
      </c>
      <c r="CG38" s="180"/>
      <c r="CH38" s="181">
        <f>IF(CG38="",CF38,CG38)</f>
        <v>0</v>
      </c>
      <c r="CI38" s="182"/>
      <c r="CJ38" s="399">
        <f>BN38+CE38+CH38</f>
        <v>0</v>
      </c>
      <c r="CK38" s="179">
        <f t="shared" ref="CK38:CK45" si="88">IF(X38="",0,X38)</f>
        <v>0</v>
      </c>
      <c r="CL38" s="256"/>
      <c r="CM38" s="258">
        <f>IF(CL38="",CK38,CL38)</f>
        <v>0</v>
      </c>
      <c r="CN38" s="179">
        <f t="shared" ref="CN38:CN45" si="89">IF(Y38="",0,Y38)</f>
        <v>0</v>
      </c>
      <c r="CO38" s="180"/>
      <c r="CP38" s="181">
        <f>IF(CO38="",CN38,CO38)</f>
        <v>0</v>
      </c>
      <c r="CQ38" s="399">
        <f>AW38+BM38+CE38+CH38-CM38-CP38</f>
        <v>0</v>
      </c>
      <c r="CR38" s="252" t="str">
        <f t="shared" ref="CR38:CR45" si="90">IF(AA38="","",AA38)</f>
        <v/>
      </c>
      <c r="CS38" s="259"/>
      <c r="CT38" s="254" t="str">
        <f>IF(CS38="",CR38,CS38)</f>
        <v/>
      </c>
      <c r="CU38" s="252" t="str">
        <f t="shared" ref="CU38:CU45" si="91">IF(AB38="","",AB38)</f>
        <v/>
      </c>
      <c r="CV38" s="259"/>
      <c r="CW38" s="254" t="str">
        <f>IF(CV38="",CU38,CV38)</f>
        <v/>
      </c>
      <c r="CX38" s="407" t="str">
        <f>IF(DD38=0,"",DD38)</f>
        <v/>
      </c>
      <c r="CY38" s="192"/>
      <c r="DA38" s="53">
        <f>IF(AND(CT38&lt;&gt;"",OR(CT38&lt;EXPEDIENTE!$I$25,CT38&gt;EXPEDIENTE!$I$29)),1,0)</f>
        <v>0</v>
      </c>
      <c r="DB38" s="53">
        <f>IF(AND(CW38&lt;&gt;"",OR(CW38&lt;EXPEDIENTE!$I$25,CW38&gt;EXPEDIENTE!$I$29)),1,0)</f>
        <v>0</v>
      </c>
      <c r="DD38" s="55">
        <f t="shared" ref="DD38:DD45" si="92">SUM(DE38:DU38)</f>
        <v>0</v>
      </c>
      <c r="DE38" s="55">
        <f>IF(AS38="",0,1)</f>
        <v>0</v>
      </c>
      <c r="DF38" s="55">
        <f>IF(AV38="",0,1)</f>
        <v>0</v>
      </c>
      <c r="DG38" s="55">
        <f>IF(AY38="",0,1)</f>
        <v>0</v>
      </c>
      <c r="DH38" s="55">
        <f>IF(BB38="",0,1)</f>
        <v>0</v>
      </c>
      <c r="DI38" s="55">
        <f>IF(BE38="",0,1)</f>
        <v>0</v>
      </c>
      <c r="DJ38" s="55">
        <f>IF(BH38="",0,1)</f>
        <v>0</v>
      </c>
      <c r="DK38" s="55">
        <f>IF(BK38="",0,1)</f>
        <v>0</v>
      </c>
      <c r="DL38" s="55">
        <f>IF(BQ38="",0,1)</f>
        <v>0</v>
      </c>
      <c r="DM38" s="55">
        <f>IF(BT38="",0,1)</f>
        <v>0</v>
      </c>
      <c r="DN38" s="55">
        <f>IF(BW38="",0,1)</f>
        <v>0</v>
      </c>
      <c r="DO38" s="55">
        <f>IF(BZ38="",0,1)</f>
        <v>0</v>
      </c>
      <c r="DP38" s="55">
        <f>IF(CC38="",0,1)</f>
        <v>0</v>
      </c>
      <c r="DQ38" s="55">
        <f>IF(CG38="",0,1)</f>
        <v>0</v>
      </c>
      <c r="DR38" s="55">
        <f>IF(CL38="",0,1)</f>
        <v>0</v>
      </c>
      <c r="DS38" s="55">
        <f>IF(CO38="",0,1)</f>
        <v>0</v>
      </c>
      <c r="DT38" s="55">
        <f>IF(CS38="",0,1)</f>
        <v>0</v>
      </c>
      <c r="DU38" s="55">
        <f>IF(CV38="",0,1)</f>
        <v>0</v>
      </c>
      <c r="DW38" s="55">
        <f>IF(CY38&lt;&gt;"",MAX($DW$9:DW37)+1,0)</f>
        <v>0</v>
      </c>
      <c r="DX38" s="130" t="str">
        <f t="shared" ref="DX38" si="93">IF(DW38=0,"",CY38)</f>
        <v/>
      </c>
    </row>
    <row r="39" spans="2:128" ht="30" customHeight="1" x14ac:dyDescent="0.25">
      <c r="B39" s="972"/>
      <c r="C39" s="332"/>
      <c r="D39" s="73"/>
      <c r="E39" s="260"/>
      <c r="F39" s="194"/>
      <c r="G39" s="195"/>
      <c r="H39" s="195"/>
      <c r="I39" s="195"/>
      <c r="J39" s="195"/>
      <c r="K39" s="195"/>
      <c r="L39" s="203">
        <f>SUM(G39:K39)</f>
        <v>0</v>
      </c>
      <c r="M39" s="175">
        <f t="shared" ref="M39:M45" si="94">F39+L39</f>
        <v>0</v>
      </c>
      <c r="N39" s="247"/>
      <c r="O39" s="194"/>
      <c r="P39" s="195"/>
      <c r="Q39" s="195"/>
      <c r="R39" s="195"/>
      <c r="S39" s="195"/>
      <c r="T39" s="203">
        <f t="shared" ref="T39:T45" si="95">SUM(O39:S39)</f>
        <v>0</v>
      </c>
      <c r="U39" s="196"/>
      <c r="V39" s="163"/>
      <c r="W39" s="208">
        <f t="shared" ref="W39:W45" si="96">M39+T39+U39</f>
        <v>0</v>
      </c>
      <c r="X39" s="194"/>
      <c r="Y39" s="195"/>
      <c r="Z39" s="173">
        <f t="shared" ref="Z39:Z45" si="97">F39+L39+T39+U39-X39-Y39</f>
        <v>0</v>
      </c>
      <c r="AA39" s="164"/>
      <c r="AB39" s="165"/>
      <c r="AC39" s="322"/>
      <c r="AD39" s="323"/>
      <c r="AE39" s="360"/>
      <c r="AF39" s="357"/>
      <c r="AG39" s="53">
        <f>IF(AND(AA39&lt;&gt;"",OR(AA39&lt;EXPEDIENTE!$I$25,AA39&gt;EXPEDIENTE!$I$29)),1,0)</f>
        <v>0</v>
      </c>
      <c r="AH39" s="53">
        <f>IF(AND(AB39&lt;&gt;"",OR(AB39&lt;EXPEDIENTE!$I$25,AB39&gt;EXPEDIENTE!$I$29)),1,0)</f>
        <v>0</v>
      </c>
      <c r="AM39" s="1014"/>
      <c r="AN39" s="559" t="str">
        <f t="shared" si="74"/>
        <v/>
      </c>
      <c r="AO39" s="188" t="str">
        <f t="shared" ref="AO39:AO45" si="98">IF(D39="","",D39)</f>
        <v/>
      </c>
      <c r="AP39" s="189"/>
      <c r="AQ39" s="190" t="str">
        <f t="shared" ref="AQ39:AQ45" si="99">IF(AP39="",AO39,AP39)</f>
        <v/>
      </c>
      <c r="AR39" s="188" t="str">
        <f t="shared" si="75"/>
        <v/>
      </c>
      <c r="AS39" s="189"/>
      <c r="AT39" s="190" t="str">
        <f t="shared" ref="AT39:AT45" si="100">IF(AS39="",AR39,AS39)</f>
        <v/>
      </c>
      <c r="AU39" s="170">
        <f t="shared" si="76"/>
        <v>0</v>
      </c>
      <c r="AV39" s="201"/>
      <c r="AW39" s="202">
        <f t="shared" ref="AW39:AW45" si="101">IF(AV39="",AU39,AV39)</f>
        <v>0</v>
      </c>
      <c r="AX39" s="200">
        <f t="shared" si="77"/>
        <v>0</v>
      </c>
      <c r="AY39" s="203"/>
      <c r="AZ39" s="204">
        <f t="shared" ref="AZ39:AZ45" si="102">IF(AY39="",AX39,AY39)</f>
        <v>0</v>
      </c>
      <c r="BA39" s="204">
        <f t="shared" si="78"/>
        <v>0</v>
      </c>
      <c r="BB39" s="203"/>
      <c r="BC39" s="204">
        <f t="shared" ref="BC39:BC45" si="103">IF(BB39="",BA39,BB39)</f>
        <v>0</v>
      </c>
      <c r="BD39" s="204">
        <f t="shared" si="79"/>
        <v>0</v>
      </c>
      <c r="BE39" s="203"/>
      <c r="BF39" s="204">
        <f t="shared" ref="BF39:BF45" si="104">IF(BE39="",BD39,BE39)</f>
        <v>0</v>
      </c>
      <c r="BG39" s="204">
        <f t="shared" si="80"/>
        <v>0</v>
      </c>
      <c r="BH39" s="203"/>
      <c r="BI39" s="204">
        <f t="shared" ref="BI39:BI45" si="105">IF(BH39="",BG39,BH39)</f>
        <v>0</v>
      </c>
      <c r="BJ39" s="204">
        <f t="shared" si="81"/>
        <v>0</v>
      </c>
      <c r="BK39" s="203"/>
      <c r="BL39" s="204">
        <f t="shared" ref="BL39:BL45" si="106">IF(BK39="",BJ39,BK39)</f>
        <v>0</v>
      </c>
      <c r="BM39" s="207">
        <f t="shared" ref="BM39:BM45" si="107">AZ39+BC39+BF39+BI39+BL39</f>
        <v>0</v>
      </c>
      <c r="BN39" s="202">
        <f t="shared" ref="BN39:BN45" si="108">AW39+BM39</f>
        <v>0</v>
      </c>
      <c r="BO39" s="255"/>
      <c r="BP39" s="200">
        <f t="shared" si="82"/>
        <v>0</v>
      </c>
      <c r="BQ39" s="201"/>
      <c r="BR39" s="206">
        <f t="shared" ref="BR39:BR45" si="109">IF(BQ39="",BP39,BQ39)</f>
        <v>0</v>
      </c>
      <c r="BS39" s="204">
        <f t="shared" si="83"/>
        <v>0</v>
      </c>
      <c r="BT39" s="203"/>
      <c r="BU39" s="204">
        <f t="shared" ref="BU39:BU45" si="110">IF(BT39="",BS39,BT39)</f>
        <v>0</v>
      </c>
      <c r="BV39" s="204">
        <f t="shared" si="84"/>
        <v>0</v>
      </c>
      <c r="BW39" s="203"/>
      <c r="BX39" s="204">
        <f t="shared" ref="BX39:BX45" si="111">IF(BW39="",BV39,BW39)</f>
        <v>0</v>
      </c>
      <c r="BY39" s="204">
        <f t="shared" si="85"/>
        <v>0</v>
      </c>
      <c r="BZ39" s="203"/>
      <c r="CA39" s="204">
        <f t="shared" ref="CA39:CA45" si="112">IF(BZ39="",BY39,BZ39)</f>
        <v>0</v>
      </c>
      <c r="CB39" s="204">
        <f t="shared" si="86"/>
        <v>0</v>
      </c>
      <c r="CC39" s="203"/>
      <c r="CD39" s="204">
        <f t="shared" ref="CD39:CD45" si="113">IF(CC39="",CB39,CC39)</f>
        <v>0</v>
      </c>
      <c r="CE39" s="207">
        <f t="shared" ref="CE39:CE45" si="114">BR39+BU39+BX39+CA39+CD39</f>
        <v>0</v>
      </c>
      <c r="CF39" s="200">
        <f t="shared" si="87"/>
        <v>0</v>
      </c>
      <c r="CG39" s="203"/>
      <c r="CH39" s="207">
        <f t="shared" ref="CH39:CH45" si="115">IF(CG39="",CF39,CG39)</f>
        <v>0</v>
      </c>
      <c r="CI39" s="182"/>
      <c r="CJ39" s="401">
        <f t="shared" ref="CJ39:CJ45" si="116">BN39+CE39+CH39</f>
        <v>0</v>
      </c>
      <c r="CK39" s="200">
        <f t="shared" si="88"/>
        <v>0</v>
      </c>
      <c r="CL39" s="201"/>
      <c r="CM39" s="202">
        <f t="shared" ref="CM39:CM45" si="117">IF(CL39="",CK39,CL39)</f>
        <v>0</v>
      </c>
      <c r="CN39" s="200">
        <f t="shared" si="89"/>
        <v>0</v>
      </c>
      <c r="CO39" s="173"/>
      <c r="CP39" s="262">
        <f t="shared" ref="CP39:CP45" si="118">IF(CO39="",CN39,CO39)</f>
        <v>0</v>
      </c>
      <c r="CQ39" s="402">
        <f t="shared" ref="CQ39:CQ45" si="119">AW39+BM39+CE39+CH39-CM39-CP39</f>
        <v>0</v>
      </c>
      <c r="CR39" s="188" t="str">
        <f t="shared" si="90"/>
        <v/>
      </c>
      <c r="CS39" s="189"/>
      <c r="CT39" s="190" t="str">
        <f t="shared" ref="CT39:CT45" si="120">IF(CS39="",CR39,CS39)</f>
        <v/>
      </c>
      <c r="CU39" s="188" t="str">
        <f t="shared" si="91"/>
        <v/>
      </c>
      <c r="CV39" s="189"/>
      <c r="CW39" s="190" t="str">
        <f t="shared" ref="CW39:CW45" si="121">IF(CV39="",CU39,CV39)</f>
        <v/>
      </c>
      <c r="CX39" s="408" t="str">
        <f t="shared" ref="CX39:CX45" si="122">IF(DD39=0,"",DD39)</f>
        <v/>
      </c>
      <c r="CY39" s="210"/>
      <c r="DA39" s="53">
        <f>IF(AND(CT39&lt;&gt;"",OR(CT39&lt;EXPEDIENTE!$I$25,CT39&gt;EXPEDIENTE!$I$29)),1,0)</f>
        <v>0</v>
      </c>
      <c r="DB39" s="53">
        <f>IF(AND(CW39&lt;&gt;"",OR(CW39&lt;EXPEDIENTE!$I$25,CW39&gt;EXPEDIENTE!$I$29)),1,0)</f>
        <v>0</v>
      </c>
      <c r="DD39" s="55">
        <f t="shared" si="92"/>
        <v>0</v>
      </c>
      <c r="DE39" s="55">
        <f t="shared" ref="DE39:DE45" si="123">IF(AS39="",0,1)</f>
        <v>0</v>
      </c>
      <c r="DF39" s="55">
        <f t="shared" ref="DF39:DF45" si="124">IF(AV39="",0,1)</f>
        <v>0</v>
      </c>
      <c r="DG39" s="55">
        <f t="shared" ref="DG39:DG45" si="125">IF(AY39="",0,1)</f>
        <v>0</v>
      </c>
      <c r="DH39" s="55">
        <f t="shared" ref="DH39:DH45" si="126">IF(BB39="",0,1)</f>
        <v>0</v>
      </c>
      <c r="DI39" s="55">
        <f t="shared" ref="DI39:DI45" si="127">IF(BE39="",0,1)</f>
        <v>0</v>
      </c>
      <c r="DJ39" s="55">
        <f t="shared" ref="DJ39:DJ45" si="128">IF(BH39="",0,1)</f>
        <v>0</v>
      </c>
      <c r="DK39" s="55">
        <f t="shared" ref="DK39:DK45" si="129">IF(BK39="",0,1)</f>
        <v>0</v>
      </c>
      <c r="DL39" s="55">
        <f t="shared" ref="DL39:DL45" si="130">IF(BQ39="",0,1)</f>
        <v>0</v>
      </c>
      <c r="DM39" s="55">
        <f t="shared" ref="DM39:DM45" si="131">IF(BT39="",0,1)</f>
        <v>0</v>
      </c>
      <c r="DN39" s="55">
        <f t="shared" ref="DN39:DN45" si="132">IF(BW39="",0,1)</f>
        <v>0</v>
      </c>
      <c r="DO39" s="55">
        <f t="shared" ref="DO39:DO45" si="133">IF(BZ39="",0,1)</f>
        <v>0</v>
      </c>
      <c r="DP39" s="55">
        <f t="shared" ref="DP39:DP45" si="134">IF(CC39="",0,1)</f>
        <v>0</v>
      </c>
      <c r="DQ39" s="55">
        <f t="shared" ref="DQ39:DQ45" si="135">IF(CG39="",0,1)</f>
        <v>0</v>
      </c>
      <c r="DR39" s="55">
        <f t="shared" ref="DR39:DR45" si="136">IF(CL39="",0,1)</f>
        <v>0</v>
      </c>
      <c r="DS39" s="55">
        <f t="shared" ref="DS39:DS45" si="137">IF(CO39="",0,1)</f>
        <v>0</v>
      </c>
      <c r="DT39" s="55">
        <f t="shared" ref="DT39:DT45" si="138">IF(CS39="",0,1)</f>
        <v>0</v>
      </c>
      <c r="DU39" s="55">
        <f t="shared" ref="DU39:DU45" si="139">IF(CV39="",0,1)</f>
        <v>0</v>
      </c>
      <c r="DW39" s="55">
        <f>IF(CY39&lt;&gt;"",MAX($DW$9:DW38)+1,0)</f>
        <v>0</v>
      </c>
      <c r="DX39" s="130" t="str">
        <f t="shared" ref="DX39:DX45" si="140">IF(DW39=0,"",CY39)</f>
        <v/>
      </c>
    </row>
    <row r="40" spans="2:128" ht="30" customHeight="1" x14ac:dyDescent="0.25">
      <c r="B40" s="972"/>
      <c r="C40" s="332"/>
      <c r="D40" s="73"/>
      <c r="E40" s="260"/>
      <c r="F40" s="194"/>
      <c r="G40" s="195"/>
      <c r="H40" s="195"/>
      <c r="I40" s="195"/>
      <c r="J40" s="195"/>
      <c r="K40" s="195"/>
      <c r="L40" s="203">
        <f t="shared" ref="L40:L45" si="141">SUM(G40:K40)</f>
        <v>0</v>
      </c>
      <c r="M40" s="175">
        <f t="shared" si="94"/>
        <v>0</v>
      </c>
      <c r="N40" s="247"/>
      <c r="O40" s="194"/>
      <c r="P40" s="195"/>
      <c r="Q40" s="195"/>
      <c r="R40" s="195"/>
      <c r="S40" s="195"/>
      <c r="T40" s="203">
        <f t="shared" si="95"/>
        <v>0</v>
      </c>
      <c r="U40" s="196"/>
      <c r="V40" s="163"/>
      <c r="W40" s="208">
        <f t="shared" si="96"/>
        <v>0</v>
      </c>
      <c r="X40" s="194"/>
      <c r="Y40" s="195"/>
      <c r="Z40" s="173">
        <f t="shared" si="97"/>
        <v>0</v>
      </c>
      <c r="AA40" s="164"/>
      <c r="AB40" s="165"/>
      <c r="AC40" s="322"/>
      <c r="AD40" s="323"/>
      <c r="AE40" s="360"/>
      <c r="AF40" s="357"/>
      <c r="AG40" s="53">
        <f>IF(AND(AA40&lt;&gt;"",OR(AA40&lt;EXPEDIENTE!$I$25,AA40&gt;EXPEDIENTE!$I$29)),1,0)</f>
        <v>0</v>
      </c>
      <c r="AH40" s="53">
        <f>IF(AND(AB40&lt;&gt;"",OR(AB40&lt;EXPEDIENTE!$I$25,AB40&gt;EXPEDIENTE!$I$29)),1,0)</f>
        <v>0</v>
      </c>
      <c r="AM40" s="1014"/>
      <c r="AN40" s="559" t="str">
        <f t="shared" si="74"/>
        <v/>
      </c>
      <c r="AO40" s="188" t="str">
        <f t="shared" si="98"/>
        <v/>
      </c>
      <c r="AP40" s="189"/>
      <c r="AQ40" s="190" t="str">
        <f t="shared" si="99"/>
        <v/>
      </c>
      <c r="AR40" s="188" t="str">
        <f t="shared" si="75"/>
        <v/>
      </c>
      <c r="AS40" s="189"/>
      <c r="AT40" s="190" t="str">
        <f t="shared" si="100"/>
        <v/>
      </c>
      <c r="AU40" s="170">
        <f t="shared" si="76"/>
        <v>0</v>
      </c>
      <c r="AV40" s="201"/>
      <c r="AW40" s="202">
        <f t="shared" si="101"/>
        <v>0</v>
      </c>
      <c r="AX40" s="200">
        <f t="shared" si="77"/>
        <v>0</v>
      </c>
      <c r="AY40" s="203"/>
      <c r="AZ40" s="204">
        <f t="shared" si="102"/>
        <v>0</v>
      </c>
      <c r="BA40" s="204">
        <f t="shared" si="78"/>
        <v>0</v>
      </c>
      <c r="BB40" s="203"/>
      <c r="BC40" s="204">
        <f t="shared" si="103"/>
        <v>0</v>
      </c>
      <c r="BD40" s="204">
        <f t="shared" si="79"/>
        <v>0</v>
      </c>
      <c r="BE40" s="203"/>
      <c r="BF40" s="204">
        <f t="shared" si="104"/>
        <v>0</v>
      </c>
      <c r="BG40" s="204">
        <f t="shared" si="80"/>
        <v>0</v>
      </c>
      <c r="BH40" s="203"/>
      <c r="BI40" s="204">
        <f t="shared" si="105"/>
        <v>0</v>
      </c>
      <c r="BJ40" s="204">
        <f t="shared" si="81"/>
        <v>0</v>
      </c>
      <c r="BK40" s="203"/>
      <c r="BL40" s="204">
        <f t="shared" si="106"/>
        <v>0</v>
      </c>
      <c r="BM40" s="207">
        <f t="shared" si="107"/>
        <v>0</v>
      </c>
      <c r="BN40" s="202">
        <f t="shared" si="108"/>
        <v>0</v>
      </c>
      <c r="BO40" s="255"/>
      <c r="BP40" s="200">
        <f t="shared" si="82"/>
        <v>0</v>
      </c>
      <c r="BQ40" s="201"/>
      <c r="BR40" s="206">
        <f t="shared" si="109"/>
        <v>0</v>
      </c>
      <c r="BS40" s="204">
        <f t="shared" si="83"/>
        <v>0</v>
      </c>
      <c r="BT40" s="203"/>
      <c r="BU40" s="204">
        <f t="shared" si="110"/>
        <v>0</v>
      </c>
      <c r="BV40" s="204">
        <f t="shared" si="84"/>
        <v>0</v>
      </c>
      <c r="BW40" s="203"/>
      <c r="BX40" s="204">
        <f t="shared" si="111"/>
        <v>0</v>
      </c>
      <c r="BY40" s="204">
        <f t="shared" si="85"/>
        <v>0</v>
      </c>
      <c r="BZ40" s="203"/>
      <c r="CA40" s="204">
        <f t="shared" si="112"/>
        <v>0</v>
      </c>
      <c r="CB40" s="204">
        <f t="shared" si="86"/>
        <v>0</v>
      </c>
      <c r="CC40" s="203"/>
      <c r="CD40" s="204">
        <f t="shared" si="113"/>
        <v>0</v>
      </c>
      <c r="CE40" s="207">
        <f t="shared" si="114"/>
        <v>0</v>
      </c>
      <c r="CF40" s="200">
        <f t="shared" si="87"/>
        <v>0</v>
      </c>
      <c r="CG40" s="203"/>
      <c r="CH40" s="207">
        <f t="shared" si="115"/>
        <v>0</v>
      </c>
      <c r="CI40" s="182"/>
      <c r="CJ40" s="401">
        <f t="shared" si="116"/>
        <v>0</v>
      </c>
      <c r="CK40" s="200">
        <f t="shared" si="88"/>
        <v>0</v>
      </c>
      <c r="CL40" s="201"/>
      <c r="CM40" s="202">
        <f t="shared" si="117"/>
        <v>0</v>
      </c>
      <c r="CN40" s="200">
        <f t="shared" si="89"/>
        <v>0</v>
      </c>
      <c r="CO40" s="173"/>
      <c r="CP40" s="262">
        <f t="shared" si="118"/>
        <v>0</v>
      </c>
      <c r="CQ40" s="402">
        <f t="shared" si="119"/>
        <v>0</v>
      </c>
      <c r="CR40" s="188" t="str">
        <f t="shared" si="90"/>
        <v/>
      </c>
      <c r="CS40" s="189"/>
      <c r="CT40" s="190" t="str">
        <f t="shared" si="120"/>
        <v/>
      </c>
      <c r="CU40" s="188" t="str">
        <f t="shared" si="91"/>
        <v/>
      </c>
      <c r="CV40" s="189"/>
      <c r="CW40" s="190" t="str">
        <f t="shared" si="121"/>
        <v/>
      </c>
      <c r="CX40" s="408" t="str">
        <f t="shared" si="122"/>
        <v/>
      </c>
      <c r="CY40" s="210"/>
      <c r="DA40" s="53">
        <f>IF(AND(CT40&lt;&gt;"",OR(CT40&lt;EXPEDIENTE!$I$25,CT40&gt;EXPEDIENTE!$I$29)),1,0)</f>
        <v>0</v>
      </c>
      <c r="DB40" s="53">
        <f>IF(AND(CW40&lt;&gt;"",OR(CW40&lt;EXPEDIENTE!$I$25,CW40&gt;EXPEDIENTE!$I$29)),1,0)</f>
        <v>0</v>
      </c>
      <c r="DD40" s="55">
        <f t="shared" si="92"/>
        <v>0</v>
      </c>
      <c r="DE40" s="55">
        <f t="shared" si="123"/>
        <v>0</v>
      </c>
      <c r="DF40" s="55">
        <f t="shared" si="124"/>
        <v>0</v>
      </c>
      <c r="DG40" s="55">
        <f t="shared" si="125"/>
        <v>0</v>
      </c>
      <c r="DH40" s="55">
        <f t="shared" si="126"/>
        <v>0</v>
      </c>
      <c r="DI40" s="55">
        <f t="shared" si="127"/>
        <v>0</v>
      </c>
      <c r="DJ40" s="55">
        <f t="shared" si="128"/>
        <v>0</v>
      </c>
      <c r="DK40" s="55">
        <f t="shared" si="129"/>
        <v>0</v>
      </c>
      <c r="DL40" s="55">
        <f t="shared" si="130"/>
        <v>0</v>
      </c>
      <c r="DM40" s="55">
        <f t="shared" si="131"/>
        <v>0</v>
      </c>
      <c r="DN40" s="55">
        <f t="shared" si="132"/>
        <v>0</v>
      </c>
      <c r="DO40" s="55">
        <f t="shared" si="133"/>
        <v>0</v>
      </c>
      <c r="DP40" s="55">
        <f t="shared" si="134"/>
        <v>0</v>
      </c>
      <c r="DQ40" s="55">
        <f t="shared" si="135"/>
        <v>0</v>
      </c>
      <c r="DR40" s="55">
        <f t="shared" si="136"/>
        <v>0</v>
      </c>
      <c r="DS40" s="55">
        <f t="shared" si="137"/>
        <v>0</v>
      </c>
      <c r="DT40" s="55">
        <f t="shared" si="138"/>
        <v>0</v>
      </c>
      <c r="DU40" s="55">
        <f t="shared" si="139"/>
        <v>0</v>
      </c>
      <c r="DW40" s="55">
        <f>IF(CY40&lt;&gt;"",MAX($DW$9:DW39)+1,0)</f>
        <v>0</v>
      </c>
      <c r="DX40" s="130" t="str">
        <f t="shared" si="140"/>
        <v/>
      </c>
    </row>
    <row r="41" spans="2:128" ht="30" customHeight="1" x14ac:dyDescent="0.25">
      <c r="B41" s="972"/>
      <c r="C41" s="332"/>
      <c r="D41" s="73"/>
      <c r="E41" s="260"/>
      <c r="F41" s="194"/>
      <c r="G41" s="195"/>
      <c r="H41" s="195"/>
      <c r="I41" s="195"/>
      <c r="J41" s="195"/>
      <c r="K41" s="195"/>
      <c r="L41" s="203">
        <f t="shared" si="141"/>
        <v>0</v>
      </c>
      <c r="M41" s="175">
        <f t="shared" si="94"/>
        <v>0</v>
      </c>
      <c r="N41" s="247"/>
      <c r="O41" s="194"/>
      <c r="P41" s="195"/>
      <c r="Q41" s="195"/>
      <c r="R41" s="195"/>
      <c r="S41" s="195"/>
      <c r="T41" s="203">
        <f t="shared" si="95"/>
        <v>0</v>
      </c>
      <c r="U41" s="196"/>
      <c r="V41" s="163"/>
      <c r="W41" s="208">
        <f t="shared" si="96"/>
        <v>0</v>
      </c>
      <c r="X41" s="194"/>
      <c r="Y41" s="195"/>
      <c r="Z41" s="173">
        <f t="shared" si="97"/>
        <v>0</v>
      </c>
      <c r="AA41" s="164"/>
      <c r="AB41" s="165"/>
      <c r="AC41" s="322"/>
      <c r="AD41" s="323"/>
      <c r="AE41" s="360"/>
      <c r="AF41" s="357"/>
      <c r="AG41" s="53">
        <f>IF(AND(AA41&lt;&gt;"",OR(AA41&lt;EXPEDIENTE!$I$25,AA41&gt;EXPEDIENTE!$I$29)),1,0)</f>
        <v>0</v>
      </c>
      <c r="AH41" s="53">
        <f>IF(AND(AB41&lt;&gt;"",OR(AB41&lt;EXPEDIENTE!$I$25,AB41&gt;EXPEDIENTE!$I$29)),1,0)</f>
        <v>0</v>
      </c>
      <c r="AM41" s="1014"/>
      <c r="AN41" s="559" t="str">
        <f t="shared" si="74"/>
        <v/>
      </c>
      <c r="AO41" s="188" t="str">
        <f t="shared" si="98"/>
        <v/>
      </c>
      <c r="AP41" s="189"/>
      <c r="AQ41" s="190" t="str">
        <f t="shared" si="99"/>
        <v/>
      </c>
      <c r="AR41" s="188" t="str">
        <f t="shared" si="75"/>
        <v/>
      </c>
      <c r="AS41" s="189"/>
      <c r="AT41" s="190" t="str">
        <f t="shared" si="100"/>
        <v/>
      </c>
      <c r="AU41" s="170">
        <f t="shared" si="76"/>
        <v>0</v>
      </c>
      <c r="AV41" s="201"/>
      <c r="AW41" s="202">
        <f t="shared" si="101"/>
        <v>0</v>
      </c>
      <c r="AX41" s="200">
        <f t="shared" si="77"/>
        <v>0</v>
      </c>
      <c r="AY41" s="203"/>
      <c r="AZ41" s="204">
        <f t="shared" si="102"/>
        <v>0</v>
      </c>
      <c r="BA41" s="204">
        <f t="shared" si="78"/>
        <v>0</v>
      </c>
      <c r="BB41" s="203"/>
      <c r="BC41" s="204">
        <f t="shared" si="103"/>
        <v>0</v>
      </c>
      <c r="BD41" s="204">
        <f t="shared" si="79"/>
        <v>0</v>
      </c>
      <c r="BE41" s="203"/>
      <c r="BF41" s="204">
        <f t="shared" si="104"/>
        <v>0</v>
      </c>
      <c r="BG41" s="204">
        <f t="shared" si="80"/>
        <v>0</v>
      </c>
      <c r="BH41" s="203"/>
      <c r="BI41" s="204">
        <f t="shared" si="105"/>
        <v>0</v>
      </c>
      <c r="BJ41" s="204">
        <f t="shared" si="81"/>
        <v>0</v>
      </c>
      <c r="BK41" s="203"/>
      <c r="BL41" s="204">
        <f t="shared" si="106"/>
        <v>0</v>
      </c>
      <c r="BM41" s="207">
        <f t="shared" si="107"/>
        <v>0</v>
      </c>
      <c r="BN41" s="202">
        <f t="shared" si="108"/>
        <v>0</v>
      </c>
      <c r="BO41" s="255"/>
      <c r="BP41" s="200">
        <f t="shared" si="82"/>
        <v>0</v>
      </c>
      <c r="BQ41" s="201"/>
      <c r="BR41" s="206">
        <f t="shared" si="109"/>
        <v>0</v>
      </c>
      <c r="BS41" s="204">
        <f t="shared" si="83"/>
        <v>0</v>
      </c>
      <c r="BT41" s="203"/>
      <c r="BU41" s="204">
        <f t="shared" si="110"/>
        <v>0</v>
      </c>
      <c r="BV41" s="204">
        <f t="shared" si="84"/>
        <v>0</v>
      </c>
      <c r="BW41" s="203"/>
      <c r="BX41" s="204">
        <f t="shared" si="111"/>
        <v>0</v>
      </c>
      <c r="BY41" s="204">
        <f t="shared" si="85"/>
        <v>0</v>
      </c>
      <c r="BZ41" s="203"/>
      <c r="CA41" s="204">
        <f t="shared" si="112"/>
        <v>0</v>
      </c>
      <c r="CB41" s="204">
        <f t="shared" si="86"/>
        <v>0</v>
      </c>
      <c r="CC41" s="203"/>
      <c r="CD41" s="204">
        <f t="shared" si="113"/>
        <v>0</v>
      </c>
      <c r="CE41" s="207">
        <f t="shared" si="114"/>
        <v>0</v>
      </c>
      <c r="CF41" s="200">
        <f t="shared" si="87"/>
        <v>0</v>
      </c>
      <c r="CG41" s="203"/>
      <c r="CH41" s="207">
        <f t="shared" si="115"/>
        <v>0</v>
      </c>
      <c r="CI41" s="182"/>
      <c r="CJ41" s="401">
        <f t="shared" si="116"/>
        <v>0</v>
      </c>
      <c r="CK41" s="200">
        <f t="shared" si="88"/>
        <v>0</v>
      </c>
      <c r="CL41" s="201"/>
      <c r="CM41" s="202">
        <f t="shared" si="117"/>
        <v>0</v>
      </c>
      <c r="CN41" s="200">
        <f t="shared" si="89"/>
        <v>0</v>
      </c>
      <c r="CO41" s="173"/>
      <c r="CP41" s="262">
        <f t="shared" si="118"/>
        <v>0</v>
      </c>
      <c r="CQ41" s="402">
        <f t="shared" si="119"/>
        <v>0</v>
      </c>
      <c r="CR41" s="188" t="str">
        <f t="shared" si="90"/>
        <v/>
      </c>
      <c r="CS41" s="189"/>
      <c r="CT41" s="190" t="str">
        <f t="shared" si="120"/>
        <v/>
      </c>
      <c r="CU41" s="188" t="str">
        <f t="shared" si="91"/>
        <v/>
      </c>
      <c r="CV41" s="189"/>
      <c r="CW41" s="190" t="str">
        <f t="shared" si="121"/>
        <v/>
      </c>
      <c r="CX41" s="408" t="str">
        <f t="shared" si="122"/>
        <v/>
      </c>
      <c r="CY41" s="210"/>
      <c r="DA41" s="53">
        <f>IF(AND(CT41&lt;&gt;"",OR(CT41&lt;EXPEDIENTE!$I$25,CT41&gt;EXPEDIENTE!$I$29)),1,0)</f>
        <v>0</v>
      </c>
      <c r="DB41" s="53">
        <f>IF(AND(CW41&lt;&gt;"",OR(CW41&lt;EXPEDIENTE!$I$25,CW41&gt;EXPEDIENTE!$I$29)),1,0)</f>
        <v>0</v>
      </c>
      <c r="DD41" s="55">
        <f t="shared" si="92"/>
        <v>0</v>
      </c>
      <c r="DE41" s="55">
        <f t="shared" si="123"/>
        <v>0</v>
      </c>
      <c r="DF41" s="55">
        <f t="shared" si="124"/>
        <v>0</v>
      </c>
      <c r="DG41" s="55">
        <f t="shared" si="125"/>
        <v>0</v>
      </c>
      <c r="DH41" s="55">
        <f t="shared" si="126"/>
        <v>0</v>
      </c>
      <c r="DI41" s="55">
        <f t="shared" si="127"/>
        <v>0</v>
      </c>
      <c r="DJ41" s="55">
        <f t="shared" si="128"/>
        <v>0</v>
      </c>
      <c r="DK41" s="55">
        <f t="shared" si="129"/>
        <v>0</v>
      </c>
      <c r="DL41" s="55">
        <f t="shared" si="130"/>
        <v>0</v>
      </c>
      <c r="DM41" s="55">
        <f t="shared" si="131"/>
        <v>0</v>
      </c>
      <c r="DN41" s="55">
        <f t="shared" si="132"/>
        <v>0</v>
      </c>
      <c r="DO41" s="55">
        <f t="shared" si="133"/>
        <v>0</v>
      </c>
      <c r="DP41" s="55">
        <f t="shared" si="134"/>
        <v>0</v>
      </c>
      <c r="DQ41" s="55">
        <f t="shared" si="135"/>
        <v>0</v>
      </c>
      <c r="DR41" s="55">
        <f t="shared" si="136"/>
        <v>0</v>
      </c>
      <c r="DS41" s="55">
        <f t="shared" si="137"/>
        <v>0</v>
      </c>
      <c r="DT41" s="55">
        <f t="shared" si="138"/>
        <v>0</v>
      </c>
      <c r="DU41" s="55">
        <f t="shared" si="139"/>
        <v>0</v>
      </c>
      <c r="DW41" s="55">
        <f>IF(CY41&lt;&gt;"",MAX($DW$9:DW40)+1,0)</f>
        <v>0</v>
      </c>
      <c r="DX41" s="130" t="str">
        <f t="shared" si="140"/>
        <v/>
      </c>
    </row>
    <row r="42" spans="2:128" ht="30" customHeight="1" x14ac:dyDescent="0.25">
      <c r="B42" s="972"/>
      <c r="C42" s="332"/>
      <c r="D42" s="73"/>
      <c r="E42" s="260"/>
      <c r="F42" s="194"/>
      <c r="G42" s="195"/>
      <c r="H42" s="195"/>
      <c r="I42" s="195"/>
      <c r="J42" s="195"/>
      <c r="K42" s="195"/>
      <c r="L42" s="203">
        <f t="shared" ref="L42:L44" si="142">SUM(G42:K42)</f>
        <v>0</v>
      </c>
      <c r="M42" s="175">
        <f t="shared" ref="M42:M44" si="143">F42+L42</f>
        <v>0</v>
      </c>
      <c r="N42" s="247"/>
      <c r="O42" s="212"/>
      <c r="P42" s="213"/>
      <c r="Q42" s="213"/>
      <c r="R42" s="213"/>
      <c r="S42" s="213"/>
      <c r="T42" s="203">
        <f t="shared" si="95"/>
        <v>0</v>
      </c>
      <c r="U42" s="263"/>
      <c r="V42" s="163"/>
      <c r="W42" s="208">
        <f t="shared" si="96"/>
        <v>0</v>
      </c>
      <c r="X42" s="194"/>
      <c r="Y42" s="195"/>
      <c r="Z42" s="173">
        <f t="shared" si="97"/>
        <v>0</v>
      </c>
      <c r="AA42" s="164"/>
      <c r="AB42" s="165"/>
      <c r="AC42" s="322"/>
      <c r="AD42" s="323"/>
      <c r="AE42" s="360"/>
      <c r="AF42" s="357"/>
      <c r="AG42" s="53">
        <f>IF(AND(AA42&lt;&gt;"",OR(AA42&lt;EXPEDIENTE!$I$25,AA42&gt;EXPEDIENTE!$I$29)),1,0)</f>
        <v>0</v>
      </c>
      <c r="AH42" s="53">
        <f>IF(AND(AB42&lt;&gt;"",OR(AB42&lt;EXPEDIENTE!$I$25,AB42&gt;EXPEDIENTE!$I$29)),1,0)</f>
        <v>0</v>
      </c>
      <c r="AM42" s="1014"/>
      <c r="AN42" s="559" t="str">
        <f t="shared" si="74"/>
        <v/>
      </c>
      <c r="AO42" s="188" t="str">
        <f t="shared" si="98"/>
        <v/>
      </c>
      <c r="AP42" s="189"/>
      <c r="AQ42" s="190" t="str">
        <f t="shared" si="99"/>
        <v/>
      </c>
      <c r="AR42" s="188" t="str">
        <f t="shared" si="75"/>
        <v/>
      </c>
      <c r="AS42" s="189"/>
      <c r="AT42" s="190" t="str">
        <f t="shared" si="100"/>
        <v/>
      </c>
      <c r="AU42" s="170">
        <f t="shared" si="76"/>
        <v>0</v>
      </c>
      <c r="AV42" s="201"/>
      <c r="AW42" s="202">
        <f t="shared" si="101"/>
        <v>0</v>
      </c>
      <c r="AX42" s="200">
        <f t="shared" si="77"/>
        <v>0</v>
      </c>
      <c r="AY42" s="203"/>
      <c r="AZ42" s="204">
        <f t="shared" si="102"/>
        <v>0</v>
      </c>
      <c r="BA42" s="204">
        <f t="shared" si="78"/>
        <v>0</v>
      </c>
      <c r="BB42" s="203"/>
      <c r="BC42" s="204">
        <f t="shared" si="103"/>
        <v>0</v>
      </c>
      <c r="BD42" s="204">
        <f t="shared" si="79"/>
        <v>0</v>
      </c>
      <c r="BE42" s="203"/>
      <c r="BF42" s="204">
        <f t="shared" si="104"/>
        <v>0</v>
      </c>
      <c r="BG42" s="204">
        <f t="shared" si="80"/>
        <v>0</v>
      </c>
      <c r="BH42" s="203"/>
      <c r="BI42" s="204">
        <f t="shared" si="105"/>
        <v>0</v>
      </c>
      <c r="BJ42" s="204">
        <f t="shared" si="81"/>
        <v>0</v>
      </c>
      <c r="BK42" s="203"/>
      <c r="BL42" s="204">
        <f t="shared" si="106"/>
        <v>0</v>
      </c>
      <c r="BM42" s="207">
        <f t="shared" si="107"/>
        <v>0</v>
      </c>
      <c r="BN42" s="202">
        <f t="shared" si="108"/>
        <v>0</v>
      </c>
      <c r="BO42" s="255"/>
      <c r="BP42" s="264">
        <f t="shared" si="82"/>
        <v>0</v>
      </c>
      <c r="BQ42" s="265"/>
      <c r="BR42" s="266">
        <f t="shared" si="109"/>
        <v>0</v>
      </c>
      <c r="BS42" s="267">
        <f t="shared" si="83"/>
        <v>0</v>
      </c>
      <c r="BT42" s="268"/>
      <c r="BU42" s="267">
        <f t="shared" si="110"/>
        <v>0</v>
      </c>
      <c r="BV42" s="267">
        <f t="shared" si="84"/>
        <v>0</v>
      </c>
      <c r="BW42" s="268"/>
      <c r="BX42" s="267">
        <f t="shared" si="111"/>
        <v>0</v>
      </c>
      <c r="BY42" s="267">
        <f t="shared" si="85"/>
        <v>0</v>
      </c>
      <c r="BZ42" s="268"/>
      <c r="CA42" s="267">
        <f t="shared" si="112"/>
        <v>0</v>
      </c>
      <c r="CB42" s="267">
        <f t="shared" si="86"/>
        <v>0</v>
      </c>
      <c r="CC42" s="268"/>
      <c r="CD42" s="267">
        <f t="shared" si="113"/>
        <v>0</v>
      </c>
      <c r="CE42" s="207">
        <f t="shared" si="114"/>
        <v>0</v>
      </c>
      <c r="CF42" s="200">
        <f t="shared" si="87"/>
        <v>0</v>
      </c>
      <c r="CG42" s="203"/>
      <c r="CH42" s="207">
        <f t="shared" si="115"/>
        <v>0</v>
      </c>
      <c r="CI42" s="182"/>
      <c r="CJ42" s="401">
        <f t="shared" si="116"/>
        <v>0</v>
      </c>
      <c r="CK42" s="200">
        <f t="shared" si="88"/>
        <v>0</v>
      </c>
      <c r="CL42" s="201"/>
      <c r="CM42" s="202">
        <f t="shared" si="117"/>
        <v>0</v>
      </c>
      <c r="CN42" s="200">
        <f t="shared" si="89"/>
        <v>0</v>
      </c>
      <c r="CO42" s="173"/>
      <c r="CP42" s="262">
        <f t="shared" si="118"/>
        <v>0</v>
      </c>
      <c r="CQ42" s="402">
        <f t="shared" si="119"/>
        <v>0</v>
      </c>
      <c r="CR42" s="188" t="str">
        <f t="shared" si="90"/>
        <v/>
      </c>
      <c r="CS42" s="189"/>
      <c r="CT42" s="190" t="str">
        <f t="shared" si="120"/>
        <v/>
      </c>
      <c r="CU42" s="188" t="str">
        <f t="shared" si="91"/>
        <v/>
      </c>
      <c r="CV42" s="189"/>
      <c r="CW42" s="190" t="str">
        <f t="shared" si="121"/>
        <v/>
      </c>
      <c r="CX42" s="408" t="str">
        <f t="shared" si="122"/>
        <v/>
      </c>
      <c r="CY42" s="210"/>
      <c r="DA42" s="53">
        <f>IF(AND(CT42&lt;&gt;"",OR(CT42&lt;EXPEDIENTE!$I$25,CT42&gt;EXPEDIENTE!$I$29)),1,0)</f>
        <v>0</v>
      </c>
      <c r="DB42" s="53">
        <f>IF(AND(CW42&lt;&gt;"",OR(CW42&lt;EXPEDIENTE!$I$25,CW42&gt;EXPEDIENTE!$I$29)),1,0)</f>
        <v>0</v>
      </c>
      <c r="DD42" s="55">
        <f t="shared" si="92"/>
        <v>0</v>
      </c>
      <c r="DE42" s="55">
        <f t="shared" si="123"/>
        <v>0</v>
      </c>
      <c r="DF42" s="55">
        <f t="shared" si="124"/>
        <v>0</v>
      </c>
      <c r="DG42" s="55">
        <f t="shared" si="125"/>
        <v>0</v>
      </c>
      <c r="DH42" s="55">
        <f t="shared" si="126"/>
        <v>0</v>
      </c>
      <c r="DI42" s="55">
        <f t="shared" si="127"/>
        <v>0</v>
      </c>
      <c r="DJ42" s="55">
        <f t="shared" si="128"/>
        <v>0</v>
      </c>
      <c r="DK42" s="55">
        <f t="shared" si="129"/>
        <v>0</v>
      </c>
      <c r="DL42" s="55">
        <f t="shared" si="130"/>
        <v>0</v>
      </c>
      <c r="DM42" s="55">
        <f t="shared" si="131"/>
        <v>0</v>
      </c>
      <c r="DN42" s="55">
        <f t="shared" si="132"/>
        <v>0</v>
      </c>
      <c r="DO42" s="55">
        <f t="shared" si="133"/>
        <v>0</v>
      </c>
      <c r="DP42" s="55">
        <f t="shared" si="134"/>
        <v>0</v>
      </c>
      <c r="DQ42" s="55">
        <f t="shared" si="135"/>
        <v>0</v>
      </c>
      <c r="DR42" s="55">
        <f t="shared" si="136"/>
        <v>0</v>
      </c>
      <c r="DS42" s="55">
        <f t="shared" si="137"/>
        <v>0</v>
      </c>
      <c r="DT42" s="55">
        <f t="shared" si="138"/>
        <v>0</v>
      </c>
      <c r="DU42" s="55">
        <f t="shared" si="139"/>
        <v>0</v>
      </c>
      <c r="DW42" s="55">
        <f>IF(CY42&lt;&gt;"",MAX($DW$9:DW41)+1,0)</f>
        <v>0</v>
      </c>
      <c r="DX42" s="130" t="str">
        <f t="shared" si="140"/>
        <v/>
      </c>
    </row>
    <row r="43" spans="2:128" ht="30" customHeight="1" x14ac:dyDescent="0.25">
      <c r="B43" s="972"/>
      <c r="C43" s="332"/>
      <c r="D43" s="73"/>
      <c r="E43" s="260"/>
      <c r="F43" s="194"/>
      <c r="G43" s="195"/>
      <c r="H43" s="195"/>
      <c r="I43" s="195"/>
      <c r="J43" s="195"/>
      <c r="K43" s="195"/>
      <c r="L43" s="203">
        <f t="shared" si="142"/>
        <v>0</v>
      </c>
      <c r="M43" s="175">
        <f t="shared" si="143"/>
        <v>0</v>
      </c>
      <c r="N43" s="247"/>
      <c r="O43" s="212"/>
      <c r="P43" s="213"/>
      <c r="Q43" s="213"/>
      <c r="R43" s="213"/>
      <c r="S43" s="213"/>
      <c r="T43" s="203">
        <f t="shared" si="95"/>
        <v>0</v>
      </c>
      <c r="U43" s="263"/>
      <c r="V43" s="163"/>
      <c r="W43" s="208">
        <f t="shared" si="96"/>
        <v>0</v>
      </c>
      <c r="X43" s="194"/>
      <c r="Y43" s="195"/>
      <c r="Z43" s="173">
        <f t="shared" si="97"/>
        <v>0</v>
      </c>
      <c r="AA43" s="164"/>
      <c r="AB43" s="165"/>
      <c r="AC43" s="322"/>
      <c r="AD43" s="323"/>
      <c r="AE43" s="360"/>
      <c r="AF43" s="357"/>
      <c r="AG43" s="53">
        <f>IF(AND(AA43&lt;&gt;"",OR(AA43&lt;EXPEDIENTE!$I$25,AA43&gt;EXPEDIENTE!$I$29)),1,0)</f>
        <v>0</v>
      </c>
      <c r="AH43" s="53">
        <f>IF(AND(AB43&lt;&gt;"",OR(AB43&lt;EXPEDIENTE!$I$25,AB43&gt;EXPEDIENTE!$I$29)),1,0)</f>
        <v>0</v>
      </c>
      <c r="AM43" s="1014"/>
      <c r="AN43" s="559" t="str">
        <f t="shared" si="74"/>
        <v/>
      </c>
      <c r="AO43" s="188" t="str">
        <f t="shared" si="98"/>
        <v/>
      </c>
      <c r="AP43" s="189"/>
      <c r="AQ43" s="190" t="str">
        <f t="shared" si="99"/>
        <v/>
      </c>
      <c r="AR43" s="188" t="str">
        <f t="shared" si="75"/>
        <v/>
      </c>
      <c r="AS43" s="189"/>
      <c r="AT43" s="190" t="str">
        <f t="shared" si="100"/>
        <v/>
      </c>
      <c r="AU43" s="170">
        <f t="shared" si="76"/>
        <v>0</v>
      </c>
      <c r="AV43" s="201"/>
      <c r="AW43" s="202">
        <f t="shared" si="101"/>
        <v>0</v>
      </c>
      <c r="AX43" s="200">
        <f t="shared" si="77"/>
        <v>0</v>
      </c>
      <c r="AY43" s="203"/>
      <c r="AZ43" s="204">
        <f t="shared" si="102"/>
        <v>0</v>
      </c>
      <c r="BA43" s="204">
        <f t="shared" si="78"/>
        <v>0</v>
      </c>
      <c r="BB43" s="203"/>
      <c r="BC43" s="204">
        <f t="shared" si="103"/>
        <v>0</v>
      </c>
      <c r="BD43" s="204">
        <f t="shared" si="79"/>
        <v>0</v>
      </c>
      <c r="BE43" s="203"/>
      <c r="BF43" s="204">
        <f t="shared" si="104"/>
        <v>0</v>
      </c>
      <c r="BG43" s="204">
        <f t="shared" si="80"/>
        <v>0</v>
      </c>
      <c r="BH43" s="203"/>
      <c r="BI43" s="204">
        <f t="shared" si="105"/>
        <v>0</v>
      </c>
      <c r="BJ43" s="204">
        <f t="shared" si="81"/>
        <v>0</v>
      </c>
      <c r="BK43" s="203"/>
      <c r="BL43" s="204">
        <f t="shared" si="106"/>
        <v>0</v>
      </c>
      <c r="BM43" s="207">
        <f t="shared" si="107"/>
        <v>0</v>
      </c>
      <c r="BN43" s="202">
        <f t="shared" si="108"/>
        <v>0</v>
      </c>
      <c r="BO43" s="255"/>
      <c r="BP43" s="264">
        <f t="shared" si="82"/>
        <v>0</v>
      </c>
      <c r="BQ43" s="265"/>
      <c r="BR43" s="266">
        <f t="shared" si="109"/>
        <v>0</v>
      </c>
      <c r="BS43" s="267">
        <f t="shared" si="83"/>
        <v>0</v>
      </c>
      <c r="BT43" s="268"/>
      <c r="BU43" s="267">
        <f t="shared" si="110"/>
        <v>0</v>
      </c>
      <c r="BV43" s="267">
        <f t="shared" si="84"/>
        <v>0</v>
      </c>
      <c r="BW43" s="268"/>
      <c r="BX43" s="267">
        <f t="shared" si="111"/>
        <v>0</v>
      </c>
      <c r="BY43" s="267">
        <f t="shared" si="85"/>
        <v>0</v>
      </c>
      <c r="BZ43" s="268"/>
      <c r="CA43" s="267">
        <f t="shared" si="112"/>
        <v>0</v>
      </c>
      <c r="CB43" s="267">
        <f t="shared" si="86"/>
        <v>0</v>
      </c>
      <c r="CC43" s="268"/>
      <c r="CD43" s="267">
        <f t="shared" si="113"/>
        <v>0</v>
      </c>
      <c r="CE43" s="207">
        <f t="shared" si="114"/>
        <v>0</v>
      </c>
      <c r="CF43" s="200">
        <f t="shared" si="87"/>
        <v>0</v>
      </c>
      <c r="CG43" s="203"/>
      <c r="CH43" s="207">
        <f t="shared" si="115"/>
        <v>0</v>
      </c>
      <c r="CI43" s="182"/>
      <c r="CJ43" s="401">
        <f t="shared" si="116"/>
        <v>0</v>
      </c>
      <c r="CK43" s="200">
        <f t="shared" si="88"/>
        <v>0</v>
      </c>
      <c r="CL43" s="201"/>
      <c r="CM43" s="202">
        <f t="shared" si="117"/>
        <v>0</v>
      </c>
      <c r="CN43" s="200">
        <f t="shared" si="89"/>
        <v>0</v>
      </c>
      <c r="CO43" s="173"/>
      <c r="CP43" s="262">
        <f t="shared" si="118"/>
        <v>0</v>
      </c>
      <c r="CQ43" s="402">
        <f t="shared" si="119"/>
        <v>0</v>
      </c>
      <c r="CR43" s="188" t="str">
        <f t="shared" si="90"/>
        <v/>
      </c>
      <c r="CS43" s="189"/>
      <c r="CT43" s="190" t="str">
        <f t="shared" si="120"/>
        <v/>
      </c>
      <c r="CU43" s="188" t="str">
        <f t="shared" si="91"/>
        <v/>
      </c>
      <c r="CV43" s="189"/>
      <c r="CW43" s="190" t="str">
        <f t="shared" si="121"/>
        <v/>
      </c>
      <c r="CX43" s="408" t="str">
        <f t="shared" si="122"/>
        <v/>
      </c>
      <c r="CY43" s="210"/>
      <c r="DA43" s="53">
        <f>IF(AND(CT43&lt;&gt;"",OR(CT43&lt;EXPEDIENTE!$I$25,CT43&gt;EXPEDIENTE!$I$29)),1,0)</f>
        <v>0</v>
      </c>
      <c r="DB43" s="53">
        <f>IF(AND(CW43&lt;&gt;"",OR(CW43&lt;EXPEDIENTE!$I$25,CW43&gt;EXPEDIENTE!$I$29)),1,0)</f>
        <v>0</v>
      </c>
      <c r="DD43" s="55">
        <f t="shared" si="92"/>
        <v>0</v>
      </c>
      <c r="DE43" s="55">
        <f t="shared" si="123"/>
        <v>0</v>
      </c>
      <c r="DF43" s="55">
        <f t="shared" si="124"/>
        <v>0</v>
      </c>
      <c r="DG43" s="55">
        <f t="shared" si="125"/>
        <v>0</v>
      </c>
      <c r="DH43" s="55">
        <f t="shared" si="126"/>
        <v>0</v>
      </c>
      <c r="DI43" s="55">
        <f t="shared" si="127"/>
        <v>0</v>
      </c>
      <c r="DJ43" s="55">
        <f t="shared" si="128"/>
        <v>0</v>
      </c>
      <c r="DK43" s="55">
        <f t="shared" si="129"/>
        <v>0</v>
      </c>
      <c r="DL43" s="55">
        <f t="shared" si="130"/>
        <v>0</v>
      </c>
      <c r="DM43" s="55">
        <f t="shared" si="131"/>
        <v>0</v>
      </c>
      <c r="DN43" s="55">
        <f t="shared" si="132"/>
        <v>0</v>
      </c>
      <c r="DO43" s="55">
        <f t="shared" si="133"/>
        <v>0</v>
      </c>
      <c r="DP43" s="55">
        <f t="shared" si="134"/>
        <v>0</v>
      </c>
      <c r="DQ43" s="55">
        <f t="shared" si="135"/>
        <v>0</v>
      </c>
      <c r="DR43" s="55">
        <f t="shared" si="136"/>
        <v>0</v>
      </c>
      <c r="DS43" s="55">
        <f t="shared" si="137"/>
        <v>0</v>
      </c>
      <c r="DT43" s="55">
        <f t="shared" si="138"/>
        <v>0</v>
      </c>
      <c r="DU43" s="55">
        <f t="shared" si="139"/>
        <v>0</v>
      </c>
      <c r="DW43" s="55">
        <f>IF(CY43&lt;&gt;"",MAX($DW$9:DW42)+1,0)</f>
        <v>0</v>
      </c>
      <c r="DX43" s="130" t="str">
        <f t="shared" si="140"/>
        <v/>
      </c>
    </row>
    <row r="44" spans="2:128" ht="30" customHeight="1" x14ac:dyDescent="0.25">
      <c r="B44" s="972"/>
      <c r="C44" s="332"/>
      <c r="D44" s="73"/>
      <c r="E44" s="260"/>
      <c r="F44" s="194"/>
      <c r="G44" s="195"/>
      <c r="H44" s="195"/>
      <c r="I44" s="195"/>
      <c r="J44" s="195"/>
      <c r="K44" s="195"/>
      <c r="L44" s="203">
        <f t="shared" si="142"/>
        <v>0</v>
      </c>
      <c r="M44" s="175">
        <f t="shared" si="143"/>
        <v>0</v>
      </c>
      <c r="N44" s="247"/>
      <c r="O44" s="212"/>
      <c r="P44" s="213"/>
      <c r="Q44" s="213"/>
      <c r="R44" s="213"/>
      <c r="S44" s="213"/>
      <c r="T44" s="203">
        <f t="shared" si="95"/>
        <v>0</v>
      </c>
      <c r="U44" s="263"/>
      <c r="V44" s="163"/>
      <c r="W44" s="208">
        <f t="shared" si="96"/>
        <v>0</v>
      </c>
      <c r="X44" s="194"/>
      <c r="Y44" s="195"/>
      <c r="Z44" s="173">
        <f t="shared" si="97"/>
        <v>0</v>
      </c>
      <c r="AA44" s="164"/>
      <c r="AB44" s="165"/>
      <c r="AC44" s="322"/>
      <c r="AD44" s="323"/>
      <c r="AE44" s="360"/>
      <c r="AF44" s="357"/>
      <c r="AG44" s="53">
        <f>IF(AND(AA44&lt;&gt;"",OR(AA44&lt;EXPEDIENTE!$I$25,AA44&gt;EXPEDIENTE!$I$29)),1,0)</f>
        <v>0</v>
      </c>
      <c r="AH44" s="53">
        <f>IF(AND(AB44&lt;&gt;"",OR(AB44&lt;EXPEDIENTE!$I$25,AB44&gt;EXPEDIENTE!$I$29)),1,0)</f>
        <v>0</v>
      </c>
      <c r="AM44" s="1014"/>
      <c r="AN44" s="559" t="str">
        <f t="shared" si="74"/>
        <v/>
      </c>
      <c r="AO44" s="188" t="str">
        <f t="shared" si="98"/>
        <v/>
      </c>
      <c r="AP44" s="189"/>
      <c r="AQ44" s="190" t="str">
        <f t="shared" si="99"/>
        <v/>
      </c>
      <c r="AR44" s="188" t="str">
        <f t="shared" si="75"/>
        <v/>
      </c>
      <c r="AS44" s="189"/>
      <c r="AT44" s="190" t="str">
        <f t="shared" si="100"/>
        <v/>
      </c>
      <c r="AU44" s="170">
        <f t="shared" si="76"/>
        <v>0</v>
      </c>
      <c r="AV44" s="201"/>
      <c r="AW44" s="202">
        <f t="shared" si="101"/>
        <v>0</v>
      </c>
      <c r="AX44" s="200">
        <f t="shared" si="77"/>
        <v>0</v>
      </c>
      <c r="AY44" s="203"/>
      <c r="AZ44" s="204">
        <f t="shared" si="102"/>
        <v>0</v>
      </c>
      <c r="BA44" s="204">
        <f t="shared" si="78"/>
        <v>0</v>
      </c>
      <c r="BB44" s="203"/>
      <c r="BC44" s="204">
        <f t="shared" si="103"/>
        <v>0</v>
      </c>
      <c r="BD44" s="204">
        <f t="shared" si="79"/>
        <v>0</v>
      </c>
      <c r="BE44" s="203"/>
      <c r="BF44" s="204">
        <f t="shared" si="104"/>
        <v>0</v>
      </c>
      <c r="BG44" s="204">
        <f t="shared" si="80"/>
        <v>0</v>
      </c>
      <c r="BH44" s="203"/>
      <c r="BI44" s="204">
        <f t="shared" si="105"/>
        <v>0</v>
      </c>
      <c r="BJ44" s="204">
        <f t="shared" si="81"/>
        <v>0</v>
      </c>
      <c r="BK44" s="203"/>
      <c r="BL44" s="204">
        <f t="shared" si="106"/>
        <v>0</v>
      </c>
      <c r="BM44" s="207">
        <f t="shared" si="107"/>
        <v>0</v>
      </c>
      <c r="BN44" s="398">
        <f t="shared" si="108"/>
        <v>0</v>
      </c>
      <c r="BO44" s="255"/>
      <c r="BP44" s="264">
        <f t="shared" si="82"/>
        <v>0</v>
      </c>
      <c r="BQ44" s="265"/>
      <c r="BR44" s="266">
        <f t="shared" si="109"/>
        <v>0</v>
      </c>
      <c r="BS44" s="267">
        <f t="shared" si="83"/>
        <v>0</v>
      </c>
      <c r="BT44" s="268"/>
      <c r="BU44" s="267">
        <f t="shared" si="110"/>
        <v>0</v>
      </c>
      <c r="BV44" s="267">
        <f t="shared" si="84"/>
        <v>0</v>
      </c>
      <c r="BW44" s="268"/>
      <c r="BX44" s="267">
        <f t="shared" si="111"/>
        <v>0</v>
      </c>
      <c r="BY44" s="267">
        <f t="shared" si="85"/>
        <v>0</v>
      </c>
      <c r="BZ44" s="268"/>
      <c r="CA44" s="267">
        <f t="shared" si="112"/>
        <v>0</v>
      </c>
      <c r="CB44" s="267">
        <f t="shared" si="86"/>
        <v>0</v>
      </c>
      <c r="CC44" s="268"/>
      <c r="CD44" s="267">
        <f t="shared" si="113"/>
        <v>0</v>
      </c>
      <c r="CE44" s="207">
        <f t="shared" si="114"/>
        <v>0</v>
      </c>
      <c r="CF44" s="200">
        <f t="shared" si="87"/>
        <v>0</v>
      </c>
      <c r="CG44" s="203"/>
      <c r="CH44" s="207">
        <f t="shared" si="115"/>
        <v>0</v>
      </c>
      <c r="CI44" s="182"/>
      <c r="CJ44" s="401">
        <f t="shared" si="116"/>
        <v>0</v>
      </c>
      <c r="CK44" s="200">
        <f t="shared" si="88"/>
        <v>0</v>
      </c>
      <c r="CL44" s="201"/>
      <c r="CM44" s="202">
        <f t="shared" si="117"/>
        <v>0</v>
      </c>
      <c r="CN44" s="200">
        <f t="shared" si="89"/>
        <v>0</v>
      </c>
      <c r="CO44" s="173"/>
      <c r="CP44" s="262">
        <f t="shared" si="118"/>
        <v>0</v>
      </c>
      <c r="CQ44" s="402">
        <f t="shared" si="119"/>
        <v>0</v>
      </c>
      <c r="CR44" s="188" t="str">
        <f t="shared" si="90"/>
        <v/>
      </c>
      <c r="CS44" s="189"/>
      <c r="CT44" s="190" t="str">
        <f t="shared" si="120"/>
        <v/>
      </c>
      <c r="CU44" s="188" t="str">
        <f t="shared" si="91"/>
        <v/>
      </c>
      <c r="CV44" s="189"/>
      <c r="CW44" s="190" t="str">
        <f t="shared" si="121"/>
        <v/>
      </c>
      <c r="CX44" s="408" t="str">
        <f t="shared" si="122"/>
        <v/>
      </c>
      <c r="CY44" s="210"/>
      <c r="DA44" s="53">
        <f>IF(AND(CT44&lt;&gt;"",OR(CT44&lt;EXPEDIENTE!$I$25,CT44&gt;EXPEDIENTE!$I$29)),1,0)</f>
        <v>0</v>
      </c>
      <c r="DB44" s="53">
        <f>IF(AND(CW44&lt;&gt;"",OR(CW44&lt;EXPEDIENTE!$I$25,CW44&gt;EXPEDIENTE!$I$29)),1,0)</f>
        <v>0</v>
      </c>
      <c r="DD44" s="55">
        <f t="shared" si="92"/>
        <v>0</v>
      </c>
      <c r="DE44" s="55">
        <f t="shared" si="123"/>
        <v>0</v>
      </c>
      <c r="DF44" s="55">
        <f t="shared" si="124"/>
        <v>0</v>
      </c>
      <c r="DG44" s="55">
        <f t="shared" si="125"/>
        <v>0</v>
      </c>
      <c r="DH44" s="55">
        <f t="shared" si="126"/>
        <v>0</v>
      </c>
      <c r="DI44" s="55">
        <f t="shared" si="127"/>
        <v>0</v>
      </c>
      <c r="DJ44" s="55">
        <f t="shared" si="128"/>
        <v>0</v>
      </c>
      <c r="DK44" s="55">
        <f t="shared" si="129"/>
        <v>0</v>
      </c>
      <c r="DL44" s="55">
        <f t="shared" si="130"/>
        <v>0</v>
      </c>
      <c r="DM44" s="55">
        <f t="shared" si="131"/>
        <v>0</v>
      </c>
      <c r="DN44" s="55">
        <f t="shared" si="132"/>
        <v>0</v>
      </c>
      <c r="DO44" s="55">
        <f t="shared" si="133"/>
        <v>0</v>
      </c>
      <c r="DP44" s="55">
        <f t="shared" si="134"/>
        <v>0</v>
      </c>
      <c r="DQ44" s="55">
        <f t="shared" si="135"/>
        <v>0</v>
      </c>
      <c r="DR44" s="55">
        <f t="shared" si="136"/>
        <v>0</v>
      </c>
      <c r="DS44" s="55">
        <f t="shared" si="137"/>
        <v>0</v>
      </c>
      <c r="DT44" s="55">
        <f t="shared" si="138"/>
        <v>0</v>
      </c>
      <c r="DU44" s="55">
        <f t="shared" si="139"/>
        <v>0</v>
      </c>
      <c r="DW44" s="55">
        <f>IF(CY44&lt;&gt;"",MAX($DW$9:DW43)+1,0)</f>
        <v>0</v>
      </c>
      <c r="DX44" s="130" t="str">
        <f t="shared" si="140"/>
        <v/>
      </c>
    </row>
    <row r="45" spans="2:128" ht="30" customHeight="1" thickBot="1" x14ac:dyDescent="0.3">
      <c r="B45" s="972"/>
      <c r="C45" s="333"/>
      <c r="D45" s="269"/>
      <c r="E45" s="270"/>
      <c r="F45" s="215"/>
      <c r="G45" s="216"/>
      <c r="H45" s="216"/>
      <c r="I45" s="216"/>
      <c r="J45" s="216"/>
      <c r="K45" s="216"/>
      <c r="L45" s="227">
        <f t="shared" si="141"/>
        <v>0</v>
      </c>
      <c r="M45" s="229">
        <f t="shared" si="94"/>
        <v>0</v>
      </c>
      <c r="N45" s="271"/>
      <c r="O45" s="215"/>
      <c r="P45" s="216"/>
      <c r="Q45" s="216"/>
      <c r="R45" s="216"/>
      <c r="S45" s="216"/>
      <c r="T45" s="227">
        <f t="shared" si="95"/>
        <v>0</v>
      </c>
      <c r="U45" s="217"/>
      <c r="V45" s="271"/>
      <c r="W45" s="230">
        <f t="shared" si="96"/>
        <v>0</v>
      </c>
      <c r="X45" s="215"/>
      <c r="Y45" s="216"/>
      <c r="Z45" s="227">
        <f t="shared" si="97"/>
        <v>0</v>
      </c>
      <c r="AA45" s="269"/>
      <c r="AB45" s="270"/>
      <c r="AC45" s="334"/>
      <c r="AD45" s="335"/>
      <c r="AE45" s="361"/>
      <c r="AF45" s="357"/>
      <c r="AG45" s="53">
        <f>IF(AND(AA45&lt;&gt;"",OR(AA45&lt;EXPEDIENTE!$I$25,AA45&gt;EXPEDIENTE!$I$29)),1,0)</f>
        <v>0</v>
      </c>
      <c r="AH45" s="53">
        <f>IF(AND(AB45&lt;&gt;"",OR(AB45&lt;EXPEDIENTE!$I$25,AB45&gt;EXPEDIENTE!$I$29)),1,0)</f>
        <v>0</v>
      </c>
      <c r="AM45" s="1014"/>
      <c r="AN45" s="560" t="str">
        <f t="shared" si="74"/>
        <v/>
      </c>
      <c r="AO45" s="236" t="str">
        <f t="shared" si="98"/>
        <v/>
      </c>
      <c r="AP45" s="237"/>
      <c r="AQ45" s="238" t="str">
        <f t="shared" si="99"/>
        <v/>
      </c>
      <c r="AR45" s="236" t="str">
        <f t="shared" si="75"/>
        <v/>
      </c>
      <c r="AS45" s="237"/>
      <c r="AT45" s="238" t="str">
        <f t="shared" si="100"/>
        <v/>
      </c>
      <c r="AU45" s="272">
        <f t="shared" si="76"/>
        <v>0</v>
      </c>
      <c r="AV45" s="225"/>
      <c r="AW45" s="226">
        <f t="shared" si="101"/>
        <v>0</v>
      </c>
      <c r="AX45" s="224">
        <f t="shared" si="77"/>
        <v>0</v>
      </c>
      <c r="AY45" s="227"/>
      <c r="AZ45" s="228">
        <f t="shared" si="102"/>
        <v>0</v>
      </c>
      <c r="BA45" s="228">
        <f t="shared" si="78"/>
        <v>0</v>
      </c>
      <c r="BB45" s="227"/>
      <c r="BC45" s="228">
        <f t="shared" si="103"/>
        <v>0</v>
      </c>
      <c r="BD45" s="228">
        <f t="shared" si="79"/>
        <v>0</v>
      </c>
      <c r="BE45" s="227"/>
      <c r="BF45" s="228">
        <f t="shared" si="104"/>
        <v>0</v>
      </c>
      <c r="BG45" s="228">
        <f t="shared" si="80"/>
        <v>0</v>
      </c>
      <c r="BH45" s="227"/>
      <c r="BI45" s="228">
        <f t="shared" si="105"/>
        <v>0</v>
      </c>
      <c r="BJ45" s="228">
        <f t="shared" si="81"/>
        <v>0</v>
      </c>
      <c r="BK45" s="227"/>
      <c r="BL45" s="228">
        <f t="shared" si="106"/>
        <v>0</v>
      </c>
      <c r="BM45" s="232">
        <f t="shared" si="107"/>
        <v>0</v>
      </c>
      <c r="BN45" s="386">
        <f t="shared" si="108"/>
        <v>0</v>
      </c>
      <c r="BO45" s="255"/>
      <c r="BP45" s="224">
        <f t="shared" si="82"/>
        <v>0</v>
      </c>
      <c r="BQ45" s="225"/>
      <c r="BR45" s="231">
        <f t="shared" si="109"/>
        <v>0</v>
      </c>
      <c r="BS45" s="228">
        <f t="shared" si="83"/>
        <v>0</v>
      </c>
      <c r="BT45" s="227"/>
      <c r="BU45" s="228">
        <f t="shared" si="110"/>
        <v>0</v>
      </c>
      <c r="BV45" s="228">
        <f t="shared" si="84"/>
        <v>0</v>
      </c>
      <c r="BW45" s="227"/>
      <c r="BX45" s="228">
        <f t="shared" si="111"/>
        <v>0</v>
      </c>
      <c r="BY45" s="228">
        <f t="shared" si="85"/>
        <v>0</v>
      </c>
      <c r="BZ45" s="227"/>
      <c r="CA45" s="228">
        <f t="shared" si="112"/>
        <v>0</v>
      </c>
      <c r="CB45" s="228">
        <f t="shared" si="86"/>
        <v>0</v>
      </c>
      <c r="CC45" s="227"/>
      <c r="CD45" s="228">
        <f t="shared" si="113"/>
        <v>0</v>
      </c>
      <c r="CE45" s="232">
        <f t="shared" si="114"/>
        <v>0</v>
      </c>
      <c r="CF45" s="224">
        <f t="shared" si="87"/>
        <v>0</v>
      </c>
      <c r="CG45" s="227"/>
      <c r="CH45" s="232">
        <f t="shared" si="115"/>
        <v>0</v>
      </c>
      <c r="CI45" s="182"/>
      <c r="CJ45" s="386">
        <f t="shared" si="116"/>
        <v>0</v>
      </c>
      <c r="CK45" s="224">
        <f t="shared" si="88"/>
        <v>0</v>
      </c>
      <c r="CL45" s="225"/>
      <c r="CM45" s="226">
        <f t="shared" si="117"/>
        <v>0</v>
      </c>
      <c r="CN45" s="224">
        <f t="shared" si="89"/>
        <v>0</v>
      </c>
      <c r="CO45" s="273"/>
      <c r="CP45" s="274">
        <f t="shared" si="118"/>
        <v>0</v>
      </c>
      <c r="CQ45" s="403">
        <f t="shared" si="119"/>
        <v>0</v>
      </c>
      <c r="CR45" s="236" t="str">
        <f t="shared" si="90"/>
        <v/>
      </c>
      <c r="CS45" s="237"/>
      <c r="CT45" s="238" t="str">
        <f t="shared" si="120"/>
        <v/>
      </c>
      <c r="CU45" s="236" t="str">
        <f t="shared" si="91"/>
        <v/>
      </c>
      <c r="CV45" s="237"/>
      <c r="CW45" s="238" t="str">
        <f t="shared" si="121"/>
        <v/>
      </c>
      <c r="CX45" s="409" t="str">
        <f t="shared" si="122"/>
        <v/>
      </c>
      <c r="CY45" s="240"/>
      <c r="DA45" s="53">
        <f>IF(AND(CT45&lt;&gt;"",OR(CT45&lt;EXPEDIENTE!$I$25,CT45&gt;EXPEDIENTE!$I$29)),1,0)</f>
        <v>0</v>
      </c>
      <c r="DB45" s="53">
        <f>IF(AND(CW45&lt;&gt;"",OR(CW45&lt;EXPEDIENTE!$I$25,CW45&gt;EXPEDIENTE!$I$29)),1,0)</f>
        <v>0</v>
      </c>
      <c r="DD45" s="55">
        <f t="shared" si="92"/>
        <v>0</v>
      </c>
      <c r="DE45" s="55">
        <f t="shared" si="123"/>
        <v>0</v>
      </c>
      <c r="DF45" s="55">
        <f t="shared" si="124"/>
        <v>0</v>
      </c>
      <c r="DG45" s="55">
        <f t="shared" si="125"/>
        <v>0</v>
      </c>
      <c r="DH45" s="55">
        <f t="shared" si="126"/>
        <v>0</v>
      </c>
      <c r="DI45" s="55">
        <f t="shared" si="127"/>
        <v>0</v>
      </c>
      <c r="DJ45" s="55">
        <f t="shared" si="128"/>
        <v>0</v>
      </c>
      <c r="DK45" s="55">
        <f t="shared" si="129"/>
        <v>0</v>
      </c>
      <c r="DL45" s="55">
        <f t="shared" si="130"/>
        <v>0</v>
      </c>
      <c r="DM45" s="55">
        <f t="shared" si="131"/>
        <v>0</v>
      </c>
      <c r="DN45" s="55">
        <f t="shared" si="132"/>
        <v>0</v>
      </c>
      <c r="DO45" s="55">
        <f t="shared" si="133"/>
        <v>0</v>
      </c>
      <c r="DP45" s="55">
        <f t="shared" si="134"/>
        <v>0</v>
      </c>
      <c r="DQ45" s="55">
        <f t="shared" si="135"/>
        <v>0</v>
      </c>
      <c r="DR45" s="55">
        <f t="shared" si="136"/>
        <v>0</v>
      </c>
      <c r="DS45" s="55">
        <f t="shared" si="137"/>
        <v>0</v>
      </c>
      <c r="DT45" s="55">
        <f t="shared" si="138"/>
        <v>0</v>
      </c>
      <c r="DU45" s="55">
        <f t="shared" si="139"/>
        <v>0</v>
      </c>
      <c r="DW45" s="55">
        <f>IF(CY45&lt;&gt;"",MAX($DW$9:DW44)+1,0)</f>
        <v>0</v>
      </c>
      <c r="DX45" s="130" t="str">
        <f t="shared" si="140"/>
        <v/>
      </c>
    </row>
    <row r="46" spans="2:128" ht="9.9499999999999993" customHeight="1" thickBot="1" x14ac:dyDescent="0.3">
      <c r="B46" s="972"/>
      <c r="C46" s="336"/>
      <c r="D46" s="337"/>
      <c r="E46" s="337"/>
      <c r="F46" s="337"/>
      <c r="G46" s="337"/>
      <c r="H46" s="337"/>
      <c r="I46" s="337"/>
      <c r="J46" s="337"/>
      <c r="K46" s="337"/>
      <c r="L46" s="337"/>
      <c r="M46" s="338"/>
      <c r="N46" s="349"/>
      <c r="O46" s="354"/>
      <c r="P46" s="354"/>
      <c r="Q46" s="354"/>
      <c r="R46" s="354"/>
      <c r="S46" s="354"/>
      <c r="T46" s="354"/>
      <c r="U46" s="354"/>
      <c r="V46" s="351"/>
      <c r="W46" s="339"/>
      <c r="X46" s="337"/>
      <c r="Y46" s="337"/>
      <c r="Z46" s="337"/>
      <c r="AA46" s="337"/>
      <c r="AB46" s="337"/>
      <c r="AC46" s="337"/>
      <c r="AD46" s="337"/>
      <c r="AE46" s="337"/>
      <c r="AF46" s="357"/>
      <c r="AM46" s="1014"/>
      <c r="AN46" s="379"/>
      <c r="AO46" s="393"/>
      <c r="AP46" s="393"/>
      <c r="AQ46" s="393"/>
      <c r="AR46" s="393"/>
      <c r="AS46" s="393"/>
      <c r="AT46" s="393"/>
      <c r="AU46" s="393"/>
      <c r="AV46" s="393"/>
      <c r="AW46" s="393"/>
      <c r="AX46" s="393"/>
      <c r="AY46" s="393"/>
      <c r="AZ46" s="393"/>
      <c r="BA46" s="393"/>
      <c r="BB46" s="393"/>
      <c r="BC46" s="393"/>
      <c r="BD46" s="393"/>
      <c r="BE46" s="393"/>
      <c r="BF46" s="393"/>
      <c r="BG46" s="393"/>
      <c r="BH46" s="393"/>
      <c r="BI46" s="393"/>
      <c r="BJ46" s="393"/>
      <c r="BK46" s="393"/>
      <c r="BL46" s="393"/>
      <c r="BM46" s="393"/>
      <c r="BN46" s="400"/>
      <c r="BO46" s="404"/>
      <c r="BP46" s="405"/>
      <c r="BQ46" s="405"/>
      <c r="BR46" s="405"/>
      <c r="BS46" s="405"/>
      <c r="BT46" s="405"/>
      <c r="BU46" s="405"/>
      <c r="BV46" s="405"/>
      <c r="BW46" s="405"/>
      <c r="BX46" s="405"/>
      <c r="BY46" s="405"/>
      <c r="BZ46" s="405"/>
      <c r="CA46" s="405"/>
      <c r="CB46" s="405"/>
      <c r="CC46" s="405"/>
      <c r="CD46" s="405"/>
      <c r="CE46" s="405"/>
      <c r="CF46" s="352"/>
      <c r="CG46" s="352"/>
      <c r="CH46" s="352"/>
      <c r="CI46" s="406"/>
      <c r="CJ46" s="384"/>
      <c r="CK46" s="380"/>
      <c r="CL46" s="380"/>
      <c r="CM46" s="380"/>
      <c r="CN46" s="380"/>
      <c r="CO46" s="380"/>
      <c r="CP46" s="380"/>
      <c r="CQ46" s="380"/>
      <c r="CR46" s="380"/>
      <c r="CS46" s="380"/>
      <c r="CT46" s="380"/>
      <c r="CU46" s="380"/>
      <c r="CV46" s="380"/>
      <c r="CW46" s="380"/>
      <c r="CX46" s="380"/>
      <c r="CY46" s="385"/>
    </row>
    <row r="47" spans="2:128" ht="9.9499999999999993" customHeight="1" thickBot="1" x14ac:dyDescent="0.3">
      <c r="B47" s="972"/>
      <c r="C47" s="348"/>
      <c r="D47" s="341"/>
      <c r="E47" s="341"/>
      <c r="F47" s="341"/>
      <c r="G47" s="341"/>
      <c r="H47" s="341"/>
      <c r="I47" s="341"/>
      <c r="J47" s="341"/>
      <c r="K47" s="341"/>
      <c r="L47" s="341"/>
      <c r="M47" s="341"/>
      <c r="N47" s="341"/>
      <c r="O47" s="341"/>
      <c r="P47" s="341"/>
      <c r="Q47" s="341"/>
      <c r="R47" s="341"/>
      <c r="S47" s="341"/>
      <c r="T47" s="341"/>
      <c r="U47" s="341"/>
      <c r="V47" s="341"/>
      <c r="W47" s="341"/>
      <c r="X47" s="341"/>
      <c r="Y47" s="341"/>
      <c r="Z47" s="341"/>
      <c r="AA47" s="341"/>
      <c r="AB47" s="341"/>
      <c r="AC47" s="341"/>
      <c r="AD47" s="341"/>
      <c r="AE47" s="341"/>
      <c r="AF47" s="357"/>
      <c r="AM47" s="1014"/>
      <c r="AN47" s="377"/>
      <c r="AO47" s="378"/>
      <c r="AP47" s="378"/>
      <c r="AQ47" s="378"/>
      <c r="AR47" s="378"/>
      <c r="AS47" s="378"/>
      <c r="AT47" s="378"/>
      <c r="AU47" s="378"/>
      <c r="AV47" s="378"/>
      <c r="AW47" s="378"/>
      <c r="AX47" s="378"/>
      <c r="AY47" s="378"/>
      <c r="AZ47" s="378"/>
      <c r="BA47" s="378"/>
      <c r="BB47" s="378"/>
      <c r="BC47" s="378"/>
      <c r="BD47" s="378"/>
      <c r="BE47" s="378"/>
      <c r="BF47" s="378"/>
      <c r="BG47" s="378"/>
      <c r="BH47" s="378"/>
      <c r="BI47" s="378"/>
      <c r="BJ47" s="378"/>
      <c r="BK47" s="378"/>
      <c r="BL47" s="393"/>
      <c r="BM47" s="393"/>
      <c r="BN47" s="393"/>
      <c r="BO47" s="382"/>
      <c r="BP47" s="382"/>
      <c r="BQ47" s="382"/>
      <c r="BR47" s="382"/>
      <c r="BS47" s="382"/>
      <c r="BT47" s="382"/>
      <c r="BU47" s="382"/>
      <c r="BV47" s="382"/>
      <c r="BW47" s="382"/>
      <c r="BX47" s="382"/>
      <c r="BY47" s="382"/>
      <c r="BZ47" s="382"/>
      <c r="CA47" s="382"/>
      <c r="CB47" s="382"/>
      <c r="CC47" s="382"/>
      <c r="CD47" s="382"/>
      <c r="CE47" s="382"/>
      <c r="CF47" s="382"/>
      <c r="CG47" s="382"/>
      <c r="CH47" s="382"/>
      <c r="CI47" s="382"/>
      <c r="CJ47" s="393"/>
      <c r="CK47" s="393"/>
      <c r="CL47" s="393"/>
      <c r="CM47" s="393"/>
      <c r="CN47" s="393"/>
      <c r="CO47" s="393"/>
      <c r="CP47" s="393"/>
      <c r="CQ47" s="393"/>
      <c r="CR47" s="393"/>
      <c r="CS47" s="393"/>
      <c r="CT47" s="393"/>
      <c r="CU47" s="393"/>
      <c r="CV47" s="393"/>
      <c r="CW47" s="393"/>
      <c r="CX47" s="393"/>
      <c r="CY47" s="394"/>
    </row>
    <row r="48" spans="2:128" ht="9.9499999999999993" customHeight="1" thickTop="1" thickBot="1" x14ac:dyDescent="0.3">
      <c r="B48" s="972"/>
      <c r="C48" s="841" t="str">
        <f>CONCATENATE("SEGURIDAD SOCIAL EMPRESA EJERCICIO ",YEAR(EXPEDIENTE!$F$25))</f>
        <v>SEGURIDAD SOCIAL EMPRESA EJERCICIO 2025</v>
      </c>
      <c r="D48" s="841"/>
      <c r="E48" s="841"/>
      <c r="F48" s="841"/>
      <c r="G48" s="841"/>
      <c r="H48" s="841"/>
      <c r="I48" s="841"/>
      <c r="J48" s="841"/>
      <c r="K48" s="841"/>
      <c r="L48" s="841"/>
      <c r="M48" s="841"/>
      <c r="N48" s="353"/>
      <c r="O48" s="365"/>
      <c r="P48" s="365"/>
      <c r="Q48" s="365"/>
      <c r="R48" s="365"/>
      <c r="S48" s="365"/>
      <c r="T48" s="365"/>
      <c r="U48" s="365"/>
      <c r="V48" s="365"/>
      <c r="W48" s="365"/>
      <c r="X48" s="365"/>
      <c r="Y48" s="365"/>
      <c r="Z48" s="365"/>
      <c r="AA48" s="365"/>
      <c r="AB48" s="365"/>
      <c r="AC48" s="365"/>
      <c r="AD48" s="365"/>
      <c r="AE48" s="365"/>
      <c r="AF48" s="363"/>
      <c r="AM48" s="1014"/>
      <c r="AN48" s="843" t="str">
        <f>CONCATENATE("SEGURIDAD SOCIAL EMPRESA EJERCICIO ",YEAR(EXPEDIENTE!$F$25))</f>
        <v>SEGURIDAD SOCIAL EMPRESA EJERCICIO 2025</v>
      </c>
      <c r="AO48" s="843"/>
      <c r="AP48" s="843"/>
      <c r="AQ48" s="843"/>
      <c r="AR48" s="843"/>
      <c r="AS48" s="843"/>
      <c r="AT48" s="843"/>
      <c r="AU48" s="843"/>
      <c r="AV48" s="843"/>
      <c r="AW48" s="843"/>
      <c r="AX48" s="843"/>
      <c r="AY48" s="843"/>
      <c r="AZ48" s="843"/>
      <c r="BA48" s="843"/>
      <c r="BB48" s="843"/>
      <c r="BC48" s="843"/>
      <c r="BD48" s="843"/>
      <c r="BE48" s="843"/>
      <c r="BF48" s="843"/>
      <c r="BG48" s="843"/>
      <c r="BH48" s="843"/>
      <c r="BI48" s="843"/>
      <c r="BJ48" s="843"/>
      <c r="BK48" s="843"/>
      <c r="BL48" s="843"/>
      <c r="BM48" s="843"/>
      <c r="BN48" s="843"/>
      <c r="BO48" s="843"/>
      <c r="BP48" s="843"/>
      <c r="BQ48" s="843"/>
      <c r="BR48" s="843"/>
      <c r="BS48" s="844"/>
      <c r="BT48" s="368"/>
      <c r="BU48" s="368"/>
      <c r="BV48" s="368"/>
      <c r="BW48" s="368"/>
      <c r="BX48" s="368"/>
      <c r="BY48" s="368"/>
      <c r="BZ48" s="368"/>
      <c r="CA48" s="368"/>
      <c r="CB48" s="368"/>
      <c r="CC48" s="368"/>
      <c r="CD48" s="368"/>
      <c r="CE48" s="368"/>
      <c r="CF48" s="368"/>
      <c r="CG48" s="368"/>
      <c r="CH48" s="368"/>
      <c r="CI48" s="368"/>
      <c r="CJ48" s="368"/>
      <c r="CK48" s="368"/>
      <c r="CL48" s="368"/>
      <c r="CM48" s="368"/>
      <c r="CN48" s="368"/>
      <c r="CO48" s="368"/>
      <c r="CP48" s="368"/>
      <c r="CQ48" s="368"/>
      <c r="CR48" s="368"/>
      <c r="CS48" s="368"/>
      <c r="CT48" s="368"/>
      <c r="CU48" s="368"/>
      <c r="CV48" s="368"/>
      <c r="CW48" s="368"/>
      <c r="CX48" s="368"/>
      <c r="CY48" s="368"/>
    </row>
    <row r="49" spans="2:128" ht="24.95" customHeight="1" thickTop="1" thickBot="1" x14ac:dyDescent="0.3">
      <c r="B49" s="972"/>
      <c r="C49" s="842"/>
      <c r="D49" s="842"/>
      <c r="E49" s="842"/>
      <c r="F49" s="842"/>
      <c r="G49" s="842"/>
      <c r="H49" s="842"/>
      <c r="I49" s="842"/>
      <c r="J49" s="842"/>
      <c r="K49" s="842"/>
      <c r="L49" s="842"/>
      <c r="M49" s="842"/>
      <c r="N49" s="362"/>
      <c r="AM49" s="1014"/>
      <c r="AN49" s="845"/>
      <c r="AO49" s="845"/>
      <c r="AP49" s="845"/>
      <c r="AQ49" s="845"/>
      <c r="AR49" s="845"/>
      <c r="AS49" s="845"/>
      <c r="AT49" s="845"/>
      <c r="AU49" s="845"/>
      <c r="AV49" s="845"/>
      <c r="AW49" s="845"/>
      <c r="AX49" s="845"/>
      <c r="AY49" s="845"/>
      <c r="AZ49" s="845"/>
      <c r="BA49" s="845"/>
      <c r="BB49" s="845"/>
      <c r="BC49" s="845"/>
      <c r="BD49" s="845"/>
      <c r="BE49" s="845"/>
      <c r="BF49" s="845"/>
      <c r="BG49" s="845"/>
      <c r="BH49" s="845"/>
      <c r="BI49" s="845"/>
      <c r="BJ49" s="845"/>
      <c r="BK49" s="845"/>
      <c r="BL49" s="845"/>
      <c r="BM49" s="845"/>
      <c r="BN49" s="845"/>
      <c r="BO49" s="845"/>
      <c r="BP49" s="845"/>
      <c r="BQ49" s="845"/>
      <c r="BR49" s="845"/>
      <c r="BS49" s="846"/>
      <c r="CY49" s="81"/>
      <c r="CZ49" s="81"/>
      <c r="DB49" s="47"/>
    </row>
    <row r="50" spans="2:128" ht="20.100000000000001" customHeight="1" thickTop="1" thickBot="1" x14ac:dyDescent="0.3">
      <c r="B50" s="972"/>
      <c r="C50" s="987" t="s">
        <v>91</v>
      </c>
      <c r="D50" s="989" t="str">
        <f>IF(OR(SUM(T20:T31)&gt;0,SUM(T38:T45)&gt;0),"BASE
COTIZACIÓN
SUBVENCIO.","BASE
COTIZACIÓN")</f>
        <v>BASE
COTIZACIÓN</v>
      </c>
      <c r="E50" s="989" t="s">
        <v>291</v>
      </c>
      <c r="F50" s="989" t="s">
        <v>292</v>
      </c>
      <c r="G50" s="989" t="s">
        <v>293</v>
      </c>
      <c r="H50" s="989" t="s">
        <v>294</v>
      </c>
      <c r="I50" s="990" t="s">
        <v>295</v>
      </c>
      <c r="J50" s="992" t="s">
        <v>204</v>
      </c>
      <c r="K50" s="993"/>
      <c r="L50" s="993"/>
      <c r="M50" s="994"/>
      <c r="N50" s="357"/>
      <c r="AM50" s="1014"/>
      <c r="AN50" s="853" t="s">
        <v>91</v>
      </c>
      <c r="AO50" s="1016" t="s">
        <v>296</v>
      </c>
      <c r="AP50" s="1017"/>
      <c r="AQ50" s="1018"/>
      <c r="AR50" s="923" t="s">
        <v>291</v>
      </c>
      <c r="AS50" s="855"/>
      <c r="AT50" s="856"/>
      <c r="AU50" s="834" t="s">
        <v>297</v>
      </c>
      <c r="AV50" s="835"/>
      <c r="AW50" s="836"/>
      <c r="AX50" s="834" t="s">
        <v>298</v>
      </c>
      <c r="AY50" s="835"/>
      <c r="AZ50" s="836"/>
      <c r="BA50" s="923" t="s">
        <v>294</v>
      </c>
      <c r="BB50" s="855"/>
      <c r="BC50" s="856"/>
      <c r="BD50" s="834" t="s">
        <v>299</v>
      </c>
      <c r="BE50" s="835"/>
      <c r="BF50" s="836"/>
      <c r="BG50" s="847" t="s">
        <v>212</v>
      </c>
      <c r="BH50" s="871" t="s">
        <v>213</v>
      </c>
      <c r="BI50" s="872"/>
      <c r="BJ50" s="872"/>
      <c r="BK50" s="872"/>
      <c r="BL50" s="872"/>
      <c r="BM50" s="872"/>
      <c r="BN50" s="872"/>
      <c r="BO50" s="872"/>
      <c r="BP50" s="872"/>
      <c r="BQ50" s="872"/>
      <c r="BR50" s="872"/>
      <c r="BS50" s="873"/>
      <c r="DA50" s="47"/>
      <c r="DB50" s="47"/>
      <c r="DC50" s="53"/>
    </row>
    <row r="51" spans="2:128" ht="50.1" customHeight="1" thickBot="1" x14ac:dyDescent="0.3">
      <c r="B51" s="972"/>
      <c r="C51" s="988"/>
      <c r="D51" s="899"/>
      <c r="E51" s="899"/>
      <c r="F51" s="899"/>
      <c r="G51" s="899"/>
      <c r="H51" s="899"/>
      <c r="I51" s="991"/>
      <c r="J51" s="995"/>
      <c r="K51" s="996"/>
      <c r="L51" s="996"/>
      <c r="M51" s="997"/>
      <c r="N51" s="357"/>
      <c r="AM51" s="1014"/>
      <c r="AN51" s="854"/>
      <c r="AO51" s="149" t="s">
        <v>161</v>
      </c>
      <c r="AP51" s="557" t="s">
        <v>68</v>
      </c>
      <c r="AQ51" s="150" t="s">
        <v>162</v>
      </c>
      <c r="AR51" s="924"/>
      <c r="AS51" s="855"/>
      <c r="AT51" s="856"/>
      <c r="AU51" s="276" t="s">
        <v>161</v>
      </c>
      <c r="AV51" s="561" t="s">
        <v>68</v>
      </c>
      <c r="AW51" s="277" t="s">
        <v>162</v>
      </c>
      <c r="AX51" s="276" t="s">
        <v>161</v>
      </c>
      <c r="AY51" s="562" t="s">
        <v>68</v>
      </c>
      <c r="AZ51" s="277" t="s">
        <v>162</v>
      </c>
      <c r="BA51" s="924"/>
      <c r="BB51" s="855"/>
      <c r="BC51" s="856"/>
      <c r="BD51" s="276" t="s">
        <v>161</v>
      </c>
      <c r="BE51" s="562" t="s">
        <v>68</v>
      </c>
      <c r="BF51" s="277" t="s">
        <v>162</v>
      </c>
      <c r="BG51" s="848"/>
      <c r="BH51" s="874"/>
      <c r="BI51" s="875"/>
      <c r="BJ51" s="875"/>
      <c r="BK51" s="875"/>
      <c r="BL51" s="875"/>
      <c r="BM51" s="875"/>
      <c r="BN51" s="875"/>
      <c r="BO51" s="875"/>
      <c r="BP51" s="875"/>
      <c r="BQ51" s="875"/>
      <c r="BR51" s="875"/>
      <c r="BS51" s="876"/>
      <c r="DA51" s="47"/>
      <c r="DB51" s="47"/>
      <c r="DD51" s="55" t="s">
        <v>164</v>
      </c>
      <c r="DE51" s="55" t="s">
        <v>300</v>
      </c>
      <c r="DF51" s="55" t="s">
        <v>166</v>
      </c>
      <c r="DG51" s="55" t="s">
        <v>167</v>
      </c>
      <c r="DH51" s="55" t="s">
        <v>169</v>
      </c>
      <c r="DU51" s="47"/>
    </row>
    <row r="52" spans="2:128" ht="30" customHeight="1" x14ac:dyDescent="0.25">
      <c r="B52" s="972"/>
      <c r="C52" s="389" t="s">
        <v>270</v>
      </c>
      <c r="D52" s="249"/>
      <c r="E52" s="180">
        <f t="shared" ref="E52:E63" si="144">ROUND(D52*$F$15,2)</f>
        <v>0</v>
      </c>
      <c r="F52" s="249"/>
      <c r="G52" s="249"/>
      <c r="H52" s="691">
        <f>E52+F52-G52</f>
        <v>0</v>
      </c>
      <c r="I52" s="342"/>
      <c r="J52" s="1006"/>
      <c r="K52" s="1007"/>
      <c r="L52" s="1007"/>
      <c r="M52" s="1008"/>
      <c r="N52" s="357"/>
      <c r="P52" s="837" t="str">
        <f>IF(OR(SUM(T20:T31)&gt;0,SUM(T38:T45)&gt;0),"NOTA:
Se ha minorado el importe subvencionable de alguna de las nóminas del ejercicio.
En consecuencia, en la columna:
''BASE
COTIZACIÓN
SUBVENCIO.''
se deberá reflejar la base de cotización mensual restándole dicha minoración.","")</f>
        <v/>
      </c>
      <c r="Q52" s="837"/>
      <c r="AG52" s="53">
        <f>IF(AND(I52&lt;&gt;"",OR(I52&lt;EXPEDIENTE!$I$25,I52&gt;EXPEDIENTE!$I$29)),1,0)</f>
        <v>0</v>
      </c>
      <c r="AI52" s="53">
        <f>IF(DATE(YEAR(EXPEDIENTE!$I$25),MONTH(DATEVALUE($C52&amp;"1")),1)&gt;=DATE(YEAR(EXPEDIENTE!$I$25),MONTH(EXPEDIENTE!$I$25),1),0,1)</f>
        <v>0</v>
      </c>
      <c r="AJ52" s="53" t="e">
        <f>IF(DATE(YEAR(EXPEDIENTE!$I$25),MONTH(DATEVALUE($C52&amp;"1")),1)&lt;=DATE(YEAR(EXPEDIENTE!$I$29),MONTH(EXPEDIENTE!$I$29),1),0,1)</f>
        <v>#VALUE!</v>
      </c>
      <c r="AK52" s="53" t="e">
        <f>SUM(AI52:AJ52)</f>
        <v>#VALUE!</v>
      </c>
      <c r="AM52" s="1014"/>
      <c r="AN52" s="387" t="s">
        <v>270</v>
      </c>
      <c r="AO52" s="179">
        <f t="shared" ref="AO52:AO63" si="145">IF(D52="",0,D52)</f>
        <v>0</v>
      </c>
      <c r="AP52" s="180"/>
      <c r="AQ52" s="181">
        <f>IF(AP52="",AO52,AP52)</f>
        <v>0</v>
      </c>
      <c r="AR52" s="183">
        <f t="shared" ref="AR52:AR63" si="146">IFERROR(ROUND(AQ52*$AT$15,2),0)</f>
        <v>0</v>
      </c>
      <c r="AS52" s="855"/>
      <c r="AT52" s="856"/>
      <c r="AU52" s="179">
        <f t="shared" ref="AU52:AU63" si="147">IF(F52="",0,F52)</f>
        <v>0</v>
      </c>
      <c r="AV52" s="180"/>
      <c r="AW52" s="181">
        <f>IF(AV52="",AU52,AV52)</f>
        <v>0</v>
      </c>
      <c r="AX52" s="170">
        <f t="shared" ref="AX52:AX63" si="148">IF(G52="",0,G52)</f>
        <v>0</v>
      </c>
      <c r="AY52" s="173"/>
      <c r="AZ52" s="262">
        <f>IF(AY52="",AX52,AY52)</f>
        <v>0</v>
      </c>
      <c r="BA52" s="278">
        <f t="shared" ref="BA52:BA63" si="149">IFERROR(AR52+AW52-AZ52,0)</f>
        <v>0</v>
      </c>
      <c r="BB52" s="855"/>
      <c r="BC52" s="856"/>
      <c r="BD52" s="252" t="str">
        <f t="shared" ref="BD52:BD63" si="150">IF(I52="","",I52)</f>
        <v/>
      </c>
      <c r="BE52" s="259"/>
      <c r="BF52" s="254" t="str">
        <f>IF(BE52="",BD52,BE52)</f>
        <v/>
      </c>
      <c r="BG52" s="407" t="str">
        <f>IF(DD52=0,"",DD52)</f>
        <v/>
      </c>
      <c r="BH52" s="880"/>
      <c r="BI52" s="881"/>
      <c r="BJ52" s="881"/>
      <c r="BK52" s="881"/>
      <c r="BL52" s="881"/>
      <c r="BM52" s="881"/>
      <c r="BN52" s="881"/>
      <c r="BO52" s="881"/>
      <c r="BP52" s="881"/>
      <c r="BQ52" s="881"/>
      <c r="BR52" s="881"/>
      <c r="BS52" s="882"/>
      <c r="DA52" s="53">
        <f>IF(AND(BE52&lt;&gt;"",OR(BE52&lt;EXPEDIENTE!$I$25,BE52&gt;EXPEDIENTE!$I$29)),1,0)</f>
        <v>0</v>
      </c>
      <c r="DB52" s="47"/>
      <c r="DD52" s="55">
        <f t="shared" ref="DD52:DD63" si="151">SUM(DE52:DT52)</f>
        <v>0</v>
      </c>
      <c r="DE52" s="55">
        <f t="shared" ref="DE52:DE63" si="152">IF(AP52="",0,1)</f>
        <v>0</v>
      </c>
      <c r="DF52" s="55">
        <f t="shared" ref="DF52:DF63" si="153">IF(AV52="",0,1)</f>
        <v>0</v>
      </c>
      <c r="DG52" s="55">
        <f t="shared" ref="DG52:DG63" si="154">IF(AY52="",0,1)</f>
        <v>0</v>
      </c>
      <c r="DH52" s="55">
        <f t="shared" ref="DH52:DH63" si="155">IF(BE52="",0,1)</f>
        <v>0</v>
      </c>
      <c r="DU52" s="47"/>
      <c r="DW52" s="55">
        <f>IF(BH52&lt;&gt;"",MAX($DW$9:DW51)+1,0)</f>
        <v>0</v>
      </c>
      <c r="DX52" s="130" t="str">
        <f t="shared" ref="DX52:DX63" si="156">IF(DW52=0,"",BH52)</f>
        <v/>
      </c>
    </row>
    <row r="53" spans="2:128" ht="30" customHeight="1" x14ac:dyDescent="0.25">
      <c r="B53" s="972"/>
      <c r="C53" s="390" t="s">
        <v>271</v>
      </c>
      <c r="D53" s="195"/>
      <c r="E53" s="203">
        <f t="shared" si="144"/>
        <v>0</v>
      </c>
      <c r="F53" s="195"/>
      <c r="G53" s="195"/>
      <c r="H53" s="692">
        <f t="shared" ref="H53:H63" si="157">E53+F53-G53</f>
        <v>0</v>
      </c>
      <c r="I53" s="343"/>
      <c r="J53" s="1001"/>
      <c r="K53" s="1002"/>
      <c r="L53" s="1002"/>
      <c r="M53" s="1003"/>
      <c r="N53" s="364"/>
      <c r="P53" s="837"/>
      <c r="Q53" s="837"/>
      <c r="AG53" s="53">
        <f>IF(AND(I53&lt;&gt;"",OR(I53&lt;EXPEDIENTE!$I$25,I53&gt;EXPEDIENTE!$I$29)),1,0)</f>
        <v>0</v>
      </c>
      <c r="AI53" s="53">
        <f>IF(DATE(YEAR(EXPEDIENTE!$I$25),MONTH(DATEVALUE($C53&amp;"1")),1)&gt;=DATE(YEAR(EXPEDIENTE!$I$25),MONTH(EXPEDIENTE!$I$25),1),0,1)</f>
        <v>0</v>
      </c>
      <c r="AJ53" s="53" t="e">
        <f>IF(DATE(YEAR(EXPEDIENTE!$I$25),MONTH(DATEVALUE($C53&amp;"1")),1)&lt;=DATE(YEAR(EXPEDIENTE!$I$29),MONTH(EXPEDIENTE!$I$29),1),0,1)</f>
        <v>#VALUE!</v>
      </c>
      <c r="AK53" s="53" t="e">
        <f t="shared" ref="AK53:AK63" si="158">SUM(AI53:AJ53)</f>
        <v>#VALUE!</v>
      </c>
      <c r="AM53" s="1014"/>
      <c r="AN53" s="388" t="s">
        <v>271</v>
      </c>
      <c r="AO53" s="200">
        <f t="shared" si="145"/>
        <v>0</v>
      </c>
      <c r="AP53" s="203"/>
      <c r="AQ53" s="207">
        <f t="shared" ref="AQ53:AQ63" si="159">IF(AP53="",AO53,AP53)</f>
        <v>0</v>
      </c>
      <c r="AR53" s="208">
        <f t="shared" si="146"/>
        <v>0</v>
      </c>
      <c r="AS53" s="855"/>
      <c r="AT53" s="856"/>
      <c r="AU53" s="200">
        <f t="shared" si="147"/>
        <v>0</v>
      </c>
      <c r="AV53" s="203"/>
      <c r="AW53" s="207">
        <f t="shared" ref="AW53:AW63" si="160">IF(AV53="",AU53,AV53)</f>
        <v>0</v>
      </c>
      <c r="AX53" s="200">
        <f t="shared" si="148"/>
        <v>0</v>
      </c>
      <c r="AY53" s="203"/>
      <c r="AZ53" s="207">
        <f t="shared" ref="AZ53:AZ63" si="161">IF(AY53="",AX53,AY53)</f>
        <v>0</v>
      </c>
      <c r="BA53" s="279">
        <f t="shared" si="149"/>
        <v>0</v>
      </c>
      <c r="BB53" s="855"/>
      <c r="BC53" s="856"/>
      <c r="BD53" s="185" t="str">
        <f t="shared" si="150"/>
        <v/>
      </c>
      <c r="BE53" s="253"/>
      <c r="BF53" s="187" t="str">
        <f t="shared" ref="BF53:BF63" si="162">IF(BE53="",BD53,BE53)</f>
        <v/>
      </c>
      <c r="BG53" s="410" t="str">
        <f t="shared" ref="BG53:BG63" si="163">IF(DD53=0,"",DD53)</f>
        <v/>
      </c>
      <c r="BH53" s="868"/>
      <c r="BI53" s="869"/>
      <c r="BJ53" s="869"/>
      <c r="BK53" s="869"/>
      <c r="BL53" s="869"/>
      <c r="BM53" s="869"/>
      <c r="BN53" s="869"/>
      <c r="BO53" s="869"/>
      <c r="BP53" s="869"/>
      <c r="BQ53" s="869"/>
      <c r="BR53" s="869"/>
      <c r="BS53" s="870"/>
      <c r="DA53" s="53">
        <f>IF(AND(BE53&lt;&gt;"",OR(BE53&lt;EXPEDIENTE!$I$25,BE53&gt;EXPEDIENTE!$I$29)),1,0)</f>
        <v>0</v>
      </c>
      <c r="DB53" s="47"/>
      <c r="DD53" s="55">
        <f t="shared" si="151"/>
        <v>0</v>
      </c>
      <c r="DE53" s="55">
        <f t="shared" si="152"/>
        <v>0</v>
      </c>
      <c r="DF53" s="55">
        <f t="shared" si="153"/>
        <v>0</v>
      </c>
      <c r="DG53" s="55">
        <f t="shared" si="154"/>
        <v>0</v>
      </c>
      <c r="DH53" s="55">
        <f t="shared" si="155"/>
        <v>0</v>
      </c>
      <c r="DU53" s="47"/>
      <c r="DW53" s="55">
        <f>IF(BH53&lt;&gt;"",MAX($DW$9:DW52)+1,0)</f>
        <v>0</v>
      </c>
      <c r="DX53" s="130" t="str">
        <f t="shared" si="156"/>
        <v/>
      </c>
    </row>
    <row r="54" spans="2:128" ht="30" customHeight="1" x14ac:dyDescent="0.25">
      <c r="B54" s="972"/>
      <c r="C54" s="390" t="s">
        <v>272</v>
      </c>
      <c r="D54" s="195"/>
      <c r="E54" s="203">
        <f t="shared" si="144"/>
        <v>0</v>
      </c>
      <c r="F54" s="195"/>
      <c r="G54" s="195"/>
      <c r="H54" s="692">
        <f t="shared" si="157"/>
        <v>0</v>
      </c>
      <c r="I54" s="343"/>
      <c r="J54" s="1001"/>
      <c r="K54" s="1002"/>
      <c r="L54" s="1002"/>
      <c r="M54" s="1003"/>
      <c r="N54" s="364"/>
      <c r="P54" s="837"/>
      <c r="Q54" s="837"/>
      <c r="AG54" s="53">
        <f>IF(AND(I54&lt;&gt;"",OR(I54&lt;EXPEDIENTE!$I$25,I54&gt;EXPEDIENTE!$I$29)),1,0)</f>
        <v>0</v>
      </c>
      <c r="AI54" s="53">
        <f>IF(DATE(YEAR(EXPEDIENTE!$I$25),MONTH(DATEVALUE($C54&amp;"1")),1)&gt;=DATE(YEAR(EXPEDIENTE!$I$25),MONTH(EXPEDIENTE!$I$25),1),0,1)</f>
        <v>0</v>
      </c>
      <c r="AJ54" s="53" t="e">
        <f>IF(DATE(YEAR(EXPEDIENTE!$I$25),MONTH(DATEVALUE($C54&amp;"1")),1)&lt;=DATE(YEAR(EXPEDIENTE!$I$29),MONTH(EXPEDIENTE!$I$29),1),0,1)</f>
        <v>#VALUE!</v>
      </c>
      <c r="AK54" s="53" t="e">
        <f t="shared" si="158"/>
        <v>#VALUE!</v>
      </c>
      <c r="AM54" s="1014"/>
      <c r="AN54" s="388" t="s">
        <v>272</v>
      </c>
      <c r="AO54" s="200">
        <f t="shared" si="145"/>
        <v>0</v>
      </c>
      <c r="AP54" s="203"/>
      <c r="AQ54" s="207">
        <f t="shared" si="159"/>
        <v>0</v>
      </c>
      <c r="AR54" s="208">
        <f t="shared" si="146"/>
        <v>0</v>
      </c>
      <c r="AS54" s="855"/>
      <c r="AT54" s="856"/>
      <c r="AU54" s="200">
        <f t="shared" si="147"/>
        <v>0</v>
      </c>
      <c r="AV54" s="203"/>
      <c r="AW54" s="207">
        <f t="shared" si="160"/>
        <v>0</v>
      </c>
      <c r="AX54" s="200">
        <f t="shared" si="148"/>
        <v>0</v>
      </c>
      <c r="AY54" s="203"/>
      <c r="AZ54" s="207">
        <f t="shared" si="161"/>
        <v>0</v>
      </c>
      <c r="BA54" s="279">
        <f t="shared" si="149"/>
        <v>0</v>
      </c>
      <c r="BB54" s="855"/>
      <c r="BC54" s="856"/>
      <c r="BD54" s="185" t="str">
        <f t="shared" si="150"/>
        <v/>
      </c>
      <c r="BE54" s="253"/>
      <c r="BF54" s="187" t="str">
        <f t="shared" si="162"/>
        <v/>
      </c>
      <c r="BG54" s="410" t="str">
        <f t="shared" si="163"/>
        <v/>
      </c>
      <c r="BH54" s="868"/>
      <c r="BI54" s="869"/>
      <c r="BJ54" s="869"/>
      <c r="BK54" s="869"/>
      <c r="BL54" s="869"/>
      <c r="BM54" s="869"/>
      <c r="BN54" s="869"/>
      <c r="BO54" s="869"/>
      <c r="BP54" s="869"/>
      <c r="BQ54" s="869"/>
      <c r="BR54" s="869"/>
      <c r="BS54" s="870"/>
      <c r="DA54" s="53">
        <f>IF(AND(BE54&lt;&gt;"",OR(BE54&lt;EXPEDIENTE!$I$25,BE54&gt;EXPEDIENTE!$I$29)),1,0)</f>
        <v>0</v>
      </c>
      <c r="DB54" s="47"/>
      <c r="DD54" s="55">
        <f t="shared" si="151"/>
        <v>0</v>
      </c>
      <c r="DE54" s="55">
        <f t="shared" si="152"/>
        <v>0</v>
      </c>
      <c r="DF54" s="55">
        <f t="shared" si="153"/>
        <v>0</v>
      </c>
      <c r="DG54" s="55">
        <f t="shared" si="154"/>
        <v>0</v>
      </c>
      <c r="DH54" s="55">
        <f t="shared" si="155"/>
        <v>0</v>
      </c>
      <c r="DU54" s="47"/>
      <c r="DW54" s="55">
        <f>IF(BH54&lt;&gt;"",MAX($DW$9:DW53)+1,0)</f>
        <v>0</v>
      </c>
      <c r="DX54" s="130" t="str">
        <f t="shared" si="156"/>
        <v/>
      </c>
    </row>
    <row r="55" spans="2:128" ht="30" customHeight="1" x14ac:dyDescent="0.25">
      <c r="B55" s="972"/>
      <c r="C55" s="390" t="s">
        <v>273</v>
      </c>
      <c r="D55" s="195"/>
      <c r="E55" s="203">
        <f t="shared" si="144"/>
        <v>0</v>
      </c>
      <c r="F55" s="195"/>
      <c r="G55" s="195"/>
      <c r="H55" s="692">
        <f t="shared" si="157"/>
        <v>0</v>
      </c>
      <c r="I55" s="343"/>
      <c r="J55" s="1001"/>
      <c r="K55" s="1002"/>
      <c r="L55" s="1002"/>
      <c r="M55" s="1003"/>
      <c r="N55" s="364"/>
      <c r="P55" s="837"/>
      <c r="Q55" s="837"/>
      <c r="AG55" s="53">
        <f>IF(AND(I55&lt;&gt;"",OR(I55&lt;EXPEDIENTE!$I$25,I55&gt;EXPEDIENTE!$I$29)),1,0)</f>
        <v>0</v>
      </c>
      <c r="AI55" s="53">
        <f>IF(DATE(YEAR(EXPEDIENTE!$I$25),MONTH(DATEVALUE($C55&amp;"1")),1)&gt;=DATE(YEAR(EXPEDIENTE!$I$25),MONTH(EXPEDIENTE!$I$25),1),0,1)</f>
        <v>0</v>
      </c>
      <c r="AJ55" s="53" t="e">
        <f>IF(DATE(YEAR(EXPEDIENTE!$I$25),MONTH(DATEVALUE($C55&amp;"1")),1)&lt;=DATE(YEAR(EXPEDIENTE!$I$29),MONTH(EXPEDIENTE!$I$29),1),0,1)</f>
        <v>#VALUE!</v>
      </c>
      <c r="AK55" s="53" t="e">
        <f t="shared" si="158"/>
        <v>#VALUE!</v>
      </c>
      <c r="AM55" s="1014"/>
      <c r="AN55" s="388" t="s">
        <v>273</v>
      </c>
      <c r="AO55" s="200">
        <f t="shared" si="145"/>
        <v>0</v>
      </c>
      <c r="AP55" s="203"/>
      <c r="AQ55" s="207">
        <f t="shared" si="159"/>
        <v>0</v>
      </c>
      <c r="AR55" s="208">
        <f t="shared" si="146"/>
        <v>0</v>
      </c>
      <c r="AS55" s="855"/>
      <c r="AT55" s="856"/>
      <c r="AU55" s="200">
        <f t="shared" si="147"/>
        <v>0</v>
      </c>
      <c r="AV55" s="203"/>
      <c r="AW55" s="207">
        <f t="shared" si="160"/>
        <v>0</v>
      </c>
      <c r="AX55" s="200">
        <f t="shared" si="148"/>
        <v>0</v>
      </c>
      <c r="AY55" s="203"/>
      <c r="AZ55" s="207">
        <f t="shared" si="161"/>
        <v>0</v>
      </c>
      <c r="BA55" s="279">
        <f t="shared" si="149"/>
        <v>0</v>
      </c>
      <c r="BB55" s="855"/>
      <c r="BC55" s="856"/>
      <c r="BD55" s="185" t="str">
        <f t="shared" si="150"/>
        <v/>
      </c>
      <c r="BE55" s="253"/>
      <c r="BF55" s="187" t="str">
        <f t="shared" si="162"/>
        <v/>
      </c>
      <c r="BG55" s="410" t="str">
        <f t="shared" si="163"/>
        <v/>
      </c>
      <c r="BH55" s="868"/>
      <c r="BI55" s="869"/>
      <c r="BJ55" s="869"/>
      <c r="BK55" s="869"/>
      <c r="BL55" s="869"/>
      <c r="BM55" s="869"/>
      <c r="BN55" s="869"/>
      <c r="BO55" s="869"/>
      <c r="BP55" s="869"/>
      <c r="BQ55" s="869"/>
      <c r="BR55" s="869"/>
      <c r="BS55" s="870"/>
      <c r="DA55" s="53">
        <f>IF(AND(BE55&lt;&gt;"",OR(BE55&lt;EXPEDIENTE!$I$25,BE55&gt;EXPEDIENTE!$I$29)),1,0)</f>
        <v>0</v>
      </c>
      <c r="DB55" s="47"/>
      <c r="DD55" s="55">
        <f t="shared" si="151"/>
        <v>0</v>
      </c>
      <c r="DE55" s="55">
        <f t="shared" si="152"/>
        <v>0</v>
      </c>
      <c r="DF55" s="55">
        <f t="shared" si="153"/>
        <v>0</v>
      </c>
      <c r="DG55" s="55">
        <f t="shared" si="154"/>
        <v>0</v>
      </c>
      <c r="DH55" s="55">
        <f t="shared" si="155"/>
        <v>0</v>
      </c>
      <c r="DU55" s="47"/>
      <c r="DW55" s="55">
        <f>IF(BH55&lt;&gt;"",MAX($DW$9:DW54)+1,0)</f>
        <v>0</v>
      </c>
      <c r="DX55" s="130" t="str">
        <f t="shared" si="156"/>
        <v/>
      </c>
    </row>
    <row r="56" spans="2:128" ht="30" customHeight="1" x14ac:dyDescent="0.25">
      <c r="B56" s="972"/>
      <c r="C56" s="390" t="s">
        <v>274</v>
      </c>
      <c r="D56" s="195"/>
      <c r="E56" s="203">
        <f t="shared" si="144"/>
        <v>0</v>
      </c>
      <c r="F56" s="195"/>
      <c r="G56" s="195"/>
      <c r="H56" s="692">
        <f t="shared" si="157"/>
        <v>0</v>
      </c>
      <c r="I56" s="343"/>
      <c r="J56" s="1001"/>
      <c r="K56" s="1002"/>
      <c r="L56" s="1002"/>
      <c r="M56" s="1003"/>
      <c r="N56" s="364"/>
      <c r="P56" s="837"/>
      <c r="Q56" s="837"/>
      <c r="AG56" s="53">
        <f>IF(AND(I56&lt;&gt;"",OR(I56&lt;EXPEDIENTE!$I$25,I56&gt;EXPEDIENTE!$I$29)),1,0)</f>
        <v>0</v>
      </c>
      <c r="AI56" s="53">
        <f>IF(DATE(YEAR(EXPEDIENTE!$I$25),MONTH(DATEVALUE($C56&amp;"1")),1)&gt;=DATE(YEAR(EXPEDIENTE!$I$25),MONTH(EXPEDIENTE!$I$25),1),0,1)</f>
        <v>0</v>
      </c>
      <c r="AJ56" s="53" t="e">
        <f>IF(DATE(YEAR(EXPEDIENTE!$I$25),MONTH(DATEVALUE($C56&amp;"1")),1)&lt;=DATE(YEAR(EXPEDIENTE!$I$29),MONTH(EXPEDIENTE!$I$29),1),0,1)</f>
        <v>#VALUE!</v>
      </c>
      <c r="AK56" s="53" t="e">
        <f t="shared" si="158"/>
        <v>#VALUE!</v>
      </c>
      <c r="AM56" s="1014"/>
      <c r="AN56" s="388" t="s">
        <v>274</v>
      </c>
      <c r="AO56" s="200">
        <f t="shared" si="145"/>
        <v>0</v>
      </c>
      <c r="AP56" s="203"/>
      <c r="AQ56" s="207">
        <f t="shared" si="159"/>
        <v>0</v>
      </c>
      <c r="AR56" s="208">
        <f t="shared" si="146"/>
        <v>0</v>
      </c>
      <c r="AS56" s="855"/>
      <c r="AT56" s="856"/>
      <c r="AU56" s="200">
        <f t="shared" si="147"/>
        <v>0</v>
      </c>
      <c r="AV56" s="203"/>
      <c r="AW56" s="207">
        <f t="shared" si="160"/>
        <v>0</v>
      </c>
      <c r="AX56" s="200">
        <f t="shared" si="148"/>
        <v>0</v>
      </c>
      <c r="AY56" s="203"/>
      <c r="AZ56" s="207">
        <f t="shared" si="161"/>
        <v>0</v>
      </c>
      <c r="BA56" s="279">
        <f t="shared" si="149"/>
        <v>0</v>
      </c>
      <c r="BB56" s="855"/>
      <c r="BC56" s="856"/>
      <c r="BD56" s="185" t="str">
        <f t="shared" si="150"/>
        <v/>
      </c>
      <c r="BE56" s="253"/>
      <c r="BF56" s="187" t="str">
        <f t="shared" si="162"/>
        <v/>
      </c>
      <c r="BG56" s="410" t="str">
        <f t="shared" si="163"/>
        <v/>
      </c>
      <c r="BH56" s="868"/>
      <c r="BI56" s="869"/>
      <c r="BJ56" s="869"/>
      <c r="BK56" s="869"/>
      <c r="BL56" s="869"/>
      <c r="BM56" s="869"/>
      <c r="BN56" s="869"/>
      <c r="BO56" s="869"/>
      <c r="BP56" s="869"/>
      <c r="BQ56" s="869"/>
      <c r="BR56" s="869"/>
      <c r="BS56" s="870"/>
      <c r="DA56" s="53">
        <f>IF(AND(BE56&lt;&gt;"",OR(BE56&lt;EXPEDIENTE!$I$25,BE56&gt;EXPEDIENTE!$I$29)),1,0)</f>
        <v>0</v>
      </c>
      <c r="DB56" s="47"/>
      <c r="DD56" s="55">
        <f t="shared" si="151"/>
        <v>0</v>
      </c>
      <c r="DE56" s="55">
        <f t="shared" si="152"/>
        <v>0</v>
      </c>
      <c r="DF56" s="55">
        <f t="shared" si="153"/>
        <v>0</v>
      </c>
      <c r="DG56" s="55">
        <f t="shared" si="154"/>
        <v>0</v>
      </c>
      <c r="DH56" s="55">
        <f t="shared" si="155"/>
        <v>0</v>
      </c>
      <c r="DU56" s="47"/>
      <c r="DW56" s="55">
        <f>IF(BH56&lt;&gt;"",MAX($DW$9:DW55)+1,0)</f>
        <v>0</v>
      </c>
      <c r="DX56" s="130" t="str">
        <f t="shared" si="156"/>
        <v/>
      </c>
    </row>
    <row r="57" spans="2:128" ht="30" customHeight="1" x14ac:dyDescent="0.25">
      <c r="B57" s="972"/>
      <c r="C57" s="390" t="s">
        <v>275</v>
      </c>
      <c r="D57" s="195"/>
      <c r="E57" s="203">
        <f t="shared" si="144"/>
        <v>0</v>
      </c>
      <c r="F57" s="195"/>
      <c r="G57" s="195"/>
      <c r="H57" s="692">
        <f t="shared" si="157"/>
        <v>0</v>
      </c>
      <c r="I57" s="343"/>
      <c r="J57" s="1001"/>
      <c r="K57" s="1002"/>
      <c r="L57" s="1002"/>
      <c r="M57" s="1003"/>
      <c r="N57" s="364"/>
      <c r="P57" s="837"/>
      <c r="Q57" s="837"/>
      <c r="AG57" s="53">
        <f>IF(AND(I57&lt;&gt;"",OR(I57&lt;EXPEDIENTE!$I$25,I57&gt;EXPEDIENTE!$I$29)),1,0)</f>
        <v>0</v>
      </c>
      <c r="AI57" s="53">
        <f>IF(DATE(YEAR(EXPEDIENTE!$I$25),MONTH(DATEVALUE($C57&amp;"1")),1)&gt;=DATE(YEAR(EXPEDIENTE!$I$25),MONTH(EXPEDIENTE!$I$25),1),0,1)</f>
        <v>0</v>
      </c>
      <c r="AJ57" s="53" t="e">
        <f>IF(DATE(YEAR(EXPEDIENTE!$I$25),MONTH(DATEVALUE($C57&amp;"1")),1)&lt;=DATE(YEAR(EXPEDIENTE!$I$29),MONTH(EXPEDIENTE!$I$29),1),0,1)</f>
        <v>#VALUE!</v>
      </c>
      <c r="AK57" s="53" t="e">
        <f t="shared" si="158"/>
        <v>#VALUE!</v>
      </c>
      <c r="AM57" s="1014"/>
      <c r="AN57" s="388" t="s">
        <v>275</v>
      </c>
      <c r="AO57" s="200">
        <f t="shared" si="145"/>
        <v>0</v>
      </c>
      <c r="AP57" s="203"/>
      <c r="AQ57" s="207">
        <f t="shared" si="159"/>
        <v>0</v>
      </c>
      <c r="AR57" s="208">
        <f t="shared" si="146"/>
        <v>0</v>
      </c>
      <c r="AS57" s="855"/>
      <c r="AT57" s="856"/>
      <c r="AU57" s="200">
        <f t="shared" si="147"/>
        <v>0</v>
      </c>
      <c r="AV57" s="203"/>
      <c r="AW57" s="207">
        <f t="shared" si="160"/>
        <v>0</v>
      </c>
      <c r="AX57" s="200">
        <f t="shared" si="148"/>
        <v>0</v>
      </c>
      <c r="AY57" s="203"/>
      <c r="AZ57" s="207">
        <f t="shared" si="161"/>
        <v>0</v>
      </c>
      <c r="BA57" s="279">
        <f t="shared" si="149"/>
        <v>0</v>
      </c>
      <c r="BB57" s="855"/>
      <c r="BC57" s="856"/>
      <c r="BD57" s="185" t="str">
        <f t="shared" si="150"/>
        <v/>
      </c>
      <c r="BE57" s="253"/>
      <c r="BF57" s="187" t="str">
        <f t="shared" si="162"/>
        <v/>
      </c>
      <c r="BG57" s="410" t="str">
        <f t="shared" si="163"/>
        <v/>
      </c>
      <c r="BH57" s="868"/>
      <c r="BI57" s="869"/>
      <c r="BJ57" s="869"/>
      <c r="BK57" s="869"/>
      <c r="BL57" s="869"/>
      <c r="BM57" s="869"/>
      <c r="BN57" s="869"/>
      <c r="BO57" s="869"/>
      <c r="BP57" s="869"/>
      <c r="BQ57" s="869"/>
      <c r="BR57" s="869"/>
      <c r="BS57" s="870"/>
      <c r="DA57" s="53">
        <f>IF(AND(BE57&lt;&gt;"",OR(BE57&lt;EXPEDIENTE!$I$25,BE57&gt;EXPEDIENTE!$I$29)),1,0)</f>
        <v>0</v>
      </c>
      <c r="DB57" s="47"/>
      <c r="DD57" s="55">
        <f t="shared" si="151"/>
        <v>0</v>
      </c>
      <c r="DE57" s="55">
        <f t="shared" si="152"/>
        <v>0</v>
      </c>
      <c r="DF57" s="55">
        <f t="shared" si="153"/>
        <v>0</v>
      </c>
      <c r="DG57" s="55">
        <f t="shared" si="154"/>
        <v>0</v>
      </c>
      <c r="DH57" s="55">
        <f t="shared" si="155"/>
        <v>0</v>
      </c>
      <c r="DU57" s="47"/>
      <c r="DW57" s="55">
        <f>IF(BH57&lt;&gt;"",MAX($DW$9:DW56)+1,0)</f>
        <v>0</v>
      </c>
      <c r="DX57" s="130" t="str">
        <f t="shared" si="156"/>
        <v/>
      </c>
    </row>
    <row r="58" spans="2:128" ht="30" customHeight="1" x14ac:dyDescent="0.25">
      <c r="B58" s="972"/>
      <c r="C58" s="390" t="s">
        <v>276</v>
      </c>
      <c r="D58" s="195"/>
      <c r="E58" s="203">
        <f t="shared" si="144"/>
        <v>0</v>
      </c>
      <c r="F58" s="195"/>
      <c r="G58" s="195"/>
      <c r="H58" s="692">
        <f t="shared" si="157"/>
        <v>0</v>
      </c>
      <c r="I58" s="343"/>
      <c r="J58" s="1001"/>
      <c r="K58" s="1002"/>
      <c r="L58" s="1002"/>
      <c r="M58" s="1003"/>
      <c r="N58" s="364"/>
      <c r="P58" s="837"/>
      <c r="Q58" s="837"/>
      <c r="AG58" s="53">
        <f>IF(AND(I58&lt;&gt;"",OR(I58&lt;EXPEDIENTE!$I$25,I58&gt;EXPEDIENTE!$I$29)),1,0)</f>
        <v>0</v>
      </c>
      <c r="AI58" s="53">
        <f>IF(DATE(YEAR(EXPEDIENTE!$I$25),MONTH(DATEVALUE($C58&amp;"1")),1)&gt;=DATE(YEAR(EXPEDIENTE!$I$25),MONTH(EXPEDIENTE!$I$25),1),0,1)</f>
        <v>0</v>
      </c>
      <c r="AJ58" s="53" t="e">
        <f>IF(DATE(YEAR(EXPEDIENTE!$I$25),MONTH(DATEVALUE($C58&amp;"1")),1)&lt;=DATE(YEAR(EXPEDIENTE!$I$29),MONTH(EXPEDIENTE!$I$29),1),0,1)</f>
        <v>#VALUE!</v>
      </c>
      <c r="AK58" s="53" t="e">
        <f t="shared" si="158"/>
        <v>#VALUE!</v>
      </c>
      <c r="AM58" s="1014"/>
      <c r="AN58" s="388" t="s">
        <v>276</v>
      </c>
      <c r="AO58" s="200">
        <f t="shared" si="145"/>
        <v>0</v>
      </c>
      <c r="AP58" s="203"/>
      <c r="AQ58" s="207">
        <f t="shared" si="159"/>
        <v>0</v>
      </c>
      <c r="AR58" s="208">
        <f t="shared" si="146"/>
        <v>0</v>
      </c>
      <c r="AS58" s="855"/>
      <c r="AT58" s="856"/>
      <c r="AU58" s="200">
        <f t="shared" si="147"/>
        <v>0</v>
      </c>
      <c r="AV58" s="203"/>
      <c r="AW58" s="207">
        <f t="shared" si="160"/>
        <v>0</v>
      </c>
      <c r="AX58" s="200">
        <f t="shared" si="148"/>
        <v>0</v>
      </c>
      <c r="AY58" s="203"/>
      <c r="AZ58" s="207">
        <f t="shared" si="161"/>
        <v>0</v>
      </c>
      <c r="BA58" s="279">
        <f t="shared" si="149"/>
        <v>0</v>
      </c>
      <c r="BB58" s="855"/>
      <c r="BC58" s="856"/>
      <c r="BD58" s="185" t="str">
        <f t="shared" si="150"/>
        <v/>
      </c>
      <c r="BE58" s="253"/>
      <c r="BF58" s="187" t="str">
        <f t="shared" si="162"/>
        <v/>
      </c>
      <c r="BG58" s="410" t="str">
        <f t="shared" si="163"/>
        <v/>
      </c>
      <c r="BH58" s="868"/>
      <c r="BI58" s="869"/>
      <c r="BJ58" s="869"/>
      <c r="BK58" s="869"/>
      <c r="BL58" s="869"/>
      <c r="BM58" s="869"/>
      <c r="BN58" s="869"/>
      <c r="BO58" s="869"/>
      <c r="BP58" s="869"/>
      <c r="BQ58" s="869"/>
      <c r="BR58" s="869"/>
      <c r="BS58" s="870"/>
      <c r="DA58" s="53">
        <f>IF(AND(BE58&lt;&gt;"",OR(BE58&lt;EXPEDIENTE!$I$25,BE58&gt;EXPEDIENTE!$I$29)),1,0)</f>
        <v>0</v>
      </c>
      <c r="DB58" s="47"/>
      <c r="DD58" s="55">
        <f t="shared" si="151"/>
        <v>0</v>
      </c>
      <c r="DE58" s="55">
        <f t="shared" si="152"/>
        <v>0</v>
      </c>
      <c r="DF58" s="55">
        <f t="shared" si="153"/>
        <v>0</v>
      </c>
      <c r="DG58" s="55">
        <f t="shared" si="154"/>
        <v>0</v>
      </c>
      <c r="DH58" s="55">
        <f t="shared" si="155"/>
        <v>0</v>
      </c>
      <c r="DU58" s="47"/>
      <c r="DW58" s="55">
        <f>IF(BH58&lt;&gt;"",MAX($DW$9:DW57)+1,0)</f>
        <v>0</v>
      </c>
      <c r="DX58" s="130" t="str">
        <f t="shared" si="156"/>
        <v/>
      </c>
    </row>
    <row r="59" spans="2:128" ht="30" customHeight="1" x14ac:dyDescent="0.25">
      <c r="B59" s="972"/>
      <c r="C59" s="390" t="s">
        <v>277</v>
      </c>
      <c r="D59" s="195"/>
      <c r="E59" s="203">
        <f t="shared" si="144"/>
        <v>0</v>
      </c>
      <c r="F59" s="195"/>
      <c r="G59" s="195"/>
      <c r="H59" s="692">
        <f t="shared" si="157"/>
        <v>0</v>
      </c>
      <c r="I59" s="343"/>
      <c r="J59" s="1001"/>
      <c r="K59" s="1002"/>
      <c r="L59" s="1002"/>
      <c r="M59" s="1003"/>
      <c r="N59" s="364"/>
      <c r="P59" s="837"/>
      <c r="Q59" s="837"/>
      <c r="AG59" s="53">
        <f>IF(AND(I59&lt;&gt;"",OR(I59&lt;EXPEDIENTE!$I$25,I59&gt;EXPEDIENTE!$I$29)),1,0)</f>
        <v>0</v>
      </c>
      <c r="AI59" s="53">
        <f>IF(DATE(YEAR(EXPEDIENTE!$I$25),MONTH(DATEVALUE($C59&amp;"1")),1)&gt;=DATE(YEAR(EXPEDIENTE!$I$25),MONTH(EXPEDIENTE!$I$25),1),0,1)</f>
        <v>0</v>
      </c>
      <c r="AJ59" s="53" t="e">
        <f>IF(DATE(YEAR(EXPEDIENTE!$I$25),MONTH(DATEVALUE($C59&amp;"1")),1)&lt;=DATE(YEAR(EXPEDIENTE!$I$29),MONTH(EXPEDIENTE!$I$29),1),0,1)</f>
        <v>#VALUE!</v>
      </c>
      <c r="AK59" s="53" t="e">
        <f t="shared" si="158"/>
        <v>#VALUE!</v>
      </c>
      <c r="AM59" s="1014"/>
      <c r="AN59" s="388" t="s">
        <v>277</v>
      </c>
      <c r="AO59" s="200">
        <f t="shared" si="145"/>
        <v>0</v>
      </c>
      <c r="AP59" s="203"/>
      <c r="AQ59" s="207">
        <f t="shared" si="159"/>
        <v>0</v>
      </c>
      <c r="AR59" s="208">
        <f t="shared" si="146"/>
        <v>0</v>
      </c>
      <c r="AS59" s="855"/>
      <c r="AT59" s="856"/>
      <c r="AU59" s="200">
        <f t="shared" si="147"/>
        <v>0</v>
      </c>
      <c r="AV59" s="203"/>
      <c r="AW59" s="207">
        <f t="shared" si="160"/>
        <v>0</v>
      </c>
      <c r="AX59" s="200">
        <f t="shared" si="148"/>
        <v>0</v>
      </c>
      <c r="AY59" s="203"/>
      <c r="AZ59" s="207">
        <f t="shared" si="161"/>
        <v>0</v>
      </c>
      <c r="BA59" s="279">
        <f t="shared" si="149"/>
        <v>0</v>
      </c>
      <c r="BB59" s="855"/>
      <c r="BC59" s="856"/>
      <c r="BD59" s="185" t="str">
        <f t="shared" si="150"/>
        <v/>
      </c>
      <c r="BE59" s="253"/>
      <c r="BF59" s="187" t="str">
        <f t="shared" si="162"/>
        <v/>
      </c>
      <c r="BG59" s="410" t="str">
        <f t="shared" si="163"/>
        <v/>
      </c>
      <c r="BH59" s="868"/>
      <c r="BI59" s="869"/>
      <c r="BJ59" s="869"/>
      <c r="BK59" s="869"/>
      <c r="BL59" s="869"/>
      <c r="BM59" s="869"/>
      <c r="BN59" s="869"/>
      <c r="BO59" s="869"/>
      <c r="BP59" s="869"/>
      <c r="BQ59" s="869"/>
      <c r="BR59" s="869"/>
      <c r="BS59" s="870"/>
      <c r="DA59" s="53">
        <f>IF(AND(BE59&lt;&gt;"",OR(BE59&lt;EXPEDIENTE!$I$25,BE59&gt;EXPEDIENTE!$I$29)),1,0)</f>
        <v>0</v>
      </c>
      <c r="DB59" s="47"/>
      <c r="DD59" s="55">
        <f t="shared" si="151"/>
        <v>0</v>
      </c>
      <c r="DE59" s="55">
        <f t="shared" si="152"/>
        <v>0</v>
      </c>
      <c r="DF59" s="55">
        <f t="shared" si="153"/>
        <v>0</v>
      </c>
      <c r="DG59" s="55">
        <f t="shared" si="154"/>
        <v>0</v>
      </c>
      <c r="DH59" s="55">
        <f t="shared" si="155"/>
        <v>0</v>
      </c>
      <c r="DU59" s="47"/>
      <c r="DW59" s="55">
        <f>IF(BH59&lt;&gt;"",MAX($DW$9:DW58)+1,0)</f>
        <v>0</v>
      </c>
      <c r="DX59" s="130" t="str">
        <f t="shared" si="156"/>
        <v/>
      </c>
    </row>
    <row r="60" spans="2:128" ht="30" customHeight="1" x14ac:dyDescent="0.25">
      <c r="B60" s="972"/>
      <c r="C60" s="390" t="s">
        <v>278</v>
      </c>
      <c r="D60" s="195"/>
      <c r="E60" s="203">
        <f t="shared" si="144"/>
        <v>0</v>
      </c>
      <c r="F60" s="195"/>
      <c r="G60" s="195"/>
      <c r="H60" s="692">
        <f t="shared" si="157"/>
        <v>0</v>
      </c>
      <c r="I60" s="343"/>
      <c r="J60" s="1001"/>
      <c r="K60" s="1002"/>
      <c r="L60" s="1002"/>
      <c r="M60" s="1003"/>
      <c r="N60" s="364"/>
      <c r="P60" s="837"/>
      <c r="Q60" s="837"/>
      <c r="AG60" s="53">
        <f>IF(AND(I60&lt;&gt;"",OR(I60&lt;EXPEDIENTE!$I$25,I60&gt;EXPEDIENTE!$I$29)),1,0)</f>
        <v>0</v>
      </c>
      <c r="AI60" s="53">
        <f>IF(DATE(YEAR(EXPEDIENTE!$I$25),MONTH(DATEVALUE($C60&amp;"1")),1)&gt;=DATE(YEAR(EXPEDIENTE!$I$25),MONTH(EXPEDIENTE!$I$25),1),0,1)</f>
        <v>0</v>
      </c>
      <c r="AJ60" s="53" t="e">
        <f>IF(DATE(YEAR(EXPEDIENTE!$I$25),MONTH(DATEVALUE($C60&amp;"1")),1)&lt;=DATE(YEAR(EXPEDIENTE!$I$29),MONTH(EXPEDIENTE!$I$29),1),0,1)</f>
        <v>#VALUE!</v>
      </c>
      <c r="AK60" s="53" t="e">
        <f t="shared" si="158"/>
        <v>#VALUE!</v>
      </c>
      <c r="AM60" s="1014"/>
      <c r="AN60" s="388" t="s">
        <v>278</v>
      </c>
      <c r="AO60" s="200">
        <f t="shared" si="145"/>
        <v>0</v>
      </c>
      <c r="AP60" s="203"/>
      <c r="AQ60" s="207">
        <f t="shared" si="159"/>
        <v>0</v>
      </c>
      <c r="AR60" s="208">
        <f t="shared" si="146"/>
        <v>0</v>
      </c>
      <c r="AS60" s="855"/>
      <c r="AT60" s="856"/>
      <c r="AU60" s="200">
        <f t="shared" si="147"/>
        <v>0</v>
      </c>
      <c r="AV60" s="203"/>
      <c r="AW60" s="207">
        <f t="shared" si="160"/>
        <v>0</v>
      </c>
      <c r="AX60" s="200">
        <f t="shared" si="148"/>
        <v>0</v>
      </c>
      <c r="AY60" s="203"/>
      <c r="AZ60" s="207">
        <f t="shared" si="161"/>
        <v>0</v>
      </c>
      <c r="BA60" s="279">
        <f t="shared" si="149"/>
        <v>0</v>
      </c>
      <c r="BB60" s="855"/>
      <c r="BC60" s="856"/>
      <c r="BD60" s="185" t="str">
        <f t="shared" si="150"/>
        <v/>
      </c>
      <c r="BE60" s="253"/>
      <c r="BF60" s="187" t="str">
        <f t="shared" si="162"/>
        <v/>
      </c>
      <c r="BG60" s="410" t="str">
        <f t="shared" si="163"/>
        <v/>
      </c>
      <c r="BH60" s="868"/>
      <c r="BI60" s="869"/>
      <c r="BJ60" s="869"/>
      <c r="BK60" s="869"/>
      <c r="BL60" s="869"/>
      <c r="BM60" s="869"/>
      <c r="BN60" s="869"/>
      <c r="BO60" s="869"/>
      <c r="BP60" s="869"/>
      <c r="BQ60" s="869"/>
      <c r="BR60" s="869"/>
      <c r="BS60" s="870"/>
      <c r="DA60" s="53">
        <f>IF(AND(BE60&lt;&gt;"",OR(BE60&lt;EXPEDIENTE!$I$25,BE60&gt;EXPEDIENTE!$I$29)),1,0)</f>
        <v>0</v>
      </c>
      <c r="DB60" s="47"/>
      <c r="DD60" s="55">
        <f t="shared" si="151"/>
        <v>0</v>
      </c>
      <c r="DE60" s="55">
        <f t="shared" si="152"/>
        <v>0</v>
      </c>
      <c r="DF60" s="55">
        <f t="shared" si="153"/>
        <v>0</v>
      </c>
      <c r="DG60" s="55">
        <f t="shared" si="154"/>
        <v>0</v>
      </c>
      <c r="DH60" s="55">
        <f t="shared" si="155"/>
        <v>0</v>
      </c>
      <c r="DU60" s="47"/>
      <c r="DW60" s="55">
        <f>IF(BH60&lt;&gt;"",MAX($DW$9:DW59)+1,0)</f>
        <v>0</v>
      </c>
      <c r="DX60" s="130" t="str">
        <f t="shared" si="156"/>
        <v/>
      </c>
    </row>
    <row r="61" spans="2:128" ht="30" customHeight="1" x14ac:dyDescent="0.25">
      <c r="B61" s="972"/>
      <c r="C61" s="390" t="s">
        <v>279</v>
      </c>
      <c r="D61" s="195"/>
      <c r="E61" s="203">
        <f t="shared" si="144"/>
        <v>0</v>
      </c>
      <c r="F61" s="195"/>
      <c r="G61" s="195"/>
      <c r="H61" s="692">
        <f t="shared" si="157"/>
        <v>0</v>
      </c>
      <c r="I61" s="343"/>
      <c r="J61" s="1001"/>
      <c r="K61" s="1002"/>
      <c r="L61" s="1002"/>
      <c r="M61" s="1003"/>
      <c r="N61" s="364"/>
      <c r="P61" s="837"/>
      <c r="Q61" s="837"/>
      <c r="AG61" s="53">
        <f>IF(AND(I61&lt;&gt;"",OR(I61&lt;EXPEDIENTE!$I$25,I61&gt;EXPEDIENTE!$I$29)),1,0)</f>
        <v>0</v>
      </c>
      <c r="AI61" s="53">
        <f>IF(DATE(YEAR(EXPEDIENTE!$I$25),MONTH(DATEVALUE($C61&amp;"1")),1)&gt;=DATE(YEAR(EXPEDIENTE!$I$25),MONTH(EXPEDIENTE!$I$25),1),0,1)</f>
        <v>0</v>
      </c>
      <c r="AJ61" s="53" t="e">
        <f>IF(DATE(YEAR(EXPEDIENTE!$I$25),MONTH(DATEVALUE($C61&amp;"1")),1)&lt;=DATE(YEAR(EXPEDIENTE!$I$29),MONTH(EXPEDIENTE!$I$29),1),0,1)</f>
        <v>#VALUE!</v>
      </c>
      <c r="AK61" s="53" t="e">
        <f t="shared" si="158"/>
        <v>#VALUE!</v>
      </c>
      <c r="AM61" s="1014"/>
      <c r="AN61" s="388" t="s">
        <v>279</v>
      </c>
      <c r="AO61" s="200">
        <f t="shared" si="145"/>
        <v>0</v>
      </c>
      <c r="AP61" s="203"/>
      <c r="AQ61" s="207">
        <f t="shared" si="159"/>
        <v>0</v>
      </c>
      <c r="AR61" s="208">
        <f t="shared" si="146"/>
        <v>0</v>
      </c>
      <c r="AS61" s="855"/>
      <c r="AT61" s="856"/>
      <c r="AU61" s="200">
        <f t="shared" si="147"/>
        <v>0</v>
      </c>
      <c r="AV61" s="203"/>
      <c r="AW61" s="207">
        <f t="shared" si="160"/>
        <v>0</v>
      </c>
      <c r="AX61" s="200">
        <f t="shared" si="148"/>
        <v>0</v>
      </c>
      <c r="AY61" s="203"/>
      <c r="AZ61" s="207">
        <f t="shared" si="161"/>
        <v>0</v>
      </c>
      <c r="BA61" s="279">
        <f t="shared" si="149"/>
        <v>0</v>
      </c>
      <c r="BB61" s="855"/>
      <c r="BC61" s="856"/>
      <c r="BD61" s="185" t="str">
        <f t="shared" si="150"/>
        <v/>
      </c>
      <c r="BE61" s="253"/>
      <c r="BF61" s="187" t="str">
        <f t="shared" si="162"/>
        <v/>
      </c>
      <c r="BG61" s="410" t="str">
        <f t="shared" si="163"/>
        <v/>
      </c>
      <c r="BH61" s="868"/>
      <c r="BI61" s="869"/>
      <c r="BJ61" s="869"/>
      <c r="BK61" s="869"/>
      <c r="BL61" s="869"/>
      <c r="BM61" s="869"/>
      <c r="BN61" s="869"/>
      <c r="BO61" s="869"/>
      <c r="BP61" s="869"/>
      <c r="BQ61" s="869"/>
      <c r="BR61" s="869"/>
      <c r="BS61" s="870"/>
      <c r="DA61" s="53">
        <f>IF(AND(BE61&lt;&gt;"",OR(BE61&lt;EXPEDIENTE!$I$25,BE61&gt;EXPEDIENTE!$I$29)),1,0)</f>
        <v>0</v>
      </c>
      <c r="DB61" s="47"/>
      <c r="DD61" s="55">
        <f t="shared" si="151"/>
        <v>0</v>
      </c>
      <c r="DE61" s="55">
        <f t="shared" si="152"/>
        <v>0</v>
      </c>
      <c r="DF61" s="55">
        <f t="shared" si="153"/>
        <v>0</v>
      </c>
      <c r="DG61" s="55">
        <f t="shared" si="154"/>
        <v>0</v>
      </c>
      <c r="DH61" s="55">
        <f t="shared" si="155"/>
        <v>0</v>
      </c>
      <c r="DU61" s="47"/>
      <c r="DW61" s="55">
        <f>IF(BH61&lt;&gt;"",MAX($DW$9:DW60)+1,0)</f>
        <v>0</v>
      </c>
      <c r="DX61" s="130" t="str">
        <f t="shared" si="156"/>
        <v/>
      </c>
    </row>
    <row r="62" spans="2:128" ht="30" customHeight="1" x14ac:dyDescent="0.25">
      <c r="B62" s="972"/>
      <c r="C62" s="390" t="s">
        <v>280</v>
      </c>
      <c r="D62" s="195"/>
      <c r="E62" s="203">
        <f t="shared" si="144"/>
        <v>0</v>
      </c>
      <c r="F62" s="195"/>
      <c r="G62" s="195"/>
      <c r="H62" s="692">
        <f t="shared" si="157"/>
        <v>0</v>
      </c>
      <c r="I62" s="343"/>
      <c r="J62" s="1001"/>
      <c r="K62" s="1002"/>
      <c r="L62" s="1002"/>
      <c r="M62" s="1003"/>
      <c r="N62" s="364"/>
      <c r="P62" s="837"/>
      <c r="Q62" s="837"/>
      <c r="AG62" s="53">
        <f>IF(AND(I62&lt;&gt;"",OR(I62&lt;EXPEDIENTE!$I$25,I62&gt;EXPEDIENTE!$I$29)),1,0)</f>
        <v>0</v>
      </c>
      <c r="AI62" s="53">
        <f>IF(DATE(YEAR(EXPEDIENTE!$I$25),MONTH(DATEVALUE($C62&amp;"1")),1)&gt;=DATE(YEAR(EXPEDIENTE!$I$25),MONTH(EXPEDIENTE!$I$25),1),0,1)</f>
        <v>0</v>
      </c>
      <c r="AJ62" s="53" t="e">
        <f>IF(DATE(YEAR(EXPEDIENTE!$I$25),MONTH(DATEVALUE($C62&amp;"1")),1)&lt;=DATE(YEAR(EXPEDIENTE!$I$29),MONTH(EXPEDIENTE!$I$29),1),0,1)</f>
        <v>#VALUE!</v>
      </c>
      <c r="AK62" s="53" t="e">
        <f t="shared" si="158"/>
        <v>#VALUE!</v>
      </c>
      <c r="AM62" s="1014"/>
      <c r="AN62" s="388" t="s">
        <v>280</v>
      </c>
      <c r="AO62" s="200">
        <f t="shared" si="145"/>
        <v>0</v>
      </c>
      <c r="AP62" s="203"/>
      <c r="AQ62" s="207">
        <f t="shared" si="159"/>
        <v>0</v>
      </c>
      <c r="AR62" s="208">
        <f t="shared" si="146"/>
        <v>0</v>
      </c>
      <c r="AS62" s="855"/>
      <c r="AT62" s="856"/>
      <c r="AU62" s="200">
        <f t="shared" si="147"/>
        <v>0</v>
      </c>
      <c r="AV62" s="203"/>
      <c r="AW62" s="207">
        <f t="shared" si="160"/>
        <v>0</v>
      </c>
      <c r="AX62" s="200">
        <f t="shared" si="148"/>
        <v>0</v>
      </c>
      <c r="AY62" s="203"/>
      <c r="AZ62" s="207">
        <f t="shared" si="161"/>
        <v>0</v>
      </c>
      <c r="BA62" s="279">
        <f t="shared" si="149"/>
        <v>0</v>
      </c>
      <c r="BB62" s="855"/>
      <c r="BC62" s="856"/>
      <c r="BD62" s="185" t="str">
        <f t="shared" si="150"/>
        <v/>
      </c>
      <c r="BE62" s="253"/>
      <c r="BF62" s="187" t="str">
        <f t="shared" si="162"/>
        <v/>
      </c>
      <c r="BG62" s="410" t="str">
        <f t="shared" si="163"/>
        <v/>
      </c>
      <c r="BH62" s="868"/>
      <c r="BI62" s="869"/>
      <c r="BJ62" s="869"/>
      <c r="BK62" s="869"/>
      <c r="BL62" s="869"/>
      <c r="BM62" s="869"/>
      <c r="BN62" s="869"/>
      <c r="BO62" s="869"/>
      <c r="BP62" s="869"/>
      <c r="BQ62" s="869"/>
      <c r="BR62" s="869"/>
      <c r="BS62" s="870"/>
      <c r="DA62" s="53">
        <f>IF(AND(BE62&lt;&gt;"",OR(BE62&lt;EXPEDIENTE!$I$25,BE62&gt;EXPEDIENTE!$I$29)),1,0)</f>
        <v>0</v>
      </c>
      <c r="DB62" s="47"/>
      <c r="DD62" s="55">
        <f t="shared" si="151"/>
        <v>0</v>
      </c>
      <c r="DE62" s="55">
        <f t="shared" si="152"/>
        <v>0</v>
      </c>
      <c r="DF62" s="55">
        <f t="shared" si="153"/>
        <v>0</v>
      </c>
      <c r="DG62" s="55">
        <f t="shared" si="154"/>
        <v>0</v>
      </c>
      <c r="DH62" s="55">
        <f t="shared" si="155"/>
        <v>0</v>
      </c>
      <c r="DU62" s="47"/>
      <c r="DW62" s="55">
        <f>IF(BH62&lt;&gt;"",MAX($DW$9:DW61)+1,0)</f>
        <v>0</v>
      </c>
      <c r="DX62" s="130" t="str">
        <f t="shared" si="156"/>
        <v/>
      </c>
    </row>
    <row r="63" spans="2:128" ht="30" customHeight="1" thickBot="1" x14ac:dyDescent="0.3">
      <c r="B63" s="972"/>
      <c r="C63" s="391" t="s">
        <v>281</v>
      </c>
      <c r="D63" s="303"/>
      <c r="E63" s="268">
        <f t="shared" si="144"/>
        <v>0</v>
      </c>
      <c r="F63" s="213"/>
      <c r="G63" s="213"/>
      <c r="H63" s="693">
        <f t="shared" si="157"/>
        <v>0</v>
      </c>
      <c r="I63" s="344"/>
      <c r="J63" s="998"/>
      <c r="K63" s="999"/>
      <c r="L63" s="999"/>
      <c r="M63" s="1000"/>
      <c r="N63" s="364"/>
      <c r="P63" s="837"/>
      <c r="Q63" s="837"/>
      <c r="AG63" s="53">
        <f>IF(AND(I63&lt;&gt;"",OR(I63&lt;EXPEDIENTE!$I$25,I63&gt;EXPEDIENTE!$I$29)),1,0)</f>
        <v>0</v>
      </c>
      <c r="AI63" s="53">
        <f>IF(DATE(YEAR(EXPEDIENTE!$I$25),MONTH(DATEVALUE($C63&amp;"1")),1)&gt;=DATE(YEAR(EXPEDIENTE!$I$25),MONTH(EXPEDIENTE!$I$25),1),0,1)</f>
        <v>0</v>
      </c>
      <c r="AJ63" s="53" t="e">
        <f>IF(DATE(YEAR(EXPEDIENTE!$I$25),MONTH(DATEVALUE($C63&amp;"1")),1)&lt;=DATE(YEAR(EXPEDIENTE!$I$29),MONTH(EXPEDIENTE!$I$29),1),0,1)</f>
        <v>#VALUE!</v>
      </c>
      <c r="AK63" s="53" t="e">
        <f t="shared" si="158"/>
        <v>#VALUE!</v>
      </c>
      <c r="AM63" s="1014"/>
      <c r="AN63" s="392" t="s">
        <v>281</v>
      </c>
      <c r="AO63" s="281">
        <f t="shared" si="145"/>
        <v>0</v>
      </c>
      <c r="AP63" s="282"/>
      <c r="AQ63" s="283">
        <f t="shared" si="159"/>
        <v>0</v>
      </c>
      <c r="AR63" s="230">
        <f t="shared" si="146"/>
        <v>0</v>
      </c>
      <c r="AS63" s="857"/>
      <c r="AT63" s="858"/>
      <c r="AU63" s="224">
        <f t="shared" si="147"/>
        <v>0</v>
      </c>
      <c r="AV63" s="227"/>
      <c r="AW63" s="232">
        <f t="shared" si="160"/>
        <v>0</v>
      </c>
      <c r="AX63" s="224">
        <f t="shared" si="148"/>
        <v>0</v>
      </c>
      <c r="AY63" s="227"/>
      <c r="AZ63" s="232">
        <f t="shared" si="161"/>
        <v>0</v>
      </c>
      <c r="BA63" s="284">
        <f t="shared" si="149"/>
        <v>0</v>
      </c>
      <c r="BB63" s="857"/>
      <c r="BC63" s="858"/>
      <c r="BD63" s="233" t="str">
        <f t="shared" si="150"/>
        <v/>
      </c>
      <c r="BE63" s="285"/>
      <c r="BF63" s="235" t="str">
        <f t="shared" si="162"/>
        <v/>
      </c>
      <c r="BG63" s="411" t="str">
        <f t="shared" si="163"/>
        <v/>
      </c>
      <c r="BH63" s="877"/>
      <c r="BI63" s="878"/>
      <c r="BJ63" s="878"/>
      <c r="BK63" s="878"/>
      <c r="BL63" s="878"/>
      <c r="BM63" s="878"/>
      <c r="BN63" s="878"/>
      <c r="BO63" s="878"/>
      <c r="BP63" s="878"/>
      <c r="BQ63" s="878"/>
      <c r="BR63" s="878"/>
      <c r="BS63" s="879"/>
      <c r="DA63" s="53">
        <f>IF(AND(BE63&lt;&gt;"",OR(BE63&lt;EXPEDIENTE!$I$25,BE63&gt;EXPEDIENTE!$I$29)),1,0)</f>
        <v>0</v>
      </c>
      <c r="DB63" s="47"/>
      <c r="DD63" s="55">
        <f t="shared" si="151"/>
        <v>0</v>
      </c>
      <c r="DE63" s="55">
        <f t="shared" si="152"/>
        <v>0</v>
      </c>
      <c r="DF63" s="55">
        <f t="shared" si="153"/>
        <v>0</v>
      </c>
      <c r="DG63" s="55">
        <f t="shared" si="154"/>
        <v>0</v>
      </c>
      <c r="DH63" s="55">
        <f t="shared" si="155"/>
        <v>0</v>
      </c>
      <c r="DU63" s="47"/>
      <c r="DW63" s="55">
        <f>IF(BH63&lt;&gt;"",MAX($DW$9:DW62)+1,0)</f>
        <v>0</v>
      </c>
      <c r="DX63" s="130" t="str">
        <f t="shared" si="156"/>
        <v/>
      </c>
    </row>
    <row r="64" spans="2:128" ht="9.9499999999999993" customHeight="1" thickBot="1" x14ac:dyDescent="0.3">
      <c r="B64" s="973"/>
      <c r="C64" s="345"/>
      <c r="D64" s="345"/>
      <c r="E64" s="345"/>
      <c r="F64" s="345"/>
      <c r="G64" s="345"/>
      <c r="H64" s="345"/>
      <c r="I64" s="345"/>
      <c r="J64" s="345"/>
      <c r="K64" s="345"/>
      <c r="L64" s="345"/>
      <c r="M64" s="345"/>
      <c r="N64" s="363"/>
      <c r="P64" s="633"/>
      <c r="Q64" s="633"/>
      <c r="AM64" s="1015"/>
      <c r="AN64" s="395"/>
      <c r="AO64" s="396"/>
      <c r="AP64" s="396"/>
      <c r="AQ64" s="396"/>
      <c r="AR64" s="396"/>
      <c r="AS64" s="396"/>
      <c r="AT64" s="396"/>
      <c r="AU64" s="396"/>
      <c r="AV64" s="396"/>
      <c r="AW64" s="396"/>
      <c r="AX64" s="396"/>
      <c r="AY64" s="396"/>
      <c r="AZ64" s="396"/>
      <c r="BA64" s="396"/>
      <c r="BB64" s="396"/>
      <c r="BC64" s="396"/>
      <c r="BD64" s="396"/>
      <c r="BE64" s="396"/>
      <c r="BF64" s="396"/>
      <c r="BG64" s="396"/>
      <c r="BH64" s="396"/>
      <c r="BI64" s="396"/>
      <c r="BJ64" s="396"/>
      <c r="BK64" s="396"/>
      <c r="BL64" s="396"/>
      <c r="BM64" s="396"/>
      <c r="BN64" s="396"/>
      <c r="BO64" s="396"/>
      <c r="BP64" s="396"/>
      <c r="BQ64" s="396"/>
      <c r="BR64" s="396"/>
      <c r="BS64" s="397"/>
      <c r="DA64" s="47"/>
    </row>
    <row r="65" ht="15.75" thickTop="1" x14ac:dyDescent="0.25"/>
  </sheetData>
  <sheetProtection algorithmName="SHA-512" hashValue="zp2pwttNhAgtgqAb5oybA/5CyZ52M4fl4ZlAVqUSIk4hex8u5fFdYbTUnMwK6pCZe9kRT2cwpFKL/yzzuq5W0g==" saltValue="TRPaxeNzqSPSMcyDDVCLgA==" spinCount="100000" sheet="1" formatColumns="0"/>
  <protectedRanges>
    <protectedRange algorithmName="SHA-512" hashValue="XvhbnDAKsTc++wDWzZ3zM5prg1fy0VYTYF92qpXd9UXdAmVYbtHfQCPB15h9ffrRsotmEsZb06rKT6jjFGqNzA==" saltValue="wjP+RujLN90JBlHU8UNqkg==" spinCount="100000" sqref="AV52:AV63 AY52:AY63 BE52:BE63 BH52:BS63 AP52:AP63" name="Rango6"/>
    <protectedRange algorithmName="SHA-512" hashValue="2+R7pvg/lKe0g8tcTXtIjvyf7kCk86cO7mtQ6TczIDm1ktLgcV5hnsasUUt1VlwQ65gbkLfD0z7daJszGz2CnA==" saltValue="M4ttNUUFwYafLMKxz8eeag==" spinCount="100000" sqref="AP38:AP45 AS38:AS45 AV38:AV45 AY38:AY45 BB38:BB45 BE38:BE45 BH38:BH45 BK38:BK45 BQ38:BQ45 BT38:BT45 BW38:BW45 BZ38:BZ45 CC38:CC45 CG38:CG45 CL38:CL45 CO38:CO45 CS38:CS45 CV38:CV45" name="Rango4"/>
    <protectedRange algorithmName="SHA-512" hashValue="76wIxMEK7lWPJnUAP2eUKtwJ8PXa3YRgZn8pHqV4yQGJ30PmPedOEPV5TqyGzZeiija4gAH8qC/2YPgsVw9sHQ==" saltValue="PD3s1XLGv6Vf5iXVi8OSRw==" spinCount="100000" sqref="CY20:CY31" name="Rango3"/>
    <protectedRange algorithmName="SHA-512" hashValue="kvwRQc5q/dF2ri+Gnl/1ruucLgmp539QWVwTQLXw11/Fysh/zwEgeXKVFm6nKEnDM/F8LTT2jOprspaGST/WOA==" saltValue="7e/uhS0wjKU30oqiZXM5TA==" spinCount="100000" sqref="AS9:AS14 AU9:BG15" name="Rango1"/>
    <protectedRange algorithmName="SHA-512" hashValue="aqH0/EuwKThDOCWYAoAk1TniSS/D98A6dOhglxdDXVgNI1J97hz4B2UDX2O7GP8g15wH/6cT/tMdkItvB/l3SA==" saltValue="ooHWBFb3oWvA+uYEmP7tTQ==" spinCount="100000" sqref="AS20:AS31 AV20:AV31 AY20:AY31 BB20:BB31 BE20:BE31 BH20:BH31 BK20:BK31 BQ20:BQ31 BT20:BT31 BW20:BW31 BZ20:BZ31 CC20:CC31 CG20:CG31 CL20:CL31 CO20:CO31 CS20:CS31 CV20:CV31" name="Rango2"/>
    <protectedRange algorithmName="SHA-512" hashValue="2tDj1gg1AgBUuq6T2R+QSg9JayMMrh7kOk53iHMLXd0CVCFp+vUM2L0r9Ec+NeiMKCBCwajJrRAQbAb7Q/VLXA==" saltValue="FMGVqFuAZ1ECGzR0AyboKQ==" spinCount="100000" sqref="CY38:CY45" name="Rango7"/>
  </protectedRanges>
  <mergeCells count="209">
    <mergeCell ref="W35:W37"/>
    <mergeCell ref="AE35:AE37"/>
    <mergeCell ref="F36:F37"/>
    <mergeCell ref="F35:M35"/>
    <mergeCell ref="AC35:AC37"/>
    <mergeCell ref="AX36:BM36"/>
    <mergeCell ref="BN36:BN37"/>
    <mergeCell ref="BO35:CI35"/>
    <mergeCell ref="G36:L36"/>
    <mergeCell ref="AM8:AM64"/>
    <mergeCell ref="AN35:AT35"/>
    <mergeCell ref="AO50:AQ50"/>
    <mergeCell ref="AR50:AR51"/>
    <mergeCell ref="N35:V35"/>
    <mergeCell ref="Z35:Z37"/>
    <mergeCell ref="X35:X37"/>
    <mergeCell ref="M36:M37"/>
    <mergeCell ref="AN34:CY34"/>
    <mergeCell ref="BA50:BA51"/>
    <mergeCell ref="AG16:AH16"/>
    <mergeCell ref="AG17:AG18"/>
    <mergeCell ref="I8:T8"/>
    <mergeCell ref="AD17:AD19"/>
    <mergeCell ref="AE17:AE19"/>
    <mergeCell ref="H50:H51"/>
    <mergeCell ref="I50:I51"/>
    <mergeCell ref="J50:M51"/>
    <mergeCell ref="J63:M63"/>
    <mergeCell ref="J55:M55"/>
    <mergeCell ref="J56:M56"/>
    <mergeCell ref="I12:T13"/>
    <mergeCell ref="J58:M58"/>
    <mergeCell ref="J59:M59"/>
    <mergeCell ref="J54:M54"/>
    <mergeCell ref="J52:M52"/>
    <mergeCell ref="J53:M53"/>
    <mergeCell ref="J62:M62"/>
    <mergeCell ref="J61:M61"/>
    <mergeCell ref="J60:M60"/>
    <mergeCell ref="J57:M57"/>
    <mergeCell ref="B8:B64"/>
    <mergeCell ref="C36:C37"/>
    <mergeCell ref="C18:D19"/>
    <mergeCell ref="C20:D20"/>
    <mergeCell ref="C21:D21"/>
    <mergeCell ref="C22:D22"/>
    <mergeCell ref="C23:D23"/>
    <mergeCell ref="C24:D24"/>
    <mergeCell ref="C25:D25"/>
    <mergeCell ref="C26:D26"/>
    <mergeCell ref="C27:D27"/>
    <mergeCell ref="C28:D28"/>
    <mergeCell ref="C34:AE34"/>
    <mergeCell ref="C29:D29"/>
    <mergeCell ref="C30:D30"/>
    <mergeCell ref="C31:D31"/>
    <mergeCell ref="C35:E35"/>
    <mergeCell ref="D36:E36"/>
    <mergeCell ref="Y35:Y37"/>
    <mergeCell ref="C50:C51"/>
    <mergeCell ref="D50:D51"/>
    <mergeCell ref="E50:E51"/>
    <mergeCell ref="F50:F51"/>
    <mergeCell ref="G50:G51"/>
    <mergeCell ref="C8:F8"/>
    <mergeCell ref="E18:E19"/>
    <mergeCell ref="F18:F19"/>
    <mergeCell ref="C16:AE16"/>
    <mergeCell ref="X17:X19"/>
    <mergeCell ref="Y17:Y19"/>
    <mergeCell ref="Z17:Z19"/>
    <mergeCell ref="AA17:AA19"/>
    <mergeCell ref="U18:U19"/>
    <mergeCell ref="AB17:AB19"/>
    <mergeCell ref="O18:T18"/>
    <mergeCell ref="I11:T11"/>
    <mergeCell ref="C17:E17"/>
    <mergeCell ref="F17:M17"/>
    <mergeCell ref="W17:W19"/>
    <mergeCell ref="I9:T9"/>
    <mergeCell ref="AC17:AC19"/>
    <mergeCell ref="C10:E10"/>
    <mergeCell ref="N17:V17"/>
    <mergeCell ref="G18:L18"/>
    <mergeCell ref="M18:M19"/>
    <mergeCell ref="AN8:AP8"/>
    <mergeCell ref="AN9:AP9"/>
    <mergeCell ref="AN11:AP11"/>
    <mergeCell ref="AN12:AP12"/>
    <mergeCell ref="DA16:DB16"/>
    <mergeCell ref="AU9:BG9"/>
    <mergeCell ref="AU11:BG11"/>
    <mergeCell ref="AU12:BG12"/>
    <mergeCell ref="AN18:AO19"/>
    <mergeCell ref="AR18:AR19"/>
    <mergeCell ref="AX18:BM18"/>
    <mergeCell ref="BN18:BN19"/>
    <mergeCell ref="BP18:CE18"/>
    <mergeCell ref="AN17:AQ17"/>
    <mergeCell ref="AR17:AT17"/>
    <mergeCell ref="AS18:AS19"/>
    <mergeCell ref="CV18:CV19"/>
    <mergeCell ref="CJ17:CJ19"/>
    <mergeCell ref="CQ17:CQ19"/>
    <mergeCell ref="AU8:BG8"/>
    <mergeCell ref="AP18:AQ31"/>
    <mergeCell ref="AU18:AW18"/>
    <mergeCell ref="AU10:BG10"/>
    <mergeCell ref="AN10:AP10"/>
    <mergeCell ref="AN13:AP13"/>
    <mergeCell ref="AU13:BG13"/>
    <mergeCell ref="O36:T36"/>
    <mergeCell ref="AA35:AA37"/>
    <mergeCell ref="AB35:AB37"/>
    <mergeCell ref="U36:U37"/>
    <mergeCell ref="AD35:AD37"/>
    <mergeCell ref="AU14:BG14"/>
    <mergeCell ref="AN16:CY16"/>
    <mergeCell ref="AN14:AP14"/>
    <mergeCell ref="AN15:AP15"/>
    <mergeCell ref="CR36:CR37"/>
    <mergeCell ref="CS36:CS37"/>
    <mergeCell ref="CT36:CT37"/>
    <mergeCell ref="CU36:CU37"/>
    <mergeCell ref="CV36:CV37"/>
    <mergeCell ref="CW36:CW37"/>
    <mergeCell ref="BP36:CE36"/>
    <mergeCell ref="AO36:AQ36"/>
    <mergeCell ref="AH17:AH18"/>
    <mergeCell ref="AU17:BN17"/>
    <mergeCell ref="BO17:CI17"/>
    <mergeCell ref="AN36:AN37"/>
    <mergeCell ref="CJ35:CJ37"/>
    <mergeCell ref="AN20:AO20"/>
    <mergeCell ref="AN21:AO21"/>
    <mergeCell ref="AN22:AO22"/>
    <mergeCell ref="CU17:CW17"/>
    <mergeCell ref="CU18:CU19"/>
    <mergeCell ref="CN35:CP35"/>
    <mergeCell ref="CR18:CR19"/>
    <mergeCell ref="CS18:CS19"/>
    <mergeCell ref="CT18:CT19"/>
    <mergeCell ref="CQ35:CQ37"/>
    <mergeCell ref="AU35:BN35"/>
    <mergeCell ref="CN36:CN37"/>
    <mergeCell ref="CO36:CO37"/>
    <mergeCell ref="CP36:CP37"/>
    <mergeCell ref="CF18:CH18"/>
    <mergeCell ref="AN31:AO31"/>
    <mergeCell ref="AN26:AO26"/>
    <mergeCell ref="AN27:AO27"/>
    <mergeCell ref="AN28:AO28"/>
    <mergeCell ref="BH59:BS59"/>
    <mergeCell ref="BH50:BS51"/>
    <mergeCell ref="BH60:BS60"/>
    <mergeCell ref="BH61:BS61"/>
    <mergeCell ref="BH62:BS62"/>
    <mergeCell ref="BH63:BS63"/>
    <mergeCell ref="AX50:AZ50"/>
    <mergeCell ref="BB50:BC63"/>
    <mergeCell ref="BH53:BS53"/>
    <mergeCell ref="BH52:BS52"/>
    <mergeCell ref="BH54:BS54"/>
    <mergeCell ref="BH55:BS55"/>
    <mergeCell ref="BH56:BS56"/>
    <mergeCell ref="BH57:BS57"/>
    <mergeCell ref="BH58:BS58"/>
    <mergeCell ref="BD50:BF50"/>
    <mergeCell ref="AU50:AW50"/>
    <mergeCell ref="P52:Q63"/>
    <mergeCell ref="CY17:CY19"/>
    <mergeCell ref="CY35:CY37"/>
    <mergeCell ref="C48:M49"/>
    <mergeCell ref="AN48:BS49"/>
    <mergeCell ref="BG50:BG51"/>
    <mergeCell ref="CX17:CX19"/>
    <mergeCell ref="CX35:CX37"/>
    <mergeCell ref="AI19:AK19"/>
    <mergeCell ref="AN50:AN51"/>
    <mergeCell ref="AS50:AT63"/>
    <mergeCell ref="AN29:AO29"/>
    <mergeCell ref="AN30:AO30"/>
    <mergeCell ref="AN23:AO23"/>
    <mergeCell ref="CN17:CP17"/>
    <mergeCell ref="CN18:CN19"/>
    <mergeCell ref="CO18:CO19"/>
    <mergeCell ref="CP18:CP19"/>
    <mergeCell ref="AT18:AT19"/>
    <mergeCell ref="AR36:AT36"/>
    <mergeCell ref="AU36:AW36"/>
    <mergeCell ref="AN24:AO24"/>
    <mergeCell ref="AN25:AO25"/>
    <mergeCell ref="DW7:DX7"/>
    <mergeCell ref="DD7:DU7"/>
    <mergeCell ref="CF36:CH36"/>
    <mergeCell ref="CK17:CM17"/>
    <mergeCell ref="CK18:CK19"/>
    <mergeCell ref="CL18:CL19"/>
    <mergeCell ref="CM18:CM19"/>
    <mergeCell ref="CK35:CM35"/>
    <mergeCell ref="CK36:CK37"/>
    <mergeCell ref="CL36:CL37"/>
    <mergeCell ref="CM36:CM37"/>
    <mergeCell ref="DB17:DB18"/>
    <mergeCell ref="CR35:CT35"/>
    <mergeCell ref="CU35:CW35"/>
    <mergeCell ref="CW18:CW19"/>
    <mergeCell ref="CR17:CT17"/>
    <mergeCell ref="DA17:DA18"/>
  </mergeCells>
  <phoneticPr fontId="3" type="noConversion"/>
  <conditionalFormatting sqref="C52:I63">
    <cfRule type="expression" dxfId="500" priority="2">
      <formula>$AK20=1</formula>
    </cfRule>
  </conditionalFormatting>
  <conditionalFormatting sqref="D50:D51">
    <cfRule type="expression" dxfId="499" priority="232">
      <formula>OR(SUM(T20:T31)&gt;0,SUM(T38:T45)&gt;0)</formula>
    </cfRule>
  </conditionalFormatting>
  <conditionalFormatting sqref="I52:I63 BD52:BD63 AA20:AA31 AA38:AA45">
    <cfRule type="expression" dxfId="498" priority="16" stopIfTrue="1">
      <formula>$AG20&lt;&gt;0</formula>
    </cfRule>
  </conditionalFormatting>
  <conditionalFormatting sqref="P52">
    <cfRule type="cellIs" dxfId="497" priority="175" operator="notEqual">
      <formula>""</formula>
    </cfRule>
  </conditionalFormatting>
  <conditionalFormatting sqref="AB20:AB31 AB38:AB45">
    <cfRule type="expression" dxfId="484" priority="17" stopIfTrue="1">
      <formula>$AH20&lt;&gt;0</formula>
    </cfRule>
  </conditionalFormatting>
  <conditionalFormatting sqref="AP52:AP63 AP38:AP45">
    <cfRule type="expression" dxfId="482" priority="44">
      <formula>AND($AP38&lt;&gt;"",$AO38&lt;&gt;$AP38)</formula>
    </cfRule>
  </conditionalFormatting>
  <conditionalFormatting sqref="AS9:AS14">
    <cfRule type="expression" dxfId="469" priority="18">
      <formula>AND($AS9&lt;&gt;"",$AR9&lt;&gt;$AS9)</formula>
    </cfRule>
  </conditionalFormatting>
  <conditionalFormatting sqref="AS20:AS31">
    <cfRule type="expression" dxfId="468" priority="24">
      <formula>AND($AS20&lt;&gt;"",$AR20&lt;&gt;$AS20)</formula>
    </cfRule>
  </conditionalFormatting>
  <conditionalFormatting sqref="AS38:AS45">
    <cfRule type="expression" dxfId="467" priority="45">
      <formula>AND($AS38&lt;&gt;"",$AR38&lt;&gt;$AS38)</formula>
    </cfRule>
  </conditionalFormatting>
  <conditionalFormatting sqref="AT15">
    <cfRule type="cellIs" dxfId="466" priority="23" operator="notEqual">
      <formula>$AR$15</formula>
    </cfRule>
  </conditionalFormatting>
  <conditionalFormatting sqref="AU9:AU14">
    <cfRule type="expression" dxfId="465" priority="19" stopIfTrue="1">
      <formula>AND($AR9&lt;&gt;$AT9,$AU9="")</formula>
    </cfRule>
    <cfRule type="expression" dxfId="464" priority="21">
      <formula>AND($AR9=$AT9,$AU9&lt;&gt;"")</formula>
    </cfRule>
    <cfRule type="expression" dxfId="463" priority="22">
      <formula>AND($AR9&lt;&gt;$AS9,$AU9&lt;&gt;"")</formula>
    </cfRule>
  </conditionalFormatting>
  <conditionalFormatting sqref="AV20:AV31 AV52:AV63">
    <cfRule type="expression" dxfId="462" priority="25">
      <formula>AND($AV20&lt;&gt;"",$AU20&lt;&gt;$AV20)</formula>
    </cfRule>
  </conditionalFormatting>
  <conditionalFormatting sqref="AV38:AV45">
    <cfRule type="expression" dxfId="461" priority="46">
      <formula>AND($AV38&lt;&gt;"",$AU38&lt;&gt;$AV38)</formula>
    </cfRule>
  </conditionalFormatting>
  <conditionalFormatting sqref="AY20:AY31 AY52:AY63">
    <cfRule type="expression" dxfId="460" priority="26">
      <formula>AND($AY20&lt;&gt;"",$AX20&lt;&gt;$AY20)</formula>
    </cfRule>
  </conditionalFormatting>
  <conditionalFormatting sqref="AY38:AY45">
    <cfRule type="expression" dxfId="459" priority="47">
      <formula>AND($AY38&lt;&gt;"",$AX38&lt;&gt;$AY38)</formula>
    </cfRule>
  </conditionalFormatting>
  <conditionalFormatting sqref="BB20:BB31">
    <cfRule type="expression" dxfId="458" priority="27">
      <formula>AND($BB20&lt;&gt;"",$BA20&lt;&gt;$BB20)</formula>
    </cfRule>
  </conditionalFormatting>
  <conditionalFormatting sqref="BB38:BB45">
    <cfRule type="expression" dxfId="457" priority="48">
      <formula>AND($BB38&lt;&gt;"",$BA38&lt;&gt;$BB38)</formula>
    </cfRule>
  </conditionalFormatting>
  <conditionalFormatting sqref="BD52:BF63 AN52:AR63 AU52:BA63 W20:AD31 C20:M31 O20:U31">
    <cfRule type="expression" dxfId="455" priority="121">
      <formula>$AK20=1</formula>
    </cfRule>
  </conditionalFormatting>
  <conditionalFormatting sqref="BE20:BE31">
    <cfRule type="expression" dxfId="443" priority="28">
      <formula>AND($BE20&lt;&gt;"",$BD20&lt;&gt;$BE20)</formula>
    </cfRule>
  </conditionalFormatting>
  <conditionalFormatting sqref="BE38:BE45">
    <cfRule type="expression" dxfId="442" priority="49">
      <formula>AND($BE38&lt;&gt;"",$BD38&lt;&gt;$BE38)</formula>
    </cfRule>
  </conditionalFormatting>
  <conditionalFormatting sqref="BE52:BE63">
    <cfRule type="expression" dxfId="441" priority="87">
      <formula>AND($BE52&lt;&gt;"",$BD52&lt;&gt;$BE52)</formula>
    </cfRule>
    <cfRule type="expression" dxfId="440" priority="102" stopIfTrue="1">
      <formula>AND($DA52&lt;&gt;0,$BE52&lt;&gt;"")</formula>
    </cfRule>
  </conditionalFormatting>
  <conditionalFormatting sqref="BF52:BF63">
    <cfRule type="expression" dxfId="439" priority="103" stopIfTrue="1">
      <formula>AND($DA52&lt;&gt;0,$BF52&lt;&gt;"")</formula>
    </cfRule>
  </conditionalFormatting>
  <conditionalFormatting sqref="BH20:BH31">
    <cfRule type="expression" dxfId="438" priority="29">
      <formula>AND($BH20&lt;&gt;"",$BG20&lt;&gt;$BH20)</formula>
    </cfRule>
  </conditionalFormatting>
  <conditionalFormatting sqref="BH38:BH45">
    <cfRule type="expression" dxfId="437" priority="50">
      <formula>AND($BH38&lt;&gt;"",$BG38&lt;&gt;$BH38)</formula>
    </cfRule>
  </conditionalFormatting>
  <conditionalFormatting sqref="BH52:BS63">
    <cfRule type="expression" dxfId="436" priority="98">
      <formula>IF($BG52&lt;&gt;"",$BH52&lt;&gt;"")</formula>
    </cfRule>
    <cfRule type="expression" dxfId="435" priority="89">
      <formula>IF($BG52="",$BH52&lt;&gt;"")</formula>
    </cfRule>
    <cfRule type="expression" dxfId="434" priority="88" stopIfTrue="1">
      <formula>IF($BG52&lt;&gt;"",$BH52="")</formula>
    </cfRule>
  </conditionalFormatting>
  <conditionalFormatting sqref="BK20:BK31">
    <cfRule type="expression" dxfId="433" priority="30">
      <formula>AND($BK20&lt;&gt;"",$BJ20&lt;&gt;$BK20)</formula>
    </cfRule>
  </conditionalFormatting>
  <conditionalFormatting sqref="BK38:BK45">
    <cfRule type="expression" dxfId="432" priority="51">
      <formula>IF($BK38&lt;&gt;"",$BJ38&lt;&gt;$BK38)</formula>
    </cfRule>
  </conditionalFormatting>
  <conditionalFormatting sqref="BQ20:BQ31">
    <cfRule type="expression" dxfId="431" priority="31">
      <formula>AND($BQ20&lt;&gt;"",$BP20&lt;&gt;$BQ20)</formula>
    </cfRule>
  </conditionalFormatting>
  <conditionalFormatting sqref="BQ38:BQ45">
    <cfRule type="expression" dxfId="430" priority="52">
      <formula>AND($BQ38&lt;&gt;"",$BP38&lt;&gt;$BQ38)</formula>
    </cfRule>
  </conditionalFormatting>
  <conditionalFormatting sqref="BT20:BT31">
    <cfRule type="expression" dxfId="429" priority="32">
      <formula>AND($BT20&lt;&gt;"",$BS20&lt;&gt;$BT20)</formula>
    </cfRule>
  </conditionalFormatting>
  <conditionalFormatting sqref="BT38:BT45">
    <cfRule type="expression" dxfId="428" priority="53">
      <formula>AND($BT38&lt;&gt;"",$BS38&lt;&gt;$BT38)</formula>
    </cfRule>
  </conditionalFormatting>
  <conditionalFormatting sqref="BW20:BW31">
    <cfRule type="expression" dxfId="427" priority="33">
      <formula>AND($BW20&lt;&gt;"",$BV20&lt;&gt;$BW20)</formula>
    </cfRule>
  </conditionalFormatting>
  <conditionalFormatting sqref="BW38:BW45">
    <cfRule type="expression" dxfId="426" priority="66">
      <formula>AND($BW38&lt;&gt;"",$BV38&lt;&gt;$BW$38)</formula>
    </cfRule>
  </conditionalFormatting>
  <conditionalFormatting sqref="BZ20:BZ31">
    <cfRule type="expression" dxfId="425" priority="34">
      <formula>AND($BZ20&lt;&gt;"",$BY20&lt;&gt;$BZ20)</formula>
    </cfRule>
  </conditionalFormatting>
  <conditionalFormatting sqref="BZ38:BZ45">
    <cfRule type="expression" dxfId="424" priority="67">
      <formula>AND($BZ38&lt;&gt;"",$BY38&lt;&gt;$BZ38)</formula>
    </cfRule>
  </conditionalFormatting>
  <conditionalFormatting sqref="CC20:CC31">
    <cfRule type="expression" dxfId="423" priority="35">
      <formula>AND($CC20&lt;&gt;"",$CB20&lt;&gt;$CC20)</formula>
    </cfRule>
  </conditionalFormatting>
  <conditionalFormatting sqref="CC38:CC45">
    <cfRule type="expression" dxfId="422" priority="68">
      <formula>AND($CC38&lt;&gt;"",$CB38&lt;&gt;$CC38)</formula>
    </cfRule>
  </conditionalFormatting>
  <conditionalFormatting sqref="CG20:CG31">
    <cfRule type="expression" dxfId="421" priority="36">
      <formula>AND($CG20&lt;&gt;"",$CF20&lt;&gt;$CG20)</formula>
    </cfRule>
  </conditionalFormatting>
  <conditionalFormatting sqref="CG38:CG45">
    <cfRule type="expression" dxfId="420" priority="69">
      <formula>AND($CG38&lt;&gt;"",$CF38&lt;&gt;$CG38)</formula>
    </cfRule>
  </conditionalFormatting>
  <conditionalFormatting sqref="CJ20:CW31 BP20:CH31 AR20:BN31 AN20:AO31">
    <cfRule type="expression" dxfId="418" priority="136">
      <formula>$AK20=1</formula>
    </cfRule>
  </conditionalFormatting>
  <conditionalFormatting sqref="CL20:CL31">
    <cfRule type="expression" dxfId="406" priority="37">
      <formula>AND($CL20&lt;&gt;"",$CK20&lt;&gt;$CL20)</formula>
    </cfRule>
  </conditionalFormatting>
  <conditionalFormatting sqref="CL38:CL45">
    <cfRule type="expression" dxfId="405" priority="70">
      <formula>AND($CL38&lt;&gt;"",$CK38&lt;&gt;$CL38)</formula>
    </cfRule>
  </conditionalFormatting>
  <conditionalFormatting sqref="CO20:CO31">
    <cfRule type="expression" dxfId="404" priority="38">
      <formula>AND($CO20&lt;&gt;"",$CN20&lt;&gt;$CO20)</formula>
    </cfRule>
  </conditionalFormatting>
  <conditionalFormatting sqref="CO38:CO45">
    <cfRule type="expression" dxfId="403" priority="71">
      <formula>AND($CO38&lt;&gt;"",$CN38&lt;&gt;$CO38)</formula>
    </cfRule>
  </conditionalFormatting>
  <conditionalFormatting sqref="CR20:CR31 CR38:CR45">
    <cfRule type="expression" dxfId="402" priority="99" stopIfTrue="1">
      <formula>$AG20&lt;&gt;0</formula>
    </cfRule>
  </conditionalFormatting>
  <conditionalFormatting sqref="CS20:CS31">
    <cfRule type="expression" dxfId="401" priority="39">
      <formula>AND($CS20&lt;&gt;"",$CR20&lt;&gt;$CS20)</formula>
    </cfRule>
  </conditionalFormatting>
  <conditionalFormatting sqref="CS38:CS45 CS20:CS31">
    <cfRule type="expression" dxfId="400" priority="100" stopIfTrue="1">
      <formula>AND($DA20&lt;&gt;0,$CS20&lt;&gt;"")</formula>
    </cfRule>
  </conditionalFormatting>
  <conditionalFormatting sqref="CS38:CS45">
    <cfRule type="expression" dxfId="399" priority="72">
      <formula>AND($CS38&lt;&gt;"",$CR38&lt;&gt;$CT38)</formula>
    </cfRule>
  </conditionalFormatting>
  <conditionalFormatting sqref="CT20:CT31 CT38:CT45">
    <cfRule type="expression" dxfId="398" priority="101" stopIfTrue="1">
      <formula>AND($DA20&lt;&gt;0,$CT20&lt;&gt;"")</formula>
    </cfRule>
  </conditionalFormatting>
  <conditionalFormatting sqref="CU20:CU31 CU38:CU45">
    <cfRule type="expression" dxfId="397" priority="118" stopIfTrue="1">
      <formula>$AG20&lt;&gt;0</formula>
    </cfRule>
  </conditionalFormatting>
  <conditionalFormatting sqref="CV20:CV31">
    <cfRule type="expression" dxfId="396" priority="40">
      <formula>AND($CV20&lt;&gt;"",$CU20&lt;&gt;$CV20)</formula>
    </cfRule>
  </conditionalFormatting>
  <conditionalFormatting sqref="CV38:CV45 CV20:CV31">
    <cfRule type="expression" dxfId="395" priority="119" stopIfTrue="1">
      <formula>AND($DB20&lt;&gt;0,$CV20&lt;&gt;"")</formula>
    </cfRule>
  </conditionalFormatting>
  <conditionalFormatting sqref="CV38:CV45">
    <cfRule type="expression" dxfId="394" priority="73">
      <formula>AND($CV38&lt;&gt;"",$CU38&lt;&gt;$CW38)</formula>
    </cfRule>
  </conditionalFormatting>
  <conditionalFormatting sqref="CW20:CW31 CW38:CW45">
    <cfRule type="expression" dxfId="393" priority="120" stopIfTrue="1">
      <formula>AND($DB20&lt;&gt;0,$CW20&lt;&gt;"")</formula>
    </cfRule>
  </conditionalFormatting>
  <conditionalFormatting sqref="CY20:CY31">
    <cfRule type="expression" dxfId="392" priority="43">
      <formula>IF($CX20&lt;&gt;"",$CY20&lt;&gt;"")</formula>
    </cfRule>
    <cfRule type="expression" dxfId="391" priority="42">
      <formula>IF($CX20="",$CY20&lt;&gt;"")</formula>
    </cfRule>
    <cfRule type="expression" dxfId="390" priority="41" stopIfTrue="1">
      <formula>IF($CX20&lt;&gt;"",$CY20="")</formula>
    </cfRule>
  </conditionalFormatting>
  <conditionalFormatting sqref="CY38:CY45">
    <cfRule type="expression" dxfId="389" priority="83">
      <formula>IF($CX38&lt;&gt;"",$CY38&lt;&gt;"")</formula>
    </cfRule>
    <cfRule type="expression" dxfId="388" priority="76">
      <formula>IF($CX38="",$CY38&lt;&gt;"")</formula>
    </cfRule>
    <cfRule type="expression" dxfId="387" priority="75" stopIfTrue="1">
      <formula>IF($CX38&lt;&gt;"",$CY38="")</formula>
    </cfRule>
  </conditionalFormatting>
  <printOptions horizontalCentered="1" verticalCentered="1"/>
  <pageMargins left="0.39370078740157483" right="0.39370078740157483" top="0.39370078740157483" bottom="0.39370078740157483" header="0.19685039370078741" footer="0.19685039370078741"/>
  <pageSetup paperSize="8" scale="49" orientation="landscape" r:id="rId1"/>
  <headerFooter>
    <oddFooter>&amp;L&amp;"Nunito Sans,Normal"&amp;8MOD60&amp;C&amp;"Nunito Sans,Normal"&amp;8&amp;A&amp;R&amp;"Nunito Sans,Normal"&amp;8&amp;P de &amp;N</oddFooter>
  </headerFooter>
  <colBreaks count="1" manualBreakCount="1">
    <brk id="37" max="62" man="1"/>
  </colBreaks>
  <ignoredErrors>
    <ignoredError sqref="L20:L22 L38:L40 L23:L31 L41:L45"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123" id="{71FD0CB1-0B58-4F20-BC53-9016F4B90F15}">
            <xm:f>'% DEDICACIÓN TRABAJADOR'!$G$39=0</xm:f>
            <x14:dxf>
              <font>
                <color theme="9" tint="0.79998168889431442"/>
              </font>
              <fill>
                <patternFill>
                  <bgColor theme="9" tint="0.79998168889431442"/>
                </patternFill>
              </fill>
            </x14:dxf>
          </x14:cfRule>
          <xm:sqref>W20:AD20</xm:sqref>
        </x14:conditionalFormatting>
        <x14:conditionalFormatting xmlns:xm="http://schemas.microsoft.com/office/excel/2006/main">
          <x14:cfRule type="expression" priority="124" id="{1627F144-478F-4392-AE4C-E6B18893BD08}">
            <xm:f>'% DEDICACIÓN TRABAJADOR'!$H$39=0</xm:f>
            <x14:dxf>
              <font>
                <color theme="9" tint="0.79998168889431442"/>
              </font>
              <fill>
                <patternFill>
                  <bgColor theme="9" tint="0.79998168889431442"/>
                </patternFill>
              </fill>
            </x14:dxf>
          </x14:cfRule>
          <xm:sqref>W21:AD21</xm:sqref>
        </x14:conditionalFormatting>
        <x14:conditionalFormatting xmlns:xm="http://schemas.microsoft.com/office/excel/2006/main">
          <x14:cfRule type="expression" priority="125" id="{0B25DF02-DEEF-4E69-A3E6-FF217BE76594}">
            <xm:f>'% DEDICACIÓN TRABAJADOR'!$I$39=0</xm:f>
            <x14:dxf>
              <font>
                <color theme="9" tint="0.79998168889431442"/>
              </font>
              <fill>
                <patternFill>
                  <bgColor theme="9" tint="0.79998168889431442"/>
                </patternFill>
              </fill>
            </x14:dxf>
          </x14:cfRule>
          <xm:sqref>W22:AD22</xm:sqref>
        </x14:conditionalFormatting>
        <x14:conditionalFormatting xmlns:xm="http://schemas.microsoft.com/office/excel/2006/main">
          <x14:cfRule type="expression" priority="126" id="{187064A7-3FD9-47B5-A408-5E94D5362800}">
            <xm:f>'% DEDICACIÓN TRABAJADOR'!$J$39=0</xm:f>
            <x14:dxf>
              <font>
                <color theme="9" tint="0.79998168889431442"/>
              </font>
              <fill>
                <patternFill>
                  <bgColor theme="9" tint="0.79998168889431442"/>
                </patternFill>
              </fill>
            </x14:dxf>
          </x14:cfRule>
          <xm:sqref>W23:AD23</xm:sqref>
        </x14:conditionalFormatting>
        <x14:conditionalFormatting xmlns:xm="http://schemas.microsoft.com/office/excel/2006/main">
          <x14:cfRule type="expression" priority="127" id="{77630A9E-34E2-4C98-B29D-7787D9747B6D}">
            <xm:f>'% DEDICACIÓN TRABAJADOR'!$K$39=0</xm:f>
            <x14:dxf>
              <font>
                <color theme="9" tint="0.79998168889431442"/>
              </font>
              <fill>
                <patternFill>
                  <bgColor theme="9" tint="0.79998168889431442"/>
                </patternFill>
              </fill>
            </x14:dxf>
          </x14:cfRule>
          <xm:sqref>W24:AD24</xm:sqref>
        </x14:conditionalFormatting>
        <x14:conditionalFormatting xmlns:xm="http://schemas.microsoft.com/office/excel/2006/main">
          <x14:cfRule type="expression" priority="128" id="{2EDD5CDD-62B0-487C-BFCF-E9B3FF3E9751}">
            <xm:f>'% DEDICACIÓN TRABAJADOR'!$L$39=0</xm:f>
            <x14:dxf>
              <font>
                <color theme="9" tint="0.79998168889431442"/>
              </font>
              <fill>
                <patternFill>
                  <bgColor theme="9" tint="0.79998168889431442"/>
                </patternFill>
              </fill>
            </x14:dxf>
          </x14:cfRule>
          <xm:sqref>W25:AD25</xm:sqref>
        </x14:conditionalFormatting>
        <x14:conditionalFormatting xmlns:xm="http://schemas.microsoft.com/office/excel/2006/main">
          <x14:cfRule type="expression" priority="129" id="{30C0602E-120C-4489-88FC-8715354DD8C6}">
            <xm:f>'% DEDICACIÓN TRABAJADOR'!$M$39=0</xm:f>
            <x14:dxf>
              <font>
                <color theme="9" tint="0.79998168889431442"/>
              </font>
              <fill>
                <patternFill>
                  <bgColor theme="9" tint="0.79998168889431442"/>
                </patternFill>
              </fill>
            </x14:dxf>
          </x14:cfRule>
          <xm:sqref>W26:AD26</xm:sqref>
        </x14:conditionalFormatting>
        <x14:conditionalFormatting xmlns:xm="http://schemas.microsoft.com/office/excel/2006/main">
          <x14:cfRule type="expression" priority="130" id="{BCBB94A1-D2E1-494D-82F8-0360870234EE}">
            <xm:f>'% DEDICACIÓN TRABAJADOR'!$N$39=0</xm:f>
            <x14:dxf>
              <font>
                <color theme="9" tint="0.79998168889431442"/>
              </font>
              <fill>
                <patternFill>
                  <bgColor theme="9" tint="0.79998168889431442"/>
                </patternFill>
              </fill>
            </x14:dxf>
          </x14:cfRule>
          <xm:sqref>W27:AD27</xm:sqref>
        </x14:conditionalFormatting>
        <x14:conditionalFormatting xmlns:xm="http://schemas.microsoft.com/office/excel/2006/main">
          <x14:cfRule type="expression" priority="131" id="{A093181B-30FA-40ED-B004-8B6D8424AB51}">
            <xm:f>'% DEDICACIÓN TRABAJADOR'!$O$39=0</xm:f>
            <x14:dxf>
              <font>
                <color theme="9" tint="0.79998168889431442"/>
              </font>
              <fill>
                <patternFill>
                  <bgColor theme="9" tint="0.79998168889431442"/>
                </patternFill>
              </fill>
            </x14:dxf>
          </x14:cfRule>
          <xm:sqref>W28:AD28</xm:sqref>
        </x14:conditionalFormatting>
        <x14:conditionalFormatting xmlns:xm="http://schemas.microsoft.com/office/excel/2006/main">
          <x14:cfRule type="expression" priority="132" id="{A64A5B5C-53CE-4E3B-8EF4-A1D7F1CDB148}">
            <xm:f>'% DEDICACIÓN TRABAJADOR'!$P$39=0</xm:f>
            <x14:dxf>
              <font>
                <color theme="9" tint="0.79998168889431442"/>
              </font>
              <fill>
                <patternFill>
                  <bgColor theme="9" tint="0.79998168889431442"/>
                </patternFill>
              </fill>
            </x14:dxf>
          </x14:cfRule>
          <xm:sqref>W29:AD29</xm:sqref>
        </x14:conditionalFormatting>
        <x14:conditionalFormatting xmlns:xm="http://schemas.microsoft.com/office/excel/2006/main">
          <x14:cfRule type="expression" priority="133" id="{60AA05FC-CE6B-4E0C-8C6E-8A7D3FCBF7B5}">
            <xm:f>'% DEDICACIÓN TRABAJADOR'!$Q$39=0</xm:f>
            <x14:dxf>
              <font>
                <color theme="9" tint="0.79998168889431442"/>
              </font>
              <fill>
                <patternFill>
                  <bgColor theme="9" tint="0.79998168889431442"/>
                </patternFill>
              </fill>
            </x14:dxf>
          </x14:cfRule>
          <xm:sqref>W30:AD30</xm:sqref>
        </x14:conditionalFormatting>
        <x14:conditionalFormatting xmlns:xm="http://schemas.microsoft.com/office/excel/2006/main">
          <x14:cfRule type="expression" priority="135" id="{E362B497-02DD-4D82-9E8F-C1A54D27EF0E}">
            <xm:f>'% DEDICACIÓN TRABAJADOR'!$R$39=0</xm:f>
            <x14:dxf>
              <font>
                <color theme="9" tint="0.79998168889431442"/>
              </font>
              <fill>
                <patternFill>
                  <bgColor theme="9" tint="0.79998168889431442"/>
                </patternFill>
              </fill>
            </x14:dxf>
          </x14:cfRule>
          <xm:sqref>W31:AD31</xm:sqref>
        </x14:conditionalFormatting>
        <x14:conditionalFormatting xmlns:xm="http://schemas.microsoft.com/office/excel/2006/main">
          <x14:cfRule type="expression" priority="1" stopIfTrue="1" id="{ABC712EC-3A97-4262-8CD0-3C56C77448A7}">
            <xm:f>OR(USUARIO!$C$2="",AUXILIAR!$W$6&lt;&gt;USUARIO!$C$2)</xm:f>
            <x14:dxf>
              <font>
                <color theme="0"/>
              </font>
              <fill>
                <patternFill>
                  <bgColor theme="0"/>
                </patternFill>
              </fill>
              <border>
                <left/>
                <right/>
                <top/>
                <bottom/>
                <vertical/>
                <horizontal/>
              </border>
            </x14:dxf>
          </x14:cfRule>
          <xm:sqref>AL1:CY9 AL10:AN10 AQ10:CY10 AL11:CY1048576</xm:sqref>
        </x14:conditionalFormatting>
        <x14:conditionalFormatting xmlns:xm="http://schemas.microsoft.com/office/excel/2006/main">
          <x14:cfRule type="expression" priority="3" id="{C1E3B3CD-91BF-4F38-B76A-144BE30A90AC}">
            <xm:f>'% DEDICACIÓN TRABAJADOR'!$G$39=0</xm:f>
            <x14:dxf>
              <font>
                <color theme="9" tint="0.79998168889431442"/>
              </font>
              <fill>
                <patternFill>
                  <bgColor theme="9" tint="0.79998168889431442"/>
                </patternFill>
              </fill>
            </x14:dxf>
          </x14:cfRule>
          <xm:sqref>AR20:BN20 BP20:CH20 AO52:AR52 AU52:BA52 E20:M20 O20:U20 D52:I52</xm:sqref>
        </x14:conditionalFormatting>
        <x14:conditionalFormatting xmlns:xm="http://schemas.microsoft.com/office/excel/2006/main">
          <x14:cfRule type="expression" priority="4" id="{DEF6B80A-19D2-474A-AA10-67F3E593986E}">
            <xm:f>'% DEDICACIÓN TRABAJADOR'!$H$39=0</xm:f>
            <x14:dxf>
              <font>
                <color theme="9" tint="0.79998168889431442"/>
              </font>
              <fill>
                <patternFill>
                  <bgColor theme="9" tint="0.79998168889431442"/>
                </patternFill>
              </fill>
            </x14:dxf>
          </x14:cfRule>
          <xm:sqref>AR21:BN21 BP21:CH21 AO53:AR53 AU53:BA53 E21:M21 O21:U21 D53:I53</xm:sqref>
        </x14:conditionalFormatting>
        <x14:conditionalFormatting xmlns:xm="http://schemas.microsoft.com/office/excel/2006/main">
          <x14:cfRule type="expression" priority="5" id="{EF62A091-9CF5-408B-9BDE-C75C8C19B612}">
            <xm:f>'% DEDICACIÓN TRABAJADOR'!$I$39=0</xm:f>
            <x14:dxf>
              <font>
                <color theme="9" tint="0.79998168889431442"/>
              </font>
              <fill>
                <patternFill>
                  <bgColor theme="9" tint="0.79998168889431442"/>
                </patternFill>
              </fill>
            </x14:dxf>
          </x14:cfRule>
          <xm:sqref>AR22:BN22 BP22:CH22 AO54:AR54 AU54:BA54 E22:M22 O22:U22 D54:I54</xm:sqref>
        </x14:conditionalFormatting>
        <x14:conditionalFormatting xmlns:xm="http://schemas.microsoft.com/office/excel/2006/main">
          <x14:cfRule type="expression" priority="6" id="{E2BEEF3F-863A-4BAA-BCD8-FCF5F04DDAB4}">
            <xm:f>'% DEDICACIÓN TRABAJADOR'!$J$39=0</xm:f>
            <x14:dxf>
              <font>
                <color theme="9" tint="0.79998168889431442"/>
              </font>
              <fill>
                <patternFill>
                  <bgColor theme="9" tint="0.79998168889431442"/>
                </patternFill>
              </fill>
            </x14:dxf>
          </x14:cfRule>
          <xm:sqref>AR23:BN23 BP23:CH23 AO55:AR55 AU55:BA55 E23:M23 O23:U23 D55:I55</xm:sqref>
        </x14:conditionalFormatting>
        <x14:conditionalFormatting xmlns:xm="http://schemas.microsoft.com/office/excel/2006/main">
          <x14:cfRule type="expression" priority="7" id="{AA4079D4-B73D-4E9D-A349-D021849D065B}">
            <xm:f>'% DEDICACIÓN TRABAJADOR'!$K$39=0</xm:f>
            <x14:dxf>
              <font>
                <color theme="9" tint="0.79998168889431442"/>
              </font>
              <fill>
                <patternFill>
                  <bgColor theme="9" tint="0.79998168889431442"/>
                </patternFill>
              </fill>
            </x14:dxf>
          </x14:cfRule>
          <xm:sqref>AR24:BN24 BP24:CH24 AO56:AR56 AU56:BA56 E24:M24 O24:U24 D56:I56</xm:sqref>
        </x14:conditionalFormatting>
        <x14:conditionalFormatting xmlns:xm="http://schemas.microsoft.com/office/excel/2006/main">
          <x14:cfRule type="expression" priority="8" id="{50709FD6-6192-4AF8-B204-863415EF904A}">
            <xm:f>'% DEDICACIÓN TRABAJADOR'!$L$39=0</xm:f>
            <x14:dxf>
              <font>
                <color theme="9" tint="0.79998168889431442"/>
              </font>
              <fill>
                <patternFill>
                  <bgColor theme="9" tint="0.79998168889431442"/>
                </patternFill>
              </fill>
            </x14:dxf>
          </x14:cfRule>
          <xm:sqref>AR25:BN25 BP25:CH25 AO57:AR57 AU57:BA57 E25:M25 O25:U25 D57:I57</xm:sqref>
        </x14:conditionalFormatting>
        <x14:conditionalFormatting xmlns:xm="http://schemas.microsoft.com/office/excel/2006/main">
          <x14:cfRule type="expression" priority="9" id="{F7F1182C-ADCF-4D9D-9EEA-A6171787B3A7}">
            <xm:f>'% DEDICACIÓN TRABAJADOR'!$M$39=0</xm:f>
            <x14:dxf>
              <font>
                <color theme="9" tint="0.79998168889431442"/>
              </font>
              <fill>
                <patternFill>
                  <bgColor theme="9" tint="0.79998168889431442"/>
                </patternFill>
              </fill>
            </x14:dxf>
          </x14:cfRule>
          <xm:sqref>AR26:BN26 BP26:CH26 AO58:AR58 AU58:BA58 E26:M26 O26:U26 D58:I58</xm:sqref>
        </x14:conditionalFormatting>
        <x14:conditionalFormatting xmlns:xm="http://schemas.microsoft.com/office/excel/2006/main">
          <x14:cfRule type="expression" priority="10" id="{03AF8590-DB4A-4FF1-BB20-73A81D95C298}">
            <xm:f>'% DEDICACIÓN TRABAJADOR'!$N$39=0</xm:f>
            <x14:dxf>
              <font>
                <color theme="9" tint="0.79998168889431442"/>
              </font>
              <fill>
                <patternFill>
                  <bgColor theme="9" tint="0.79998168889431442"/>
                </patternFill>
              </fill>
            </x14:dxf>
          </x14:cfRule>
          <xm:sqref>AR27:BN27 BP27:CH27 AO59:AR59 AU59:BA59 E27:M27 O27:U27 D59:I59</xm:sqref>
        </x14:conditionalFormatting>
        <x14:conditionalFormatting xmlns:xm="http://schemas.microsoft.com/office/excel/2006/main">
          <x14:cfRule type="expression" priority="11" id="{90B7EA77-1FA8-4E6C-820A-C598F01F2535}">
            <xm:f>'% DEDICACIÓN TRABAJADOR'!$O$39=0</xm:f>
            <x14:dxf>
              <font>
                <color theme="9" tint="0.79998168889431442"/>
              </font>
              <fill>
                <patternFill>
                  <bgColor theme="9" tint="0.79998168889431442"/>
                </patternFill>
              </fill>
            </x14:dxf>
          </x14:cfRule>
          <xm:sqref>AR28:BN28 BP28:CH28 AO60:AR60 AU60:BA60 E28:M28 O28:U28 D60:I60</xm:sqref>
        </x14:conditionalFormatting>
        <x14:conditionalFormatting xmlns:xm="http://schemas.microsoft.com/office/excel/2006/main">
          <x14:cfRule type="expression" priority="12" id="{297E7227-324D-4D1A-BC1D-FD84839298C9}">
            <xm:f>'% DEDICACIÓN TRABAJADOR'!$P$39=0</xm:f>
            <x14:dxf>
              <font>
                <color theme="9" tint="0.79998168889431442"/>
              </font>
              <fill>
                <patternFill>
                  <bgColor theme="9" tint="0.79998168889431442"/>
                </patternFill>
              </fill>
            </x14:dxf>
          </x14:cfRule>
          <xm:sqref>AR29:BN29 BP29:CH29 AO61:AR61 AU61:BA61 E29:M29 O29:U29 D61:I61</xm:sqref>
        </x14:conditionalFormatting>
        <x14:conditionalFormatting xmlns:xm="http://schemas.microsoft.com/office/excel/2006/main">
          <x14:cfRule type="expression" priority="13" id="{9D4C7E44-A750-4432-8098-9104F39E636C}">
            <xm:f>'% DEDICACIÓN TRABAJADOR'!$Q$39=0</xm:f>
            <x14:dxf>
              <font>
                <color theme="9" tint="0.79998168889431442"/>
              </font>
              <fill>
                <patternFill>
                  <bgColor theme="9" tint="0.79998168889431442"/>
                </patternFill>
              </fill>
            </x14:dxf>
          </x14:cfRule>
          <xm:sqref>AR30:BN30 BP30:CH30 AO62:AR62 AU62:BA62 E30:M30 O30:U30 D62:I62</xm:sqref>
        </x14:conditionalFormatting>
        <x14:conditionalFormatting xmlns:xm="http://schemas.microsoft.com/office/excel/2006/main">
          <x14:cfRule type="expression" priority="14" id="{FA3492AE-727C-435A-AECB-3A03C5A03AB4}">
            <xm:f>'% DEDICACIÓN TRABAJADOR'!$R$39=0</xm:f>
            <x14:dxf>
              <font>
                <color theme="9" tint="0.79998168889431442"/>
              </font>
              <fill>
                <patternFill>
                  <bgColor theme="9" tint="0.79998168889431442"/>
                </patternFill>
              </fill>
            </x14:dxf>
          </x14:cfRule>
          <xm:sqref>AR31:BN31 BP31:CH31 AO63:AR63 AU63:BA63 E31:M31 O31:U31 D63:I63</xm:sqref>
        </x14:conditionalFormatting>
        <x14:conditionalFormatting xmlns:xm="http://schemas.microsoft.com/office/excel/2006/main">
          <x14:cfRule type="expression" priority="150" id="{0BB4EEDC-9FB5-4E2C-968F-45C8B43ADE79}">
            <xm:f>'% DEDICACIÓN TRABAJADOR'!$G$39=0</xm:f>
            <x14:dxf>
              <font>
                <color theme="9" tint="0.79998168889431442"/>
              </font>
              <fill>
                <patternFill>
                  <bgColor theme="9" tint="0.79998168889431442"/>
                </patternFill>
              </fill>
            </x14:dxf>
          </x14:cfRule>
          <xm:sqref>BD52:BF52</xm:sqref>
        </x14:conditionalFormatting>
        <x14:conditionalFormatting xmlns:xm="http://schemas.microsoft.com/office/excel/2006/main">
          <x14:cfRule type="expression" priority="151" id="{66D6F257-5424-462E-B2BB-C5786DD2C68C}">
            <xm:f>'% DEDICACIÓN TRABAJADOR'!$H$39=0</xm:f>
            <x14:dxf>
              <font>
                <color theme="9" tint="0.79998168889431442"/>
              </font>
              <fill>
                <patternFill>
                  <bgColor theme="9" tint="0.79998168889431442"/>
                </patternFill>
              </fill>
            </x14:dxf>
          </x14:cfRule>
          <xm:sqref>BD53:BF53</xm:sqref>
        </x14:conditionalFormatting>
        <x14:conditionalFormatting xmlns:xm="http://schemas.microsoft.com/office/excel/2006/main">
          <x14:cfRule type="expression" priority="159" id="{E6DB2337-6DD8-4EA3-A638-ED88320B608C}">
            <xm:f>'% DEDICACIÓN TRABAJADOR'!$I$39=0</xm:f>
            <x14:dxf>
              <font>
                <color theme="9" tint="0.79998168889431442"/>
              </font>
              <fill>
                <patternFill>
                  <bgColor theme="9" tint="0.79998168889431442"/>
                </patternFill>
              </fill>
            </x14:dxf>
          </x14:cfRule>
          <xm:sqref>BD54:BF54</xm:sqref>
        </x14:conditionalFormatting>
        <x14:conditionalFormatting xmlns:xm="http://schemas.microsoft.com/office/excel/2006/main">
          <x14:cfRule type="expression" priority="160" id="{76BBDFC0-0497-461B-B152-43FEC18E461B}">
            <xm:f>'% DEDICACIÓN TRABAJADOR'!$J$39=0</xm:f>
            <x14:dxf>
              <font>
                <color theme="9" tint="0.79998168889431442"/>
              </font>
              <fill>
                <patternFill>
                  <bgColor theme="9" tint="0.79998168889431442"/>
                </patternFill>
              </fill>
            </x14:dxf>
          </x14:cfRule>
          <xm:sqref>BD55:BF55</xm:sqref>
        </x14:conditionalFormatting>
        <x14:conditionalFormatting xmlns:xm="http://schemas.microsoft.com/office/excel/2006/main">
          <x14:cfRule type="expression" priority="167" id="{260A43ED-8377-4FA8-A79B-1E6C2DFE2D13}">
            <xm:f>'% DEDICACIÓN TRABAJADOR'!$K$39=0</xm:f>
            <x14:dxf>
              <font>
                <color theme="9" tint="0.79998168889431442"/>
              </font>
              <fill>
                <patternFill>
                  <bgColor theme="9" tint="0.79998168889431442"/>
                </patternFill>
              </fill>
            </x14:dxf>
          </x14:cfRule>
          <xm:sqref>BD56:BF56</xm:sqref>
        </x14:conditionalFormatting>
        <x14:conditionalFormatting xmlns:xm="http://schemas.microsoft.com/office/excel/2006/main">
          <x14:cfRule type="expression" priority="168" id="{796F77FF-1EDA-431D-A900-7503BE70F4A2}">
            <xm:f>'% DEDICACIÓN TRABAJADOR'!$L$39=0</xm:f>
            <x14:dxf>
              <font>
                <color theme="9" tint="0.79998168889431442"/>
              </font>
              <fill>
                <patternFill>
                  <bgColor theme="9" tint="0.79998168889431442"/>
                </patternFill>
              </fill>
            </x14:dxf>
          </x14:cfRule>
          <xm:sqref>BD57:BF57</xm:sqref>
        </x14:conditionalFormatting>
        <x14:conditionalFormatting xmlns:xm="http://schemas.microsoft.com/office/excel/2006/main">
          <x14:cfRule type="expression" priority="169" id="{5CEB4E8C-0B46-4FC2-8C76-15C3D925AC7F}">
            <xm:f>'% DEDICACIÓN TRABAJADOR'!$M$39=0</xm:f>
            <x14:dxf>
              <font>
                <color theme="9" tint="0.79998168889431442"/>
              </font>
              <fill>
                <patternFill>
                  <bgColor theme="9" tint="0.79998168889431442"/>
                </patternFill>
              </fill>
            </x14:dxf>
          </x14:cfRule>
          <xm:sqref>BD58:BF58</xm:sqref>
        </x14:conditionalFormatting>
        <x14:conditionalFormatting xmlns:xm="http://schemas.microsoft.com/office/excel/2006/main">
          <x14:cfRule type="expression" priority="170" id="{8463C8ED-DB93-4547-B184-68E2E0F26C9B}">
            <xm:f>'% DEDICACIÓN TRABAJADOR'!$N$39=0</xm:f>
            <x14:dxf>
              <font>
                <color theme="9" tint="0.79998168889431442"/>
              </font>
              <fill>
                <patternFill>
                  <bgColor theme="9" tint="0.79998168889431442"/>
                </patternFill>
              </fill>
            </x14:dxf>
          </x14:cfRule>
          <xm:sqref>BD59:BF59</xm:sqref>
        </x14:conditionalFormatting>
        <x14:conditionalFormatting xmlns:xm="http://schemas.microsoft.com/office/excel/2006/main">
          <x14:cfRule type="expression" priority="171" id="{E3F6F1C5-830C-400A-A4DF-86513B8CB85C}">
            <xm:f>'% DEDICACIÓN TRABAJADOR'!$O$39=0</xm:f>
            <x14:dxf>
              <font>
                <color theme="9" tint="0.79998168889431442"/>
              </font>
              <fill>
                <patternFill>
                  <bgColor theme="9" tint="0.79998168889431442"/>
                </patternFill>
              </fill>
            </x14:dxf>
          </x14:cfRule>
          <xm:sqref>BD60:BF60</xm:sqref>
        </x14:conditionalFormatting>
        <x14:conditionalFormatting xmlns:xm="http://schemas.microsoft.com/office/excel/2006/main">
          <x14:cfRule type="expression" priority="172" id="{7081B088-D077-40C5-B735-EF57A844A466}">
            <xm:f>'% DEDICACIÓN TRABAJADOR'!$P$39=0</xm:f>
            <x14:dxf>
              <font>
                <color theme="9" tint="0.79998168889431442"/>
              </font>
              <fill>
                <patternFill>
                  <bgColor theme="9" tint="0.79998168889431442"/>
                </patternFill>
              </fill>
            </x14:dxf>
          </x14:cfRule>
          <xm:sqref>BD61:BF61</xm:sqref>
        </x14:conditionalFormatting>
        <x14:conditionalFormatting xmlns:xm="http://schemas.microsoft.com/office/excel/2006/main">
          <x14:cfRule type="expression" priority="173" id="{42A5FD15-38C3-42F7-AD21-D34BACF88945}">
            <xm:f>'% DEDICACIÓN TRABAJADOR'!$Q$39=0</xm:f>
            <x14:dxf>
              <font>
                <color theme="9" tint="0.79998168889431442"/>
              </font>
              <fill>
                <patternFill>
                  <bgColor theme="9" tint="0.79998168889431442"/>
                </patternFill>
              </fill>
            </x14:dxf>
          </x14:cfRule>
          <xm:sqref>BD62:BF62</xm:sqref>
        </x14:conditionalFormatting>
        <x14:conditionalFormatting xmlns:xm="http://schemas.microsoft.com/office/excel/2006/main">
          <x14:cfRule type="expression" priority="174" id="{0C1123B5-C7AE-4309-9FE6-F388F89F24E5}">
            <xm:f>'% DEDICACIÓN TRABAJADOR'!$R$39=0</xm:f>
            <x14:dxf>
              <font>
                <color theme="9" tint="0.79998168889431442"/>
              </font>
              <fill>
                <patternFill>
                  <bgColor theme="9" tint="0.79998168889431442"/>
                </patternFill>
              </fill>
            </x14:dxf>
          </x14:cfRule>
          <xm:sqref>BD63:BF63</xm:sqref>
        </x14:conditionalFormatting>
        <x14:conditionalFormatting xmlns:xm="http://schemas.microsoft.com/office/excel/2006/main">
          <x14:cfRule type="expression" priority="138" id="{672DE2B6-A1C3-4924-A236-5C32AE12EA6F}">
            <xm:f>'% DEDICACIÓN TRABAJADOR'!$G$39=0</xm:f>
            <x14:dxf>
              <font>
                <color theme="9" tint="0.79998168889431442"/>
              </font>
              <fill>
                <patternFill>
                  <bgColor theme="9" tint="0.79998168889431442"/>
                </patternFill>
              </fill>
            </x14:dxf>
          </x14:cfRule>
          <xm:sqref>CJ20:CW20</xm:sqref>
        </x14:conditionalFormatting>
        <x14:conditionalFormatting xmlns:xm="http://schemas.microsoft.com/office/excel/2006/main">
          <x14:cfRule type="expression" priority="139" id="{7E1CD19D-E924-4EC6-9408-9E17D8A7D8B1}">
            <xm:f>'% DEDICACIÓN TRABAJADOR'!$H$39=0</xm:f>
            <x14:dxf>
              <font>
                <color theme="9" tint="0.79998168889431442"/>
              </font>
              <fill>
                <patternFill>
                  <bgColor theme="9" tint="0.79998168889431442"/>
                </patternFill>
              </fill>
            </x14:dxf>
          </x14:cfRule>
          <xm:sqref>CJ21:CW21</xm:sqref>
        </x14:conditionalFormatting>
        <x14:conditionalFormatting xmlns:xm="http://schemas.microsoft.com/office/excel/2006/main">
          <x14:cfRule type="expression" priority="140" id="{8AA8AC62-1BA0-451B-AC20-A2DBB848526D}">
            <xm:f>'% DEDICACIÓN TRABAJADOR'!$I$39=0</xm:f>
            <x14:dxf>
              <font>
                <color theme="9" tint="0.79998168889431442"/>
              </font>
              <fill>
                <patternFill>
                  <bgColor theme="9" tint="0.79998168889431442"/>
                </patternFill>
              </fill>
            </x14:dxf>
          </x14:cfRule>
          <xm:sqref>CJ22:CW22</xm:sqref>
        </x14:conditionalFormatting>
        <x14:conditionalFormatting xmlns:xm="http://schemas.microsoft.com/office/excel/2006/main">
          <x14:cfRule type="expression" priority="141" id="{16BB83DD-98E1-4E53-B956-66F284D1EC8C}">
            <xm:f>'% DEDICACIÓN TRABAJADOR'!$J$39=0</xm:f>
            <x14:dxf>
              <font>
                <color theme="9" tint="0.79998168889431442"/>
              </font>
              <fill>
                <patternFill>
                  <bgColor theme="9" tint="0.79998168889431442"/>
                </patternFill>
              </fill>
            </x14:dxf>
          </x14:cfRule>
          <xm:sqref>CJ23:CW23</xm:sqref>
        </x14:conditionalFormatting>
        <x14:conditionalFormatting xmlns:xm="http://schemas.microsoft.com/office/excel/2006/main">
          <x14:cfRule type="expression" priority="142" id="{0E30D822-5597-4BC5-BF25-3970738EF180}">
            <xm:f>'% DEDICACIÓN TRABAJADOR'!$K$39=0</xm:f>
            <x14:dxf>
              <font>
                <color theme="9" tint="0.79998168889431442"/>
              </font>
              <fill>
                <patternFill>
                  <bgColor theme="9" tint="0.79998168889431442"/>
                </patternFill>
              </fill>
            </x14:dxf>
          </x14:cfRule>
          <xm:sqref>CJ24:CW24</xm:sqref>
        </x14:conditionalFormatting>
        <x14:conditionalFormatting xmlns:xm="http://schemas.microsoft.com/office/excel/2006/main">
          <x14:cfRule type="expression" priority="143" id="{99EE09F4-17A4-441C-8783-FEB7232374D6}">
            <xm:f>'% DEDICACIÓN TRABAJADOR'!$L$39=0</xm:f>
            <x14:dxf>
              <font>
                <color theme="9" tint="0.79998168889431442"/>
              </font>
              <fill>
                <patternFill>
                  <bgColor theme="9" tint="0.79998168889431442"/>
                </patternFill>
              </fill>
            </x14:dxf>
          </x14:cfRule>
          <xm:sqref>CJ25:CW25</xm:sqref>
        </x14:conditionalFormatting>
        <x14:conditionalFormatting xmlns:xm="http://schemas.microsoft.com/office/excel/2006/main">
          <x14:cfRule type="expression" priority="144" id="{C55DE865-6D6A-425E-99C0-315429F6F9DD}">
            <xm:f>'% DEDICACIÓN TRABAJADOR'!$M$39=0</xm:f>
            <x14:dxf>
              <font>
                <color theme="9" tint="0.79998168889431442"/>
              </font>
              <fill>
                <patternFill>
                  <bgColor theme="9" tint="0.79998168889431442"/>
                </patternFill>
              </fill>
            </x14:dxf>
          </x14:cfRule>
          <xm:sqref>CJ26:CW26</xm:sqref>
        </x14:conditionalFormatting>
        <x14:conditionalFormatting xmlns:xm="http://schemas.microsoft.com/office/excel/2006/main">
          <x14:cfRule type="expression" priority="145" id="{46AD76E0-1EA7-44B5-AB53-F1E7BEB61FD8}">
            <xm:f>'% DEDICACIÓN TRABAJADOR'!$N$39=0</xm:f>
            <x14:dxf>
              <font>
                <color theme="9" tint="0.79998168889431442"/>
              </font>
              <fill>
                <patternFill>
                  <bgColor theme="9" tint="0.79998168889431442"/>
                </patternFill>
              </fill>
            </x14:dxf>
          </x14:cfRule>
          <xm:sqref>CJ27:CW27</xm:sqref>
        </x14:conditionalFormatting>
        <x14:conditionalFormatting xmlns:xm="http://schemas.microsoft.com/office/excel/2006/main">
          <x14:cfRule type="expression" priority="146" id="{1A431C95-77D1-4A86-BA26-3EA2624F952B}">
            <xm:f>'% DEDICACIÓN TRABAJADOR'!$O$39=0</xm:f>
            <x14:dxf>
              <font>
                <color theme="9" tint="0.79998168889431442"/>
              </font>
              <fill>
                <patternFill>
                  <bgColor theme="9" tint="0.79998168889431442"/>
                </patternFill>
              </fill>
            </x14:dxf>
          </x14:cfRule>
          <xm:sqref>CJ28:CW28</xm:sqref>
        </x14:conditionalFormatting>
        <x14:conditionalFormatting xmlns:xm="http://schemas.microsoft.com/office/excel/2006/main">
          <x14:cfRule type="expression" priority="147" id="{9EE03EBD-FD98-4B3E-B97F-73D16F3D53EC}">
            <xm:f>'% DEDICACIÓN TRABAJADOR'!$P$39=0</xm:f>
            <x14:dxf>
              <font>
                <color theme="9" tint="0.79998168889431442"/>
              </font>
              <fill>
                <patternFill>
                  <bgColor theme="9" tint="0.79998168889431442"/>
                </patternFill>
              </fill>
            </x14:dxf>
          </x14:cfRule>
          <xm:sqref>CJ29:CW29</xm:sqref>
        </x14:conditionalFormatting>
        <x14:conditionalFormatting xmlns:xm="http://schemas.microsoft.com/office/excel/2006/main">
          <x14:cfRule type="expression" priority="148" id="{633B4FB8-0F80-4406-898D-C51272F1362E}">
            <xm:f>'% DEDICACIÓN TRABAJADOR'!$Q$39=0</xm:f>
            <x14:dxf>
              <font>
                <color theme="9" tint="0.79998168889431442"/>
              </font>
              <fill>
                <patternFill>
                  <bgColor theme="9" tint="0.79998168889431442"/>
                </patternFill>
              </fill>
            </x14:dxf>
          </x14:cfRule>
          <xm:sqref>CJ30:CW30</xm:sqref>
        </x14:conditionalFormatting>
        <x14:conditionalFormatting xmlns:xm="http://schemas.microsoft.com/office/excel/2006/main">
          <x14:cfRule type="expression" priority="149" id="{0C6011C6-E49F-48E7-8684-2581D728E091}">
            <xm:f>'% DEDICACIÓN TRABAJADOR'!$R$39=0</xm:f>
            <x14:dxf>
              <font>
                <color theme="9" tint="0.79998168889431442"/>
              </font>
              <fill>
                <patternFill>
                  <bgColor theme="9" tint="0.79998168889431442"/>
                </patternFill>
              </fill>
            </x14:dxf>
          </x14:cfRule>
          <xm:sqref>CJ31:CW31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1A93A-3BD7-4B66-AE8C-F60EE2511C61}">
  <sheetPr>
    <tabColor rgb="FF0592CB"/>
    <outlinePr summaryRight="0"/>
  </sheetPr>
  <dimension ref="A1:DX65"/>
  <sheetViews>
    <sheetView showGridLines="0" zoomScale="70" zoomScaleNormal="70" workbookViewId="0">
      <selection activeCell="F9" sqref="F9"/>
    </sheetView>
  </sheetViews>
  <sheetFormatPr baseColWidth="10" defaultColWidth="11.42578125" defaultRowHeight="15" outlineLevelCol="1" x14ac:dyDescent="0.25"/>
  <cols>
    <col min="1" max="2" width="5.5703125" style="47" customWidth="1"/>
    <col min="3" max="3" width="13.7109375" style="47" customWidth="1"/>
    <col min="4" max="5" width="10.5703125" style="47" customWidth="1"/>
    <col min="6" max="6" width="9.5703125" style="47" customWidth="1"/>
    <col min="7" max="12" width="11.5703125" style="47" customWidth="1"/>
    <col min="13" max="13" width="15.5703125" style="47" customWidth="1"/>
    <col min="14" max="14" width="1.5703125" style="47" customWidth="1"/>
    <col min="15" max="20" width="11.5703125" style="47" customWidth="1"/>
    <col min="21" max="21" width="12.7109375" style="47" customWidth="1"/>
    <col min="22" max="22" width="1.5703125" style="47" customWidth="1"/>
    <col min="23" max="27" width="12.5703125" style="47" customWidth="1"/>
    <col min="28" max="30" width="13.5703125" style="47" customWidth="1"/>
    <col min="31" max="31" width="40.7109375" style="47" customWidth="1"/>
    <col min="32" max="32" width="1.5703125" style="47" customWidth="1"/>
    <col min="33" max="34" width="5.7109375" style="53" hidden="1" customWidth="1"/>
    <col min="35" max="36" width="8.7109375" style="53" hidden="1" customWidth="1"/>
    <col min="37" max="37" width="8.7109375" style="53" hidden="1" customWidth="1" collapsed="1"/>
    <col min="38" max="38" width="5.7109375" style="47" hidden="1" customWidth="1" outlineLevel="1"/>
    <col min="39" max="39" width="5.5703125" style="82" hidden="1" customWidth="1" outlineLevel="1"/>
    <col min="40" max="40" width="13.7109375" style="82" hidden="1" customWidth="1" outlineLevel="1"/>
    <col min="41" max="46" width="9.7109375" style="82" hidden="1" customWidth="1" outlineLevel="1"/>
    <col min="47" max="49" width="9.5703125" style="82" hidden="1" customWidth="1" outlineLevel="1"/>
    <col min="50" max="66" width="9.7109375" style="82" hidden="1" customWidth="1" outlineLevel="1"/>
    <col min="67" max="67" width="1.5703125" style="82" hidden="1" customWidth="1" outlineLevel="1"/>
    <col min="68" max="86" width="9.7109375" style="82" hidden="1" customWidth="1" outlineLevel="1"/>
    <col min="87" max="87" width="1.5703125" style="82" hidden="1" customWidth="1" outlineLevel="1"/>
    <col min="88" max="88" width="11.28515625" style="82" hidden="1" customWidth="1" outlineLevel="1"/>
    <col min="89" max="101" width="9.7109375" style="82" hidden="1" customWidth="1" outlineLevel="1"/>
    <col min="102" max="102" width="5.7109375" style="82" hidden="1" customWidth="1" outlineLevel="1"/>
    <col min="103" max="103" width="90.7109375" style="82" hidden="1" customWidth="1" outlineLevel="1"/>
    <col min="104" max="104" width="5.5703125" style="47" customWidth="1"/>
    <col min="105" max="106" width="5.7109375" style="53" hidden="1" customWidth="1"/>
    <col min="107" max="107" width="5.7109375" style="47" hidden="1" customWidth="1"/>
    <col min="108" max="125" width="5.7109375" style="53" hidden="1" customWidth="1"/>
    <col min="126" max="126" width="5.7109375" style="47" hidden="1" customWidth="1"/>
    <col min="127" max="128" width="0" style="47" hidden="1" customWidth="1"/>
    <col min="129" max="16384" width="11.42578125" style="47"/>
  </cols>
  <sheetData>
    <row r="1" spans="1:128" ht="15" customHeight="1" x14ac:dyDescent="0.25">
      <c r="A1" s="298"/>
    </row>
    <row r="2" spans="1:128" ht="18" customHeight="1" x14ac:dyDescent="0.25">
      <c r="F2" s="287"/>
      <c r="G2" s="288"/>
      <c r="I2" s="289"/>
      <c r="AU2" s="290"/>
      <c r="AV2" s="290"/>
      <c r="AW2" s="290"/>
      <c r="AX2" s="291"/>
      <c r="AY2" s="291"/>
      <c r="AZ2" s="291"/>
      <c r="BD2" s="292"/>
      <c r="BE2" s="292"/>
      <c r="BF2" s="292"/>
    </row>
    <row r="3" spans="1:128" ht="18" customHeight="1" x14ac:dyDescent="0.25">
      <c r="AR3" s="47"/>
      <c r="AS3" s="291"/>
      <c r="AT3" s="291"/>
    </row>
    <row r="4" spans="1:128" ht="18" customHeight="1" x14ac:dyDescent="0.25">
      <c r="E4" s="105" t="str">
        <f>'IDENTIFICACIÓN TRABAJADOR'!F5</f>
        <v/>
      </c>
      <c r="F4" s="52"/>
      <c r="G4" s="125"/>
      <c r="AR4" s="366" t="str">
        <f>'IDENTIFICACIÓN TRABAJADOR'!$F$5</f>
        <v/>
      </c>
      <c r="AS4" s="131"/>
      <c r="AT4" s="131"/>
      <c r="AU4" s="131"/>
      <c r="AV4" s="293"/>
      <c r="AW4" s="293"/>
      <c r="AX4" s="84"/>
      <c r="AY4" s="84"/>
      <c r="AZ4" s="84"/>
    </row>
    <row r="5" spans="1:128" ht="18" customHeight="1" x14ac:dyDescent="0.25">
      <c r="F5" s="52"/>
      <c r="G5" s="52"/>
      <c r="H5" s="52"/>
      <c r="I5" s="52"/>
      <c r="J5" s="52"/>
      <c r="K5" s="52"/>
      <c r="L5" s="52"/>
      <c r="M5" s="52"/>
      <c r="N5" s="52"/>
      <c r="O5" s="52"/>
      <c r="P5" s="52"/>
      <c r="Q5" s="52"/>
      <c r="R5" s="52"/>
      <c r="S5" s="52"/>
      <c r="T5" s="52"/>
      <c r="AR5" s="47"/>
      <c r="AS5" s="294"/>
      <c r="AT5" s="294"/>
      <c r="AU5" s="131"/>
      <c r="AV5" s="131"/>
      <c r="AW5" s="131"/>
      <c r="AX5" s="131"/>
      <c r="AY5" s="131"/>
      <c r="AZ5" s="131"/>
      <c r="BA5" s="131"/>
      <c r="BB5" s="131"/>
      <c r="BC5" s="131"/>
      <c r="BD5" s="131"/>
      <c r="BE5" s="131"/>
      <c r="BF5" s="131"/>
      <c r="BG5" s="131"/>
      <c r="BH5" s="131"/>
      <c r="BI5" s="131"/>
      <c r="BM5" s="131"/>
      <c r="BN5" s="131"/>
      <c r="BO5" s="131"/>
      <c r="BP5" s="131"/>
      <c r="BQ5" s="131"/>
      <c r="BR5" s="131"/>
      <c r="BS5" s="131"/>
      <c r="BT5" s="131"/>
      <c r="BU5" s="131"/>
      <c r="BV5" s="131"/>
      <c r="BW5" s="131"/>
      <c r="BX5" s="131"/>
      <c r="BY5" s="131"/>
      <c r="BZ5" s="131"/>
      <c r="CA5" s="131"/>
      <c r="CB5" s="131"/>
      <c r="CC5" s="131"/>
      <c r="CD5" s="131"/>
      <c r="CE5" s="131"/>
    </row>
    <row r="6" spans="1:128" ht="18" customHeight="1" x14ac:dyDescent="0.25">
      <c r="E6" s="295" t="str">
        <f>'% DEDICACIÓN TRABAJADOR'!F7</f>
        <v>TRABAJADOR:</v>
      </c>
      <c r="F6" s="52"/>
      <c r="G6" s="52"/>
      <c r="H6" s="52"/>
      <c r="I6" s="52"/>
      <c r="J6" s="52"/>
      <c r="K6" s="52"/>
      <c r="L6" s="52"/>
      <c r="M6" s="52"/>
      <c r="N6" s="52"/>
      <c r="O6" s="52"/>
      <c r="P6" s="52"/>
      <c r="Q6" s="52"/>
      <c r="R6" s="52"/>
      <c r="S6" s="52"/>
      <c r="T6" s="52"/>
      <c r="AR6" s="126" t="str">
        <f>'% DEDICACIÓN TRABAJADOR'!$F$7</f>
        <v>TRABAJADOR:</v>
      </c>
      <c r="AS6" s="294"/>
      <c r="AT6" s="294"/>
      <c r="AU6" s="131"/>
      <c r="AV6" s="131"/>
      <c r="AW6" s="131"/>
      <c r="AX6" s="131"/>
      <c r="AY6" s="131"/>
      <c r="AZ6" s="131"/>
      <c r="BA6" s="131"/>
      <c r="BB6" s="131"/>
      <c r="BC6" s="131"/>
      <c r="BD6" s="131"/>
      <c r="BE6" s="131"/>
      <c r="BF6" s="131"/>
      <c r="BG6" s="131"/>
      <c r="BH6" s="131"/>
      <c r="BI6" s="131"/>
      <c r="BJ6" s="131"/>
      <c r="BM6" s="131"/>
      <c r="BN6" s="131"/>
      <c r="BO6" s="131"/>
      <c r="BP6" s="131"/>
      <c r="BQ6" s="131"/>
      <c r="BR6" s="131"/>
      <c r="BS6" s="131"/>
      <c r="BT6" s="131"/>
      <c r="BU6" s="131"/>
      <c r="BV6" s="131"/>
      <c r="BW6" s="131"/>
      <c r="BX6" s="131"/>
      <c r="BY6" s="131"/>
      <c r="BZ6" s="131"/>
      <c r="CA6" s="131"/>
      <c r="CB6" s="131"/>
      <c r="CC6" s="131"/>
      <c r="CD6" s="131"/>
      <c r="CE6" s="131"/>
    </row>
    <row r="7" spans="1:128" ht="15" customHeight="1" thickBot="1" x14ac:dyDescent="0.3">
      <c r="BA7" s="131"/>
      <c r="BB7" s="131"/>
      <c r="BC7" s="131"/>
      <c r="BD7" s="131"/>
      <c r="BE7" s="131"/>
      <c r="BF7" s="131"/>
      <c r="BG7" s="131"/>
      <c r="BH7" s="131"/>
      <c r="BI7" s="131"/>
      <c r="BJ7" s="131"/>
      <c r="BM7" s="131"/>
      <c r="BN7" s="131"/>
      <c r="BO7" s="131"/>
      <c r="BP7" s="131"/>
      <c r="BQ7" s="131"/>
      <c r="BR7" s="131"/>
      <c r="BS7" s="131"/>
      <c r="BT7" s="131"/>
      <c r="BU7" s="131"/>
      <c r="BV7" s="131"/>
      <c r="BW7" s="131"/>
      <c r="BX7" s="131"/>
      <c r="BY7" s="131"/>
      <c r="BZ7" s="131"/>
      <c r="CA7" s="131"/>
      <c r="CB7" s="131"/>
      <c r="CC7" s="131"/>
      <c r="CD7" s="131"/>
      <c r="CE7" s="131"/>
      <c r="DD7" s="812" t="s">
        <v>157</v>
      </c>
      <c r="DE7" s="812"/>
      <c r="DF7" s="812"/>
      <c r="DG7" s="812"/>
      <c r="DH7" s="812"/>
      <c r="DI7" s="812"/>
      <c r="DJ7" s="812"/>
      <c r="DK7" s="812"/>
      <c r="DL7" s="812"/>
      <c r="DM7" s="812"/>
      <c r="DN7" s="812"/>
      <c r="DO7" s="812"/>
      <c r="DP7" s="812"/>
      <c r="DQ7" s="812"/>
      <c r="DR7" s="812"/>
      <c r="DS7" s="812"/>
      <c r="DT7" s="812"/>
      <c r="DU7" s="812"/>
      <c r="DW7" s="811" t="s">
        <v>158</v>
      </c>
      <c r="DX7" s="811"/>
    </row>
    <row r="8" spans="1:128" ht="35.1" customHeight="1" thickTop="1" thickBot="1" x14ac:dyDescent="0.3">
      <c r="B8" s="971" t="str">
        <f>CONCATENATE("GASTO DEL TRABAJADOR ",'IDENTIFICACIÓN TRABAJADOR'!$D$14," EJERCICIO ",YEAR(EXPEDIENTE!F25)+1)</f>
        <v>GASTO DEL TRABAJADOR  EJERCICIO 2026</v>
      </c>
      <c r="C8" s="948" t="str">
        <f>CONCATENATE("TABLA DE COTIZACIONES ",YEAR(EXPEDIENTE!F25)+1)</f>
        <v>TABLA DE COTIZACIONES 2026</v>
      </c>
      <c r="D8" s="948"/>
      <c r="E8" s="948"/>
      <c r="F8" s="1030"/>
      <c r="H8" s="306" t="s">
        <v>159</v>
      </c>
      <c r="I8" s="1025" t="s">
        <v>160</v>
      </c>
      <c r="J8" s="1025"/>
      <c r="K8" s="1025"/>
      <c r="L8" s="1025"/>
      <c r="M8" s="1025"/>
      <c r="N8" s="1025"/>
      <c r="O8" s="1025"/>
      <c r="P8" s="1025"/>
      <c r="Q8" s="1025"/>
      <c r="R8" s="1025"/>
      <c r="S8" s="1025"/>
      <c r="T8" s="1026"/>
      <c r="AM8" s="1013" t="str">
        <f>CONCATENATE("GASTO DEL TRABAJADOR ",'IDENTIFICACIÓN TRABAJADOR'!$D$14," EJERCICIO ",YEAR(EXPEDIENTE!$F$25)+1)</f>
        <v>GASTO DEL TRABAJADOR  EJERCICIO 2026</v>
      </c>
      <c r="AN8" s="925" t="str">
        <f>CONCATENATE("COTIZACIONES ",YEAR(EXPEDIENTE!$F$25)+1)</f>
        <v>COTIZACIONES 2026</v>
      </c>
      <c r="AO8" s="925"/>
      <c r="AP8" s="925"/>
      <c r="AQ8" s="367"/>
      <c r="AR8" s="375" t="s">
        <v>161</v>
      </c>
      <c r="AS8" s="553" t="s">
        <v>68</v>
      </c>
      <c r="AT8" s="376" t="s">
        <v>162</v>
      </c>
      <c r="AU8" s="944" t="s">
        <v>163</v>
      </c>
      <c r="AV8" s="944"/>
      <c r="AW8" s="944"/>
      <c r="AX8" s="944"/>
      <c r="AY8" s="944"/>
      <c r="AZ8" s="944"/>
      <c r="BA8" s="944"/>
      <c r="BB8" s="944"/>
      <c r="BC8" s="944"/>
      <c r="BD8" s="944"/>
      <c r="BE8" s="944"/>
      <c r="BF8" s="944"/>
      <c r="BG8" s="945"/>
      <c r="BJ8" s="131"/>
      <c r="BK8" s="131"/>
      <c r="BL8" s="131"/>
      <c r="BM8" s="131"/>
      <c r="BN8" s="131"/>
      <c r="BO8" s="131"/>
      <c r="BP8" s="131"/>
      <c r="BQ8" s="131"/>
      <c r="BR8" s="131"/>
      <c r="BS8" s="131"/>
      <c r="BT8" s="131"/>
      <c r="BU8" s="131"/>
      <c r="BV8" s="131"/>
      <c r="BW8" s="131"/>
      <c r="BX8" s="131"/>
      <c r="BY8" s="131"/>
      <c r="BZ8" s="131"/>
      <c r="CA8" s="131"/>
      <c r="CB8" s="131"/>
      <c r="CY8" s="81"/>
      <c r="CZ8" s="53"/>
      <c r="DD8" s="55" t="s">
        <v>164</v>
      </c>
      <c r="DE8" s="55" t="s">
        <v>165</v>
      </c>
      <c r="DF8" s="55" t="s">
        <v>166</v>
      </c>
      <c r="DG8" s="55" t="s">
        <v>167</v>
      </c>
      <c r="DH8" s="55" t="s">
        <v>168</v>
      </c>
      <c r="DI8" s="55" t="s">
        <v>169</v>
      </c>
      <c r="DJ8" s="55" t="s">
        <v>170</v>
      </c>
      <c r="DK8" s="55" t="s">
        <v>171</v>
      </c>
      <c r="DL8" s="55" t="s">
        <v>172</v>
      </c>
      <c r="DM8" s="55" t="s">
        <v>173</v>
      </c>
      <c r="DN8" s="55" t="s">
        <v>174</v>
      </c>
      <c r="DO8" s="55" t="s">
        <v>175</v>
      </c>
      <c r="DP8" s="55" t="s">
        <v>176</v>
      </c>
      <c r="DQ8" s="55" t="s">
        <v>177</v>
      </c>
      <c r="DR8" s="55" t="s">
        <v>178</v>
      </c>
      <c r="DS8" s="55" t="s">
        <v>179</v>
      </c>
      <c r="DT8" s="55" t="s">
        <v>180</v>
      </c>
      <c r="DU8" s="55" t="s">
        <v>181</v>
      </c>
    </row>
    <row r="9" spans="1:128" ht="20.100000000000001" customHeight="1" thickTop="1" x14ac:dyDescent="0.25">
      <c r="B9" s="972"/>
      <c r="C9" s="313" t="s">
        <v>182</v>
      </c>
      <c r="D9" s="312"/>
      <c r="E9" s="312"/>
      <c r="F9" s="315"/>
      <c r="H9" s="307" t="s">
        <v>183</v>
      </c>
      <c r="I9" s="963" t="s">
        <v>184</v>
      </c>
      <c r="J9" s="963"/>
      <c r="K9" s="963"/>
      <c r="L9" s="963"/>
      <c r="M9" s="963"/>
      <c r="N9" s="963"/>
      <c r="O9" s="963"/>
      <c r="P9" s="963"/>
      <c r="Q9" s="963"/>
      <c r="R9" s="963"/>
      <c r="S9" s="963"/>
      <c r="T9" s="964"/>
      <c r="AM9" s="1014"/>
      <c r="AN9" s="926" t="s">
        <v>182</v>
      </c>
      <c r="AO9" s="927"/>
      <c r="AP9" s="928"/>
      <c r="AQ9" s="369"/>
      <c r="AR9" s="132">
        <f t="shared" ref="AR9:AR14" si="0">IF(F9="",0,F9)</f>
        <v>0</v>
      </c>
      <c r="AS9" s="133"/>
      <c r="AT9" s="134">
        <f>IF(AS9="",AR9,AS9)</f>
        <v>0</v>
      </c>
      <c r="AU9" s="930"/>
      <c r="AV9" s="930"/>
      <c r="AW9" s="930"/>
      <c r="AX9" s="930"/>
      <c r="AY9" s="930"/>
      <c r="AZ9" s="930"/>
      <c r="BA9" s="930"/>
      <c r="BB9" s="930"/>
      <c r="BC9" s="930"/>
      <c r="BD9" s="930"/>
      <c r="BE9" s="930"/>
      <c r="BF9" s="930"/>
      <c r="BG9" s="931"/>
      <c r="BJ9" s="131"/>
      <c r="BK9" s="131"/>
      <c r="BL9" s="131"/>
      <c r="BM9" s="131"/>
      <c r="BN9" s="131"/>
      <c r="BO9" s="131"/>
      <c r="BP9" s="131"/>
      <c r="BQ9" s="131"/>
      <c r="BR9" s="131"/>
      <c r="BS9" s="131"/>
      <c r="BT9" s="131"/>
      <c r="BU9" s="131"/>
      <c r="BV9" s="131"/>
      <c r="BW9" s="131"/>
      <c r="BX9" s="131"/>
      <c r="BY9" s="131"/>
      <c r="BZ9" s="131"/>
      <c r="CA9" s="131"/>
      <c r="CB9" s="131"/>
      <c r="CY9" s="81"/>
      <c r="CZ9" s="53"/>
      <c r="DD9" s="135">
        <f>SUM(DE9:DU9)</f>
        <v>0</v>
      </c>
      <c r="DE9" s="135">
        <f>IF(AS9="",0,1)</f>
        <v>0</v>
      </c>
      <c r="DW9" s="55">
        <f>IF(AU9&lt;&gt;"",1,0)</f>
        <v>0</v>
      </c>
      <c r="DX9" s="130" t="str">
        <f>IF(DW9=0,"",AU9)</f>
        <v/>
      </c>
    </row>
    <row r="10" spans="1:128" ht="20.100000000000001" customHeight="1" x14ac:dyDescent="0.25">
      <c r="B10" s="972"/>
      <c r="C10" s="965" t="s">
        <v>471</v>
      </c>
      <c r="D10" s="966"/>
      <c r="E10" s="967"/>
      <c r="F10" s="694"/>
      <c r="H10" s="308"/>
      <c r="I10" s="683" t="s">
        <v>52</v>
      </c>
      <c r="J10" s="683"/>
      <c r="K10" s="683"/>
      <c r="L10" s="683"/>
      <c r="M10" s="683"/>
      <c r="N10" s="683"/>
      <c r="O10" s="683"/>
      <c r="P10" s="683"/>
      <c r="Q10" s="683"/>
      <c r="R10" s="683"/>
      <c r="S10" s="683"/>
      <c r="T10" s="684"/>
      <c r="AM10" s="1014"/>
      <c r="AN10" s="893" t="s">
        <v>471</v>
      </c>
      <c r="AO10" s="894"/>
      <c r="AP10" s="895"/>
      <c r="AQ10" s="370"/>
      <c r="AR10" s="136">
        <f t="shared" si="0"/>
        <v>0</v>
      </c>
      <c r="AS10" s="137"/>
      <c r="AT10" s="138">
        <f t="shared" ref="AT10" si="1">IF(AS10="",AR10,AS10)</f>
        <v>0</v>
      </c>
      <c r="AU10" s="869"/>
      <c r="AV10" s="869"/>
      <c r="AW10" s="869"/>
      <c r="AX10" s="869"/>
      <c r="AY10" s="869"/>
      <c r="AZ10" s="869"/>
      <c r="BA10" s="869"/>
      <c r="BB10" s="869"/>
      <c r="BC10" s="869"/>
      <c r="BD10" s="869"/>
      <c r="BE10" s="869"/>
      <c r="BF10" s="869"/>
      <c r="BG10" s="870"/>
      <c r="BJ10" s="131"/>
      <c r="BK10" s="131"/>
      <c r="BL10" s="131"/>
      <c r="BM10" s="131"/>
      <c r="BN10" s="131"/>
      <c r="BO10" s="131"/>
      <c r="BP10" s="131"/>
      <c r="BQ10" s="131"/>
      <c r="BR10" s="131"/>
      <c r="BS10" s="131"/>
      <c r="BT10" s="131"/>
      <c r="BU10" s="131"/>
      <c r="BV10" s="131"/>
      <c r="BW10" s="131"/>
      <c r="BX10" s="131"/>
      <c r="BY10" s="131"/>
      <c r="BZ10" s="131"/>
      <c r="CA10" s="131"/>
      <c r="CB10" s="131"/>
      <c r="CY10" s="81"/>
      <c r="CZ10" s="53"/>
      <c r="DD10" s="135"/>
      <c r="DE10" s="135"/>
      <c r="DW10" s="55"/>
      <c r="DX10" s="130"/>
    </row>
    <row r="11" spans="1:128" ht="20.100000000000001" customHeight="1" thickBot="1" x14ac:dyDescent="0.3">
      <c r="B11" s="972"/>
      <c r="C11" s="314" t="s">
        <v>185</v>
      </c>
      <c r="D11" s="296"/>
      <c r="E11" s="297"/>
      <c r="F11" s="316"/>
      <c r="H11" s="308"/>
      <c r="I11" s="955" t="str">
        <f>CONCATENATE("b) La fecha valor de abono de la nómina y/o de su IRPF sea anterior a la finalización del plazo de justificación (",TEXT(EXPEDIENTE!F29,"dd/mm/aa"),").")</f>
        <v>b) La fecha valor de abono de la nómina y/o de su IRPF sea anterior a la finalización del plazo de justificación ().</v>
      </c>
      <c r="J11" s="955"/>
      <c r="K11" s="955"/>
      <c r="L11" s="955"/>
      <c r="M11" s="955"/>
      <c r="N11" s="955"/>
      <c r="O11" s="955"/>
      <c r="P11" s="955"/>
      <c r="Q11" s="955"/>
      <c r="R11" s="955"/>
      <c r="S11" s="955"/>
      <c r="T11" s="956"/>
      <c r="AM11" s="1014"/>
      <c r="AN11" s="893" t="s">
        <v>185</v>
      </c>
      <c r="AO11" s="894"/>
      <c r="AP11" s="895"/>
      <c r="AQ11" s="370"/>
      <c r="AR11" s="136">
        <f t="shared" si="0"/>
        <v>0</v>
      </c>
      <c r="AS11" s="137"/>
      <c r="AT11" s="138">
        <f t="shared" ref="AT11:AT14" si="2">IF(AS11="",AR11,AS11)</f>
        <v>0</v>
      </c>
      <c r="AU11" s="869"/>
      <c r="AV11" s="869"/>
      <c r="AW11" s="869"/>
      <c r="AX11" s="869"/>
      <c r="AY11" s="869"/>
      <c r="AZ11" s="869"/>
      <c r="BA11" s="869"/>
      <c r="BB11" s="869"/>
      <c r="BC11" s="869"/>
      <c r="BD11" s="869"/>
      <c r="BE11" s="869"/>
      <c r="BF11" s="869"/>
      <c r="BG11" s="870"/>
      <c r="BJ11" s="131"/>
      <c r="BK11" s="131"/>
      <c r="BL11" s="131"/>
      <c r="BM11" s="131"/>
      <c r="BN11" s="131"/>
      <c r="BO11" s="131"/>
      <c r="BP11" s="131"/>
      <c r="BQ11" s="131"/>
      <c r="BR11" s="131"/>
      <c r="BS11" s="131"/>
      <c r="BT11" s="131"/>
      <c r="BU11" s="131"/>
      <c r="BV11" s="131"/>
      <c r="BW11" s="131"/>
      <c r="BX11" s="131"/>
      <c r="BY11" s="131"/>
      <c r="BZ11" s="131"/>
      <c r="CA11" s="131"/>
      <c r="CB11" s="131"/>
      <c r="CY11" s="81"/>
      <c r="CZ11" s="53"/>
      <c r="DD11" s="55">
        <f t="shared" ref="DD11:DD14" si="3">SUM(DE11:DU11)</f>
        <v>0</v>
      </c>
      <c r="DE11" s="55">
        <f t="shared" ref="DE11:DE14" si="4">IF(AS11="",0,1)</f>
        <v>0</v>
      </c>
      <c r="DW11" s="55">
        <f>IF(AU11&lt;&gt;"",MAX($DW$9:DW9)+1,0)</f>
        <v>0</v>
      </c>
      <c r="DX11" s="130" t="str">
        <f t="shared" ref="DX11:DX15" si="5">IF(DW11=0,"",AU11)</f>
        <v/>
      </c>
    </row>
    <row r="12" spans="1:128" ht="20.100000000000001" customHeight="1" x14ac:dyDescent="0.25">
      <c r="B12" s="972"/>
      <c r="C12" s="314" t="s">
        <v>186</v>
      </c>
      <c r="D12" s="296"/>
      <c r="E12" s="297"/>
      <c r="F12" s="316"/>
      <c r="H12" s="1034" t="s">
        <v>188</v>
      </c>
      <c r="I12" s="963" t="s">
        <v>189</v>
      </c>
      <c r="J12" s="963"/>
      <c r="K12" s="963"/>
      <c r="L12" s="963"/>
      <c r="M12" s="963"/>
      <c r="N12" s="963"/>
      <c r="O12" s="963"/>
      <c r="P12" s="963"/>
      <c r="Q12" s="963"/>
      <c r="R12" s="963"/>
      <c r="S12" s="963"/>
      <c r="T12" s="1031"/>
      <c r="AM12" s="1014"/>
      <c r="AN12" s="893" t="s">
        <v>186</v>
      </c>
      <c r="AO12" s="894"/>
      <c r="AP12" s="895"/>
      <c r="AQ12" s="370"/>
      <c r="AR12" s="136">
        <f t="shared" si="0"/>
        <v>0</v>
      </c>
      <c r="AS12" s="137"/>
      <c r="AT12" s="138">
        <f t="shared" si="2"/>
        <v>0</v>
      </c>
      <c r="AU12" s="869"/>
      <c r="AV12" s="869"/>
      <c r="AW12" s="869"/>
      <c r="AX12" s="869"/>
      <c r="AY12" s="869"/>
      <c r="AZ12" s="869"/>
      <c r="BA12" s="869"/>
      <c r="BB12" s="869"/>
      <c r="BC12" s="869"/>
      <c r="BD12" s="869"/>
      <c r="BE12" s="869"/>
      <c r="BF12" s="869"/>
      <c r="BG12" s="870"/>
      <c r="BJ12" s="131"/>
      <c r="BK12" s="131"/>
      <c r="BL12" s="131"/>
      <c r="BM12" s="131"/>
      <c r="BN12" s="131"/>
      <c r="BO12" s="131"/>
      <c r="BP12" s="131"/>
      <c r="BQ12" s="131"/>
      <c r="BR12" s="131"/>
      <c r="BS12" s="131"/>
      <c r="BT12" s="131"/>
      <c r="BU12" s="131"/>
      <c r="BV12" s="131"/>
      <c r="BW12" s="131"/>
      <c r="BX12" s="131"/>
      <c r="BY12" s="131"/>
      <c r="BZ12" s="131"/>
      <c r="CA12" s="131"/>
      <c r="CB12" s="131"/>
      <c r="CY12" s="81"/>
      <c r="CZ12" s="53"/>
      <c r="DD12" s="55">
        <f t="shared" si="3"/>
        <v>0</v>
      </c>
      <c r="DE12" s="55">
        <f t="shared" si="4"/>
        <v>0</v>
      </c>
      <c r="DW12" s="55">
        <f>IF(AU12&lt;&gt;"",MAX($DW$9:DW11)+1,0)</f>
        <v>0</v>
      </c>
      <c r="DX12" s="130" t="str">
        <f t="shared" si="5"/>
        <v/>
      </c>
    </row>
    <row r="13" spans="1:128" ht="20.100000000000001" customHeight="1" thickBot="1" x14ac:dyDescent="0.3">
      <c r="B13" s="972"/>
      <c r="C13" s="314" t="s">
        <v>187</v>
      </c>
      <c r="D13" s="296"/>
      <c r="E13" s="297"/>
      <c r="F13" s="316"/>
      <c r="H13" s="1035"/>
      <c r="I13" s="1032"/>
      <c r="J13" s="1032"/>
      <c r="K13" s="1032"/>
      <c r="L13" s="1032"/>
      <c r="M13" s="1032"/>
      <c r="N13" s="1032"/>
      <c r="O13" s="1032"/>
      <c r="P13" s="1032"/>
      <c r="Q13" s="1032"/>
      <c r="R13" s="1032"/>
      <c r="S13" s="1032"/>
      <c r="T13" s="1033"/>
      <c r="AM13" s="1014"/>
      <c r="AN13" s="893" t="s">
        <v>187</v>
      </c>
      <c r="AO13" s="894"/>
      <c r="AP13" s="895"/>
      <c r="AQ13" s="370"/>
      <c r="AR13" s="136">
        <f t="shared" si="0"/>
        <v>0</v>
      </c>
      <c r="AS13" s="137"/>
      <c r="AT13" s="138">
        <f t="shared" si="2"/>
        <v>0</v>
      </c>
      <c r="AU13" s="869"/>
      <c r="AV13" s="869"/>
      <c r="AW13" s="869"/>
      <c r="AX13" s="869"/>
      <c r="AY13" s="869"/>
      <c r="AZ13" s="869"/>
      <c r="BA13" s="869"/>
      <c r="BB13" s="869"/>
      <c r="BC13" s="869"/>
      <c r="BD13" s="869"/>
      <c r="BE13" s="869"/>
      <c r="BF13" s="869"/>
      <c r="BG13" s="870"/>
      <c r="BJ13" s="131"/>
      <c r="BK13" s="131"/>
      <c r="BL13" s="131"/>
      <c r="BM13" s="131"/>
      <c r="BN13" s="131"/>
      <c r="BO13" s="131"/>
      <c r="BP13" s="131"/>
      <c r="BQ13" s="131"/>
      <c r="BR13" s="131"/>
      <c r="BS13" s="131"/>
      <c r="BT13" s="131"/>
      <c r="BU13" s="131"/>
      <c r="BV13" s="131"/>
      <c r="BW13" s="131"/>
      <c r="BX13" s="131"/>
      <c r="BY13" s="131"/>
      <c r="BZ13" s="131"/>
      <c r="CA13" s="131"/>
      <c r="CB13" s="131"/>
      <c r="CY13" s="81"/>
      <c r="CZ13" s="53"/>
      <c r="DD13" s="55">
        <f t="shared" si="3"/>
        <v>0</v>
      </c>
      <c r="DE13" s="55">
        <f t="shared" si="4"/>
        <v>0</v>
      </c>
      <c r="DW13" s="55">
        <f>IF(AU13&lt;&gt;"",MAX($DW$9:DW12)+1,0)</f>
        <v>0</v>
      </c>
      <c r="DX13" s="130" t="str">
        <f t="shared" si="5"/>
        <v/>
      </c>
    </row>
    <row r="14" spans="1:128" ht="20.100000000000001" customHeight="1" x14ac:dyDescent="0.25">
      <c r="B14" s="972"/>
      <c r="C14" s="314" t="s">
        <v>190</v>
      </c>
      <c r="D14" s="296"/>
      <c r="E14" s="297"/>
      <c r="F14" s="316"/>
      <c r="AM14" s="1014"/>
      <c r="AN14" s="893" t="s">
        <v>190</v>
      </c>
      <c r="AO14" s="894"/>
      <c r="AP14" s="895"/>
      <c r="AQ14" s="370"/>
      <c r="AR14" s="136">
        <f t="shared" si="0"/>
        <v>0</v>
      </c>
      <c r="AS14" s="137"/>
      <c r="AT14" s="138">
        <f t="shared" si="2"/>
        <v>0</v>
      </c>
      <c r="AU14" s="904"/>
      <c r="AV14" s="904"/>
      <c r="AW14" s="904"/>
      <c r="AX14" s="904"/>
      <c r="AY14" s="904"/>
      <c r="AZ14" s="904"/>
      <c r="BA14" s="904"/>
      <c r="BB14" s="904"/>
      <c r="BC14" s="904"/>
      <c r="BD14" s="904"/>
      <c r="BE14" s="904"/>
      <c r="BF14" s="904"/>
      <c r="BG14" s="905"/>
      <c r="BJ14" s="131"/>
      <c r="BK14" s="131"/>
      <c r="BL14" s="131"/>
      <c r="BM14" s="131"/>
      <c r="BN14" s="131"/>
      <c r="BO14" s="131"/>
      <c r="BP14" s="131"/>
      <c r="BQ14" s="131"/>
      <c r="BR14" s="131"/>
      <c r="BS14" s="131"/>
      <c r="BT14" s="131"/>
      <c r="BU14" s="131"/>
      <c r="BV14" s="131"/>
      <c r="BW14" s="131"/>
      <c r="BX14" s="131"/>
      <c r="BY14" s="131"/>
      <c r="BZ14" s="131"/>
      <c r="CA14" s="131"/>
      <c r="CB14" s="131"/>
      <c r="CY14" s="81"/>
      <c r="CZ14" s="53"/>
      <c r="DD14" s="55">
        <f t="shared" si="3"/>
        <v>0</v>
      </c>
      <c r="DE14" s="55">
        <f t="shared" si="4"/>
        <v>0</v>
      </c>
      <c r="DW14" s="55">
        <f>IF(AU14&lt;&gt;"",MAX($DW$9:DW13)+1,0)</f>
        <v>0</v>
      </c>
      <c r="DX14" s="130" t="str">
        <f t="shared" si="5"/>
        <v/>
      </c>
    </row>
    <row r="15" spans="1:128" ht="20.100000000000001" customHeight="1" thickBot="1" x14ac:dyDescent="0.3">
      <c r="B15" s="972"/>
      <c r="C15" s="317" t="s">
        <v>191</v>
      </c>
      <c r="D15" s="318"/>
      <c r="E15" s="318"/>
      <c r="F15" s="695">
        <f>SUM(F9:F14)</f>
        <v>0</v>
      </c>
      <c r="AM15" s="1014"/>
      <c r="AN15" s="906" t="s">
        <v>191</v>
      </c>
      <c r="AO15" s="907"/>
      <c r="AP15" s="908"/>
      <c r="AQ15" s="371"/>
      <c r="AR15" s="139">
        <f>SUM(AR9:AR14)</f>
        <v>0</v>
      </c>
      <c r="AS15" s="372"/>
      <c r="AT15" s="140">
        <f>SUM(AT9:AT14)</f>
        <v>0</v>
      </c>
      <c r="AU15" s="141"/>
      <c r="AV15" s="141"/>
      <c r="AW15" s="141"/>
      <c r="AX15" s="141"/>
      <c r="AY15" s="141"/>
      <c r="AZ15" s="141"/>
      <c r="BA15" s="141"/>
      <c r="BB15" s="141"/>
      <c r="BC15" s="141"/>
      <c r="BD15" s="141"/>
      <c r="BE15" s="141"/>
      <c r="BF15" s="141"/>
      <c r="BG15" s="142"/>
      <c r="BJ15" s="131"/>
      <c r="BK15" s="131"/>
      <c r="CY15" s="81"/>
      <c r="CZ15" s="53"/>
      <c r="DW15" s="55">
        <f>IF(AU15&lt;&gt;"",MAX($DW$9:DW14)+1,0)</f>
        <v>0</v>
      </c>
      <c r="DX15" s="130" t="str">
        <f t="shared" si="5"/>
        <v/>
      </c>
    </row>
    <row r="16" spans="1:128" ht="35.1" customHeight="1" thickTop="1" thickBot="1" x14ac:dyDescent="0.3">
      <c r="B16" s="972"/>
      <c r="C16" s="948" t="str">
        <f>CONCATENATE("NÓMINAS MENSUALES EJERCICIO ",YEAR(EXPEDIENTE!F25)+1)</f>
        <v>NÓMINAS MENSUALES EJERCICIO 2026</v>
      </c>
      <c r="D16" s="948"/>
      <c r="E16" s="948"/>
      <c r="F16" s="948"/>
      <c r="G16" s="948"/>
      <c r="H16" s="948"/>
      <c r="I16" s="948"/>
      <c r="J16" s="948"/>
      <c r="K16" s="948"/>
      <c r="L16" s="948"/>
      <c r="M16" s="948"/>
      <c r="N16" s="948"/>
      <c r="O16" s="948"/>
      <c r="P16" s="948"/>
      <c r="Q16" s="948"/>
      <c r="R16" s="948"/>
      <c r="S16" s="948"/>
      <c r="T16" s="948"/>
      <c r="U16" s="948"/>
      <c r="V16" s="948"/>
      <c r="W16" s="948"/>
      <c r="X16" s="948"/>
      <c r="Y16" s="948"/>
      <c r="Z16" s="948"/>
      <c r="AA16" s="948"/>
      <c r="AB16" s="948"/>
      <c r="AC16" s="948"/>
      <c r="AD16" s="948"/>
      <c r="AE16" s="948"/>
      <c r="AF16" s="355"/>
      <c r="AG16" s="1042"/>
      <c r="AH16" s="1042"/>
      <c r="AM16" s="1014"/>
      <c r="AN16" s="843" t="str">
        <f>CONCATENATE("NÓMINAS MENSUALES EJERCICIO ",YEAR(EXPEDIENTE!$F$25)+1)</f>
        <v>NÓMINAS MENSUALES EJERCICIO 2026</v>
      </c>
      <c r="AO16" s="843"/>
      <c r="AP16" s="843"/>
      <c r="AQ16" s="843"/>
      <c r="AR16" s="843"/>
      <c r="AS16" s="843"/>
      <c r="AT16" s="843"/>
      <c r="AU16" s="843"/>
      <c r="AV16" s="843"/>
      <c r="AW16" s="843"/>
      <c r="AX16" s="843"/>
      <c r="AY16" s="843"/>
      <c r="AZ16" s="843"/>
      <c r="BA16" s="843"/>
      <c r="BB16" s="843"/>
      <c r="BC16" s="843"/>
      <c r="BD16" s="843"/>
      <c r="BE16" s="843"/>
      <c r="BF16" s="843"/>
      <c r="BG16" s="843"/>
      <c r="BH16" s="843"/>
      <c r="BI16" s="843"/>
      <c r="BJ16" s="843"/>
      <c r="BK16" s="843"/>
      <c r="BL16" s="843"/>
      <c r="BM16" s="843"/>
      <c r="BN16" s="843"/>
      <c r="BO16" s="843"/>
      <c r="BP16" s="843"/>
      <c r="BQ16" s="843"/>
      <c r="BR16" s="843"/>
      <c r="BS16" s="843"/>
      <c r="BT16" s="843"/>
      <c r="BU16" s="843"/>
      <c r="BV16" s="843"/>
      <c r="BW16" s="843"/>
      <c r="BX16" s="843"/>
      <c r="BY16" s="843"/>
      <c r="BZ16" s="843"/>
      <c r="CA16" s="843"/>
      <c r="CB16" s="843"/>
      <c r="CC16" s="843"/>
      <c r="CD16" s="843"/>
      <c r="CE16" s="843"/>
      <c r="CF16" s="843"/>
      <c r="CG16" s="843"/>
      <c r="CH16" s="843"/>
      <c r="CI16" s="843"/>
      <c r="CJ16" s="843"/>
      <c r="CK16" s="843"/>
      <c r="CL16" s="843"/>
      <c r="CM16" s="843"/>
      <c r="CN16" s="843"/>
      <c r="CO16" s="843"/>
      <c r="CP16" s="843"/>
      <c r="CQ16" s="843"/>
      <c r="CR16" s="843"/>
      <c r="CS16" s="843"/>
      <c r="CT16" s="843"/>
      <c r="CU16" s="843"/>
      <c r="CV16" s="843"/>
      <c r="CW16" s="843"/>
      <c r="CX16" s="843"/>
      <c r="CY16" s="844"/>
      <c r="DA16" s="929"/>
      <c r="DB16" s="929"/>
    </row>
    <row r="17" spans="2:128" ht="20.100000000000001" customHeight="1" thickTop="1" thickBot="1" x14ac:dyDescent="0.3">
      <c r="B17" s="972"/>
      <c r="C17" s="957" t="s">
        <v>193</v>
      </c>
      <c r="D17" s="958"/>
      <c r="E17" s="958"/>
      <c r="F17" s="959" t="s">
        <v>194</v>
      </c>
      <c r="G17" s="959"/>
      <c r="H17" s="959"/>
      <c r="I17" s="959"/>
      <c r="J17" s="959"/>
      <c r="K17" s="959"/>
      <c r="L17" s="959"/>
      <c r="M17" s="960"/>
      <c r="N17" s="968" t="s">
        <v>195</v>
      </c>
      <c r="O17" s="969"/>
      <c r="P17" s="969"/>
      <c r="Q17" s="969"/>
      <c r="R17" s="969"/>
      <c r="S17" s="969"/>
      <c r="T17" s="969"/>
      <c r="U17" s="969"/>
      <c r="V17" s="970"/>
      <c r="W17" s="961" t="s">
        <v>196</v>
      </c>
      <c r="X17" s="953" t="s">
        <v>197</v>
      </c>
      <c r="Y17" s="898" t="s">
        <v>198</v>
      </c>
      <c r="Z17" s="898" t="s">
        <v>199</v>
      </c>
      <c r="AA17" s="898" t="s">
        <v>200</v>
      </c>
      <c r="AB17" s="900" t="s">
        <v>201</v>
      </c>
      <c r="AC17" s="953" t="s">
        <v>202</v>
      </c>
      <c r="AD17" s="900" t="s">
        <v>203</v>
      </c>
      <c r="AE17" s="1027" t="s">
        <v>204</v>
      </c>
      <c r="AF17" s="357"/>
      <c r="AG17" s="833" t="s">
        <v>205</v>
      </c>
      <c r="AH17" s="825" t="s">
        <v>206</v>
      </c>
      <c r="AM17" s="1014"/>
      <c r="AN17" s="939" t="s">
        <v>193</v>
      </c>
      <c r="AO17" s="940"/>
      <c r="AP17" s="940"/>
      <c r="AQ17" s="940"/>
      <c r="AR17" s="941" t="s">
        <v>207</v>
      </c>
      <c r="AS17" s="940"/>
      <c r="AT17" s="942"/>
      <c r="AU17" s="913" t="s">
        <v>194</v>
      </c>
      <c r="AV17" s="914"/>
      <c r="AW17" s="914"/>
      <c r="AX17" s="914"/>
      <c r="AY17" s="914"/>
      <c r="AZ17" s="914"/>
      <c r="BA17" s="914"/>
      <c r="BB17" s="914"/>
      <c r="BC17" s="914"/>
      <c r="BD17" s="914"/>
      <c r="BE17" s="914"/>
      <c r="BF17" s="914"/>
      <c r="BG17" s="914"/>
      <c r="BH17" s="914"/>
      <c r="BI17" s="914"/>
      <c r="BJ17" s="914"/>
      <c r="BK17" s="914"/>
      <c r="BL17" s="914"/>
      <c r="BM17" s="914"/>
      <c r="BN17" s="915"/>
      <c r="BO17" s="916" t="s">
        <v>301</v>
      </c>
      <c r="BP17" s="917"/>
      <c r="BQ17" s="917"/>
      <c r="BR17" s="917"/>
      <c r="BS17" s="917"/>
      <c r="BT17" s="917"/>
      <c r="BU17" s="917"/>
      <c r="BV17" s="917"/>
      <c r="BW17" s="917"/>
      <c r="BX17" s="917"/>
      <c r="BY17" s="917"/>
      <c r="BZ17" s="917"/>
      <c r="CA17" s="917"/>
      <c r="CB17" s="917"/>
      <c r="CC17" s="917"/>
      <c r="CD17" s="917"/>
      <c r="CE17" s="917"/>
      <c r="CF17" s="918"/>
      <c r="CG17" s="918"/>
      <c r="CH17" s="918"/>
      <c r="CI17" s="919"/>
      <c r="CJ17" s="922" t="s">
        <v>196</v>
      </c>
      <c r="CK17" s="816" t="s">
        <v>208</v>
      </c>
      <c r="CL17" s="817"/>
      <c r="CM17" s="818"/>
      <c r="CN17" s="816" t="s">
        <v>209</v>
      </c>
      <c r="CO17" s="817"/>
      <c r="CP17" s="818"/>
      <c r="CQ17" s="885" t="s">
        <v>199</v>
      </c>
      <c r="CR17" s="827" t="s">
        <v>210</v>
      </c>
      <c r="CS17" s="828"/>
      <c r="CT17" s="829"/>
      <c r="CU17" s="830" t="s">
        <v>211</v>
      </c>
      <c r="CV17" s="831"/>
      <c r="CW17" s="832"/>
      <c r="CX17" s="847" t="s">
        <v>212</v>
      </c>
      <c r="CY17" s="838" t="s">
        <v>302</v>
      </c>
      <c r="DA17" s="833" t="s">
        <v>205</v>
      </c>
      <c r="DB17" s="825" t="s">
        <v>206</v>
      </c>
    </row>
    <row r="18" spans="2:128" ht="15" customHeight="1" x14ac:dyDescent="0.25">
      <c r="B18" s="972"/>
      <c r="C18" s="976" t="s">
        <v>214</v>
      </c>
      <c r="D18" s="977"/>
      <c r="E18" s="950" t="s">
        <v>215</v>
      </c>
      <c r="F18" s="951" t="s">
        <v>216</v>
      </c>
      <c r="G18" s="897" t="s">
        <v>217</v>
      </c>
      <c r="H18" s="897"/>
      <c r="I18" s="897"/>
      <c r="J18" s="897"/>
      <c r="K18" s="897"/>
      <c r="L18" s="897"/>
      <c r="M18" s="902" t="s">
        <v>218</v>
      </c>
      <c r="N18" s="143"/>
      <c r="O18" s="896" t="s">
        <v>219</v>
      </c>
      <c r="P18" s="897"/>
      <c r="Q18" s="897"/>
      <c r="R18" s="897"/>
      <c r="S18" s="897"/>
      <c r="T18" s="897"/>
      <c r="U18" s="902" t="s">
        <v>220</v>
      </c>
      <c r="V18" s="144"/>
      <c r="W18" s="961"/>
      <c r="X18" s="953"/>
      <c r="Y18" s="898"/>
      <c r="Z18" s="898"/>
      <c r="AA18" s="898"/>
      <c r="AB18" s="900"/>
      <c r="AC18" s="953"/>
      <c r="AD18" s="900"/>
      <c r="AE18" s="1028"/>
      <c r="AF18" s="357"/>
      <c r="AG18" s="826"/>
      <c r="AH18" s="826"/>
      <c r="AM18" s="1014"/>
      <c r="AN18" s="932" t="s">
        <v>214</v>
      </c>
      <c r="AO18" s="933"/>
      <c r="AP18" s="1036"/>
      <c r="AQ18" s="1037"/>
      <c r="AR18" s="936" t="s">
        <v>161</v>
      </c>
      <c r="AS18" s="943" t="s">
        <v>68</v>
      </c>
      <c r="AT18" s="861" t="s">
        <v>162</v>
      </c>
      <c r="AU18" s="865" t="s">
        <v>221</v>
      </c>
      <c r="AV18" s="866"/>
      <c r="AW18" s="867"/>
      <c r="AX18" s="909" t="s">
        <v>217</v>
      </c>
      <c r="AY18" s="911"/>
      <c r="AZ18" s="911"/>
      <c r="BA18" s="911"/>
      <c r="BB18" s="911"/>
      <c r="BC18" s="911"/>
      <c r="BD18" s="911"/>
      <c r="BE18" s="911"/>
      <c r="BF18" s="911"/>
      <c r="BG18" s="911"/>
      <c r="BH18" s="911"/>
      <c r="BI18" s="911"/>
      <c r="BJ18" s="911"/>
      <c r="BK18" s="911"/>
      <c r="BL18" s="911"/>
      <c r="BM18" s="912"/>
      <c r="BN18" s="937" t="s">
        <v>222</v>
      </c>
      <c r="BO18" s="145"/>
      <c r="BP18" s="909" t="s">
        <v>223</v>
      </c>
      <c r="BQ18" s="910"/>
      <c r="BR18" s="910"/>
      <c r="BS18" s="911"/>
      <c r="BT18" s="911"/>
      <c r="BU18" s="911"/>
      <c r="BV18" s="911"/>
      <c r="BW18" s="911"/>
      <c r="BX18" s="911"/>
      <c r="BY18" s="911"/>
      <c r="BZ18" s="911"/>
      <c r="CA18" s="911"/>
      <c r="CB18" s="911"/>
      <c r="CC18" s="911"/>
      <c r="CD18" s="911"/>
      <c r="CE18" s="912"/>
      <c r="CF18" s="865" t="s">
        <v>224</v>
      </c>
      <c r="CG18" s="866"/>
      <c r="CH18" s="867"/>
      <c r="CI18" s="146"/>
      <c r="CJ18" s="923"/>
      <c r="CK18" s="819" t="s">
        <v>161</v>
      </c>
      <c r="CL18" s="821" t="s">
        <v>68</v>
      </c>
      <c r="CM18" s="823" t="s">
        <v>162</v>
      </c>
      <c r="CN18" s="819" t="s">
        <v>161</v>
      </c>
      <c r="CO18" s="821" t="s">
        <v>68</v>
      </c>
      <c r="CP18" s="823" t="s">
        <v>162</v>
      </c>
      <c r="CQ18" s="886"/>
      <c r="CR18" s="819" t="s">
        <v>161</v>
      </c>
      <c r="CS18" s="821" t="s">
        <v>68</v>
      </c>
      <c r="CT18" s="823" t="s">
        <v>162</v>
      </c>
      <c r="CU18" s="819" t="s">
        <v>161</v>
      </c>
      <c r="CV18" s="821" t="s">
        <v>68</v>
      </c>
      <c r="CW18" s="823" t="s">
        <v>162</v>
      </c>
      <c r="CX18" s="849"/>
      <c r="CY18" s="839"/>
      <c r="DA18" s="826"/>
      <c r="DB18" s="826"/>
    </row>
    <row r="19" spans="2:128" ht="45" customHeight="1" thickBot="1" x14ac:dyDescent="0.3">
      <c r="B19" s="972"/>
      <c r="C19" s="978"/>
      <c r="D19" s="899"/>
      <c r="E19" s="901"/>
      <c r="F19" s="952"/>
      <c r="G19" s="310" t="s">
        <v>225</v>
      </c>
      <c r="H19" s="310" t="s">
        <v>226</v>
      </c>
      <c r="I19" s="310" t="s">
        <v>227</v>
      </c>
      <c r="J19" s="310" t="s">
        <v>228</v>
      </c>
      <c r="K19" s="310" t="s">
        <v>229</v>
      </c>
      <c r="L19" s="311" t="s">
        <v>230</v>
      </c>
      <c r="M19" s="903"/>
      <c r="N19" s="147"/>
      <c r="O19" s="319" t="s">
        <v>231</v>
      </c>
      <c r="P19" s="310" t="s">
        <v>232</v>
      </c>
      <c r="Q19" s="310" t="s">
        <v>233</v>
      </c>
      <c r="R19" s="310" t="s">
        <v>234</v>
      </c>
      <c r="S19" s="310" t="s">
        <v>235</v>
      </c>
      <c r="T19" s="310" t="s">
        <v>236</v>
      </c>
      <c r="U19" s="903"/>
      <c r="V19" s="148"/>
      <c r="W19" s="962"/>
      <c r="X19" s="954"/>
      <c r="Y19" s="899"/>
      <c r="Z19" s="899"/>
      <c r="AA19" s="899"/>
      <c r="AB19" s="901"/>
      <c r="AC19" s="954"/>
      <c r="AD19" s="901"/>
      <c r="AE19" s="1029"/>
      <c r="AF19" s="357"/>
      <c r="AG19" s="55">
        <f>SUM(AG20:AG31,AG38:AG45,AG52:AG63)</f>
        <v>0</v>
      </c>
      <c r="AH19" s="55">
        <f>SUM(AH20:AH31,AH38:AH45)</f>
        <v>0</v>
      </c>
      <c r="AM19" s="1014"/>
      <c r="AN19" s="934"/>
      <c r="AO19" s="935"/>
      <c r="AP19" s="1038"/>
      <c r="AQ19" s="1039"/>
      <c r="AR19" s="820"/>
      <c r="AS19" s="822"/>
      <c r="AT19" s="824"/>
      <c r="AU19" s="149" t="s">
        <v>161</v>
      </c>
      <c r="AV19" s="554" t="s">
        <v>68</v>
      </c>
      <c r="AW19" s="150" t="s">
        <v>162</v>
      </c>
      <c r="AX19" s="151" t="s">
        <v>238</v>
      </c>
      <c r="AY19" s="555" t="s">
        <v>239</v>
      </c>
      <c r="AZ19" s="152" t="s">
        <v>240</v>
      </c>
      <c r="BA19" s="152" t="s">
        <v>241</v>
      </c>
      <c r="BB19" s="555" t="s">
        <v>242</v>
      </c>
      <c r="BC19" s="152" t="s">
        <v>243</v>
      </c>
      <c r="BD19" s="152" t="s">
        <v>244</v>
      </c>
      <c r="BE19" s="555" t="s">
        <v>245</v>
      </c>
      <c r="BF19" s="152" t="s">
        <v>246</v>
      </c>
      <c r="BG19" s="152" t="s">
        <v>247</v>
      </c>
      <c r="BH19" s="555" t="s">
        <v>248</v>
      </c>
      <c r="BI19" s="152" t="s">
        <v>249</v>
      </c>
      <c r="BJ19" s="152" t="s">
        <v>250</v>
      </c>
      <c r="BK19" s="555" t="s">
        <v>251</v>
      </c>
      <c r="BL19" s="152" t="s">
        <v>252</v>
      </c>
      <c r="BM19" s="373" t="s">
        <v>253</v>
      </c>
      <c r="BN19" s="938"/>
      <c r="BO19" s="154"/>
      <c r="BP19" s="151" t="s">
        <v>254</v>
      </c>
      <c r="BQ19" s="555" t="s">
        <v>255</v>
      </c>
      <c r="BR19" s="152" t="s">
        <v>256</v>
      </c>
      <c r="BS19" s="152" t="s">
        <v>257</v>
      </c>
      <c r="BT19" s="555" t="s">
        <v>258</v>
      </c>
      <c r="BU19" s="152" t="s">
        <v>259</v>
      </c>
      <c r="BV19" s="152" t="s">
        <v>260</v>
      </c>
      <c r="BW19" s="555" t="s">
        <v>261</v>
      </c>
      <c r="BX19" s="152" t="s">
        <v>262</v>
      </c>
      <c r="BY19" s="152" t="s">
        <v>263</v>
      </c>
      <c r="BZ19" s="555" t="s">
        <v>264</v>
      </c>
      <c r="CA19" s="152" t="s">
        <v>265</v>
      </c>
      <c r="CB19" s="152" t="s">
        <v>266</v>
      </c>
      <c r="CC19" s="555" t="s">
        <v>267</v>
      </c>
      <c r="CD19" s="152" t="s">
        <v>268</v>
      </c>
      <c r="CE19" s="153" t="s">
        <v>269</v>
      </c>
      <c r="CF19" s="155" t="s">
        <v>161</v>
      </c>
      <c r="CG19" s="556" t="s">
        <v>68</v>
      </c>
      <c r="CH19" s="156" t="s">
        <v>162</v>
      </c>
      <c r="CI19" s="157"/>
      <c r="CJ19" s="924"/>
      <c r="CK19" s="820"/>
      <c r="CL19" s="822"/>
      <c r="CM19" s="824"/>
      <c r="CN19" s="820"/>
      <c r="CO19" s="822"/>
      <c r="CP19" s="824"/>
      <c r="CQ19" s="887"/>
      <c r="CR19" s="820"/>
      <c r="CS19" s="822"/>
      <c r="CT19" s="824"/>
      <c r="CU19" s="820"/>
      <c r="CV19" s="822"/>
      <c r="CW19" s="824"/>
      <c r="CX19" s="848"/>
      <c r="CY19" s="840" t="s">
        <v>68</v>
      </c>
      <c r="DA19" s="55">
        <f>SUM(DA20:DA31,DA38:DA45,DA52:DA63)</f>
        <v>0</v>
      </c>
      <c r="DB19" s="55">
        <f>SUM(DB20:DB31,DB38:DB45)</f>
        <v>0</v>
      </c>
      <c r="DD19" s="55" t="s">
        <v>164</v>
      </c>
      <c r="DE19" s="55" t="s">
        <v>165</v>
      </c>
      <c r="DF19" s="55" t="s">
        <v>166</v>
      </c>
      <c r="DG19" s="55" t="s">
        <v>167</v>
      </c>
      <c r="DH19" s="55" t="s">
        <v>168</v>
      </c>
      <c r="DI19" s="55" t="s">
        <v>169</v>
      </c>
      <c r="DJ19" s="55" t="s">
        <v>170</v>
      </c>
      <c r="DK19" s="55" t="s">
        <v>171</v>
      </c>
      <c r="DL19" s="55" t="s">
        <v>172</v>
      </c>
      <c r="DM19" s="55" t="s">
        <v>173</v>
      </c>
      <c r="DN19" s="55" t="s">
        <v>174</v>
      </c>
      <c r="DO19" s="55" t="s">
        <v>175</v>
      </c>
      <c r="DP19" s="55" t="s">
        <v>176</v>
      </c>
      <c r="DQ19" s="55" t="s">
        <v>177</v>
      </c>
      <c r="DR19" s="55" t="s">
        <v>178</v>
      </c>
      <c r="DS19" s="55" t="s">
        <v>179</v>
      </c>
      <c r="DT19" s="55" t="s">
        <v>180</v>
      </c>
      <c r="DU19" s="55" t="s">
        <v>181</v>
      </c>
    </row>
    <row r="20" spans="2:128" ht="30" customHeight="1" x14ac:dyDescent="0.25">
      <c r="B20" s="972"/>
      <c r="C20" s="979" t="s">
        <v>270</v>
      </c>
      <c r="D20" s="980"/>
      <c r="E20" s="158"/>
      <c r="F20" s="159"/>
      <c r="G20" s="160"/>
      <c r="H20" s="160"/>
      <c r="I20" s="160"/>
      <c r="J20" s="160"/>
      <c r="K20" s="160"/>
      <c r="L20" s="203">
        <f>SUM(G20:K20)</f>
        <v>0</v>
      </c>
      <c r="M20" s="176">
        <f t="shared" ref="M20" si="6">F20+L20</f>
        <v>0</v>
      </c>
      <c r="N20" s="161"/>
      <c r="O20" s="159"/>
      <c r="P20" s="160"/>
      <c r="Q20" s="160"/>
      <c r="R20" s="160"/>
      <c r="S20" s="160"/>
      <c r="T20" s="173">
        <f>SUM(O20:S20)</f>
        <v>0</v>
      </c>
      <c r="U20" s="162"/>
      <c r="V20" s="163"/>
      <c r="W20" s="176">
        <f t="shared" ref="W20" si="7">M20+T20+U20</f>
        <v>0</v>
      </c>
      <c r="X20" s="159"/>
      <c r="Y20" s="160"/>
      <c r="Z20" s="173">
        <f>F20+L20+T20+U20-X20-Y20</f>
        <v>0</v>
      </c>
      <c r="AA20" s="164"/>
      <c r="AB20" s="165"/>
      <c r="AC20" s="320"/>
      <c r="AD20" s="321"/>
      <c r="AE20" s="166"/>
      <c r="AF20" s="357"/>
      <c r="AG20" s="53">
        <f>IF(AND(AA20&lt;&gt;"",OR(AA20&lt;EXPEDIENTE!$I$25,AA20&gt;EXPEDIENTE!$I$29)),1,0)</f>
        <v>0</v>
      </c>
      <c r="AH20" s="53">
        <f>IF(AND(AB20&lt;&gt;"",OR(AB20&lt;EXPEDIENTE!$I$25,AB20&gt;EXPEDIENTE!$I$29)),1,0)</f>
        <v>0</v>
      </c>
      <c r="AI20" s="53">
        <f>IF(DATE(YEAR(EXPEDIENTE!$I$25)+1,MONTH(DATEVALUE($C20&amp;"1")),1)&gt;=DATE(YEAR(EXPEDIENTE!$I$25),MONTH(EXPEDIENTE!$I$25),1),0,1)</f>
        <v>0</v>
      </c>
      <c r="AJ20" s="53" t="e">
        <f>IF(DATE(YEAR(EXPEDIENTE!$I$25)+1,MONTH(DATEVALUE($C20&amp;"1")),1)&lt;=DATE(YEAR(EXPEDIENTE!$I$27),MONTH(EXPEDIENTE!$I$27),1),0,1)</f>
        <v>#VALUE!</v>
      </c>
      <c r="AK20" s="53" t="e">
        <f>SUM(AI20:AJ20)</f>
        <v>#VALUE!</v>
      </c>
      <c r="AM20" s="1014"/>
      <c r="AN20" s="883" t="s">
        <v>270</v>
      </c>
      <c r="AO20" s="884"/>
      <c r="AP20" s="1038"/>
      <c r="AQ20" s="1039"/>
      <c r="AR20" s="167">
        <f t="shared" ref="AR20:AR31" si="8">IF(E20="",0,E20)</f>
        <v>0</v>
      </c>
      <c r="AS20" s="168"/>
      <c r="AT20" s="169">
        <f>IF(AS20="",AR20,AS20)</f>
        <v>0</v>
      </c>
      <c r="AU20" s="170">
        <f t="shared" ref="AU20:AU31" si="9">IF(F20="",0,F20)</f>
        <v>0</v>
      </c>
      <c r="AV20" s="171"/>
      <c r="AW20" s="172">
        <f>IF(AV20="",AU20,AV20)</f>
        <v>0</v>
      </c>
      <c r="AX20" s="170">
        <f t="shared" ref="AX20:AX31" si="10">IF(G20="",0,G20)</f>
        <v>0</v>
      </c>
      <c r="AY20" s="173"/>
      <c r="AZ20" s="174">
        <f>IF(AY20="",AX20,AY20)</f>
        <v>0</v>
      </c>
      <c r="BA20" s="174">
        <f t="shared" ref="BA20:BA31" si="11">IF(H20="",0,H20)</f>
        <v>0</v>
      </c>
      <c r="BB20" s="173"/>
      <c r="BC20" s="174">
        <f>IF(BB20="",BA20,BB20)</f>
        <v>0</v>
      </c>
      <c r="BD20" s="174">
        <f t="shared" ref="BD20:BD31" si="12">IF(I20="",0,I20)</f>
        <v>0</v>
      </c>
      <c r="BE20" s="173"/>
      <c r="BF20" s="174">
        <f>IF(BE20="",BD20,BE20)</f>
        <v>0</v>
      </c>
      <c r="BG20" s="174">
        <f t="shared" ref="BG20:BG31" si="13">IF(J20="",0,J20)</f>
        <v>0</v>
      </c>
      <c r="BH20" s="173"/>
      <c r="BI20" s="174">
        <f>IF(BH20="",BG20,BH20)</f>
        <v>0</v>
      </c>
      <c r="BJ20" s="174">
        <f t="shared" ref="BJ20:BJ31" si="14">IF(K20="",0,K20)</f>
        <v>0</v>
      </c>
      <c r="BK20" s="173"/>
      <c r="BL20" s="174">
        <f>IF(BK20="",BJ20,BK20)</f>
        <v>0</v>
      </c>
      <c r="BM20" s="175">
        <f>AZ20+BC20+BF20+BI20+BL20</f>
        <v>0</v>
      </c>
      <c r="BN20" s="176">
        <f>AW20+BM20</f>
        <v>0</v>
      </c>
      <c r="BO20" s="177"/>
      <c r="BP20" s="170">
        <f t="shared" ref="BP20:BP31" si="15">IF(O20="",0,O20)</f>
        <v>0</v>
      </c>
      <c r="BQ20" s="171"/>
      <c r="BR20" s="178">
        <f>IF(BQ20="",BP20,BQ20)</f>
        <v>0</v>
      </c>
      <c r="BS20" s="174">
        <f t="shared" ref="BS20:BS31" si="16">IF(P20="",0,P20)</f>
        <v>0</v>
      </c>
      <c r="BT20" s="173"/>
      <c r="BU20" s="174">
        <f>IF(BT20="",BS20,BT20)</f>
        <v>0</v>
      </c>
      <c r="BV20" s="174">
        <f t="shared" ref="BV20:BV31" si="17">IF(Q20="",0,Q20)</f>
        <v>0</v>
      </c>
      <c r="BW20" s="173"/>
      <c r="BX20" s="174">
        <f>IF(BW20="",BV20,BW20)</f>
        <v>0</v>
      </c>
      <c r="BY20" s="174">
        <f t="shared" ref="BY20:BY31" si="18">IF(R20="",0,R20)</f>
        <v>0</v>
      </c>
      <c r="BZ20" s="173"/>
      <c r="CA20" s="174">
        <f>IF(BZ20="",BY20,BZ20)</f>
        <v>0</v>
      </c>
      <c r="CB20" s="174">
        <f t="shared" ref="CB20:CB31" si="19">IF(S20="",0,S20)</f>
        <v>0</v>
      </c>
      <c r="CC20" s="173"/>
      <c r="CD20" s="174">
        <f>IF(CC20="",CB20,CC20)</f>
        <v>0</v>
      </c>
      <c r="CE20" s="175">
        <f>BR20+BU20+BX20+CA20+CD20</f>
        <v>0</v>
      </c>
      <c r="CF20" s="179">
        <f t="shared" ref="CF20:CF31" si="20">IF(U20="",0,U20)</f>
        <v>0</v>
      </c>
      <c r="CG20" s="180"/>
      <c r="CH20" s="181">
        <f>IF(CG20="",CF20,CG20)</f>
        <v>0</v>
      </c>
      <c r="CI20" s="182"/>
      <c r="CJ20" s="183">
        <f>BN20+CE20+CH20</f>
        <v>0</v>
      </c>
      <c r="CK20" s="170">
        <f t="shared" ref="CK20:CK31" si="21">IF(X20="",0,X20)</f>
        <v>0</v>
      </c>
      <c r="CL20" s="171"/>
      <c r="CM20" s="172">
        <f>IF(CL20="",CK20,CL20)</f>
        <v>0</v>
      </c>
      <c r="CN20" s="179">
        <f t="shared" ref="CN20:CN31" si="22">IF(Y20="",0,Y20)</f>
        <v>0</v>
      </c>
      <c r="CO20" s="180"/>
      <c r="CP20" s="181">
        <f>IF(CO20="",CN20,CO20)</f>
        <v>0</v>
      </c>
      <c r="CQ20" s="184">
        <f>AW20+BM20+CE20+CH20-CM20-CP20</f>
        <v>0</v>
      </c>
      <c r="CR20" s="185" t="str">
        <f t="shared" ref="CR20:CR31" si="23">IF(AA20="","",AA20)</f>
        <v/>
      </c>
      <c r="CS20" s="186"/>
      <c r="CT20" s="187" t="str">
        <f>IF(CS20="",CR20,CS20)</f>
        <v/>
      </c>
      <c r="CU20" s="188" t="str">
        <f t="shared" ref="CU20:CU31" si="24">IF(AB20="","",AB20)</f>
        <v/>
      </c>
      <c r="CV20" s="189"/>
      <c r="CW20" s="190" t="str">
        <f>IF(CV20="",CU20,CV20)</f>
        <v/>
      </c>
      <c r="CX20" s="191" t="str">
        <f>IF(DD20=0,"",DD20)</f>
        <v/>
      </c>
      <c r="CY20" s="192"/>
      <c r="DA20" s="53">
        <f>IF(AND(CT20&lt;&gt;"",OR(CT20&lt;EXPEDIENTE!$I$25,CT20&gt;EXPEDIENTE!$I$29)),1,0)</f>
        <v>0</v>
      </c>
      <c r="DB20" s="53">
        <f>IF(AND(CW20&lt;&gt;"",OR(CW20&lt;EXPEDIENTE!$I$25,CW20&gt;EXPEDIENTE!$I$29)),1,0)</f>
        <v>0</v>
      </c>
      <c r="DD20" s="55">
        <f t="shared" ref="DD20:DD31" si="25">SUM(DE20:DU20)</f>
        <v>0</v>
      </c>
      <c r="DE20" s="55">
        <f>IF(AS20="",0,1)</f>
        <v>0</v>
      </c>
      <c r="DF20" s="55">
        <f>IF(AV20="",0,1)</f>
        <v>0</v>
      </c>
      <c r="DG20" s="55">
        <f>IF(AY20="",0,1)</f>
        <v>0</v>
      </c>
      <c r="DH20" s="55">
        <f>IF(BB20="",0,1)</f>
        <v>0</v>
      </c>
      <c r="DI20" s="55">
        <f>IF(BE20="",0,1)</f>
        <v>0</v>
      </c>
      <c r="DJ20" s="55">
        <f>IF(BH20="",0,1)</f>
        <v>0</v>
      </c>
      <c r="DK20" s="55">
        <f>IF(BK20="",0,1)</f>
        <v>0</v>
      </c>
      <c r="DL20" s="55">
        <f>IF(BQ20="",0,1)</f>
        <v>0</v>
      </c>
      <c r="DM20" s="55">
        <f>IF(BT20="",0,1)</f>
        <v>0</v>
      </c>
      <c r="DN20" s="55">
        <f>IF(BW20="",0,1)</f>
        <v>0</v>
      </c>
      <c r="DO20" s="55">
        <f>IF(BZ20="",0,1)</f>
        <v>0</v>
      </c>
      <c r="DP20" s="55">
        <f>IF(CC20="",0,1)</f>
        <v>0</v>
      </c>
      <c r="DQ20" s="55">
        <f>IF(CG20="",0,1)</f>
        <v>0</v>
      </c>
      <c r="DR20" s="55">
        <f>IF(CL20="",0,1)</f>
        <v>0</v>
      </c>
      <c r="DS20" s="55">
        <f>IF(CO20="",0,1)</f>
        <v>0</v>
      </c>
      <c r="DT20" s="55">
        <f>IF(CS20="",0,1)</f>
        <v>0</v>
      </c>
      <c r="DU20" s="55">
        <f>IF(CV20="",0,1)</f>
        <v>0</v>
      </c>
      <c r="DW20" s="55">
        <f>IF(CY20&lt;&gt;"",MAX($DW$9:DW19)+1,0)</f>
        <v>0</v>
      </c>
      <c r="DX20" s="130" t="str">
        <f>IF(DW20=0,"",CY20)</f>
        <v/>
      </c>
    </row>
    <row r="21" spans="2:128" ht="30" customHeight="1" x14ac:dyDescent="0.25">
      <c r="B21" s="972"/>
      <c r="C21" s="981" t="s">
        <v>271</v>
      </c>
      <c r="D21" s="982"/>
      <c r="E21" s="193"/>
      <c r="F21" s="194"/>
      <c r="G21" s="195"/>
      <c r="H21" s="195"/>
      <c r="I21" s="195"/>
      <c r="J21" s="195"/>
      <c r="K21" s="195"/>
      <c r="L21" s="203">
        <f t="shared" ref="L21:L31" si="26">SUM(G21:K21)</f>
        <v>0</v>
      </c>
      <c r="M21" s="205">
        <f>F21+L21</f>
        <v>0</v>
      </c>
      <c r="N21" s="161"/>
      <c r="O21" s="194"/>
      <c r="P21" s="195"/>
      <c r="Q21" s="195"/>
      <c r="R21" s="195"/>
      <c r="S21" s="195"/>
      <c r="T21" s="203">
        <f t="shared" ref="T21:T31" si="27">SUM(O21:S21)</f>
        <v>0</v>
      </c>
      <c r="U21" s="196"/>
      <c r="V21" s="163"/>
      <c r="W21" s="205">
        <f>M21+T21+U21</f>
        <v>0</v>
      </c>
      <c r="X21" s="194"/>
      <c r="Y21" s="195"/>
      <c r="Z21" s="203">
        <f t="shared" ref="Z21:Z31" si="28">F21+L21+T21+U21-X21-Y21</f>
        <v>0</v>
      </c>
      <c r="AA21" s="164"/>
      <c r="AB21" s="165"/>
      <c r="AC21" s="322"/>
      <c r="AD21" s="323"/>
      <c r="AE21" s="197"/>
      <c r="AF21" s="357"/>
      <c r="AG21" s="53">
        <f>IF(AND(AA21&lt;&gt;"",OR(AA21&lt;EXPEDIENTE!$I$25,AA21&gt;EXPEDIENTE!$I$29)),1,0)</f>
        <v>0</v>
      </c>
      <c r="AH21" s="53">
        <f>IF(AND(AB21&lt;&gt;"",OR(AB21&lt;EXPEDIENTE!$I$25,AB21&gt;EXPEDIENTE!$I$29)),1,0)</f>
        <v>0</v>
      </c>
      <c r="AI21" s="53">
        <f>IF(DATE(YEAR(EXPEDIENTE!$I$25)+1,MONTH(DATEVALUE($C21&amp;"1")),1)&gt;=DATE(YEAR(EXPEDIENTE!$I$25),MONTH(EXPEDIENTE!$I$25),1),0,1)</f>
        <v>0</v>
      </c>
      <c r="AJ21" s="53" t="e">
        <f>IF(DATE(YEAR(EXPEDIENTE!$I$25)+1,MONTH(DATEVALUE($C21&amp;"1")),1)&lt;=DATE(YEAR(EXPEDIENTE!$I$27),MONTH(EXPEDIENTE!$I$27),1),0,1)</f>
        <v>#VALUE!</v>
      </c>
      <c r="AK21" s="53" t="e">
        <f t="shared" ref="AK21:AK31" si="29">SUM(AI21:AJ21)</f>
        <v>#VALUE!</v>
      </c>
      <c r="AM21" s="1014"/>
      <c r="AN21" s="859" t="s">
        <v>271</v>
      </c>
      <c r="AO21" s="860"/>
      <c r="AP21" s="1038"/>
      <c r="AQ21" s="1039"/>
      <c r="AR21" s="198">
        <f t="shared" si="8"/>
        <v>0</v>
      </c>
      <c r="AS21" s="85"/>
      <c r="AT21" s="199">
        <f t="shared" ref="AT21:AT31" si="30">IF(AS21="",AR21,AS21)</f>
        <v>0</v>
      </c>
      <c r="AU21" s="200">
        <f t="shared" si="9"/>
        <v>0</v>
      </c>
      <c r="AV21" s="201"/>
      <c r="AW21" s="202">
        <f t="shared" ref="AW21:AW31" si="31">IF(AV21="",AU21,AV21)</f>
        <v>0</v>
      </c>
      <c r="AX21" s="200">
        <f t="shared" si="10"/>
        <v>0</v>
      </c>
      <c r="AY21" s="203"/>
      <c r="AZ21" s="204">
        <f t="shared" ref="AZ21:AZ31" si="32">IF(AY21="",AX21,AY21)</f>
        <v>0</v>
      </c>
      <c r="BA21" s="204">
        <f t="shared" si="11"/>
        <v>0</v>
      </c>
      <c r="BB21" s="203"/>
      <c r="BC21" s="204">
        <f t="shared" ref="BC21:BC31" si="33">IF(BB21="",BA21,BB21)</f>
        <v>0</v>
      </c>
      <c r="BD21" s="204">
        <f t="shared" si="12"/>
        <v>0</v>
      </c>
      <c r="BE21" s="203"/>
      <c r="BF21" s="204">
        <f t="shared" ref="BF21:BF31" si="34">IF(BE21="",BD21,BE21)</f>
        <v>0</v>
      </c>
      <c r="BG21" s="204">
        <f t="shared" si="13"/>
        <v>0</v>
      </c>
      <c r="BH21" s="203"/>
      <c r="BI21" s="204">
        <f t="shared" ref="BI21:BI31" si="35">IF(BH21="",BG21,BH21)</f>
        <v>0</v>
      </c>
      <c r="BJ21" s="204">
        <f t="shared" si="14"/>
        <v>0</v>
      </c>
      <c r="BK21" s="203"/>
      <c r="BL21" s="204">
        <f t="shared" ref="BL21:BL31" si="36">IF(BK21="",BJ21,BK21)</f>
        <v>0</v>
      </c>
      <c r="BM21" s="175">
        <f t="shared" ref="BM21:BM31" si="37">AZ21+BC21+BF21+BI21+BL21</f>
        <v>0</v>
      </c>
      <c r="BN21" s="205">
        <f t="shared" ref="BN21:BN31" si="38">AW21+BM21</f>
        <v>0</v>
      </c>
      <c r="BO21" s="177"/>
      <c r="BP21" s="200">
        <f t="shared" si="15"/>
        <v>0</v>
      </c>
      <c r="BQ21" s="201"/>
      <c r="BR21" s="206">
        <f t="shared" ref="BR21:BR31" si="39">IF(BQ21="",BP21,BQ21)</f>
        <v>0</v>
      </c>
      <c r="BS21" s="204">
        <f t="shared" si="16"/>
        <v>0</v>
      </c>
      <c r="BT21" s="203"/>
      <c r="BU21" s="204">
        <f t="shared" ref="BU21:BU31" si="40">IF(BT21="",BS21,BT21)</f>
        <v>0</v>
      </c>
      <c r="BV21" s="204">
        <f t="shared" si="17"/>
        <v>0</v>
      </c>
      <c r="BW21" s="203"/>
      <c r="BX21" s="204">
        <f t="shared" ref="BX21:BX31" si="41">IF(BW21="",BV21,BW21)</f>
        <v>0</v>
      </c>
      <c r="BY21" s="204">
        <f t="shared" si="18"/>
        <v>0</v>
      </c>
      <c r="BZ21" s="203"/>
      <c r="CA21" s="204">
        <f t="shared" ref="CA21:CA31" si="42">IF(BZ21="",BY21,BZ21)</f>
        <v>0</v>
      </c>
      <c r="CB21" s="204">
        <f t="shared" si="19"/>
        <v>0</v>
      </c>
      <c r="CC21" s="203"/>
      <c r="CD21" s="204">
        <f t="shared" ref="CD21:CD31" si="43">IF(CC21="",CB21,CC21)</f>
        <v>0</v>
      </c>
      <c r="CE21" s="175">
        <f t="shared" ref="CE21:CE31" si="44">BR21+BU21+BX21+CA21+CD21</f>
        <v>0</v>
      </c>
      <c r="CF21" s="200">
        <f t="shared" si="20"/>
        <v>0</v>
      </c>
      <c r="CG21" s="203"/>
      <c r="CH21" s="207">
        <f t="shared" ref="CH21:CH31" si="45">IF(CG21="",CF21,CG21)</f>
        <v>0</v>
      </c>
      <c r="CI21" s="182"/>
      <c r="CJ21" s="208">
        <f t="shared" ref="CJ21:CJ31" si="46">BN21+CE21+CH21</f>
        <v>0</v>
      </c>
      <c r="CK21" s="200">
        <f t="shared" si="21"/>
        <v>0</v>
      </c>
      <c r="CL21" s="201"/>
      <c r="CM21" s="202">
        <f t="shared" ref="CM21:CM31" si="47">IF(CL21="",CK21,CL21)</f>
        <v>0</v>
      </c>
      <c r="CN21" s="200">
        <f t="shared" si="22"/>
        <v>0</v>
      </c>
      <c r="CO21" s="203"/>
      <c r="CP21" s="207">
        <f t="shared" ref="CP21:CP31" si="48">IF(CO21="",CN21,CO21)</f>
        <v>0</v>
      </c>
      <c r="CQ21" s="208">
        <f t="shared" ref="CQ21:CQ31" si="49">AW21+BM21+CE21+CH21-CM21-CP21</f>
        <v>0</v>
      </c>
      <c r="CR21" s="185" t="str">
        <f t="shared" si="23"/>
        <v/>
      </c>
      <c r="CS21" s="186"/>
      <c r="CT21" s="187" t="str">
        <f t="shared" ref="CT21:CT31" si="50">IF(CS21="",CR21,CS21)</f>
        <v/>
      </c>
      <c r="CU21" s="188" t="str">
        <f t="shared" si="24"/>
        <v/>
      </c>
      <c r="CV21" s="189"/>
      <c r="CW21" s="190" t="str">
        <f t="shared" ref="CW21:CW31" si="51">IF(CV21="",CU21,CV21)</f>
        <v/>
      </c>
      <c r="CX21" s="209" t="str">
        <f t="shared" ref="CX21:CX31" si="52">IF(DD21=0,"",DD21)</f>
        <v/>
      </c>
      <c r="CY21" s="210"/>
      <c r="DA21" s="53">
        <f>IF(AND(CT21&lt;&gt;"",OR(CT21&lt;EXPEDIENTE!$I$25,CT21&gt;EXPEDIENTE!$I$29)),1,0)</f>
        <v>0</v>
      </c>
      <c r="DB21" s="53">
        <f>IF(AND(CW21&lt;&gt;"",OR(CW21&lt;EXPEDIENTE!$I$25,CW21&gt;EXPEDIENTE!$I$29)),1,0)</f>
        <v>0</v>
      </c>
      <c r="DD21" s="55">
        <f t="shared" si="25"/>
        <v>0</v>
      </c>
      <c r="DE21" s="55">
        <f t="shared" ref="DE21:DE31" si="53">IF(AS21="",0,1)</f>
        <v>0</v>
      </c>
      <c r="DF21" s="55">
        <f t="shared" ref="DF21:DF31" si="54">IF(AV21="",0,1)</f>
        <v>0</v>
      </c>
      <c r="DG21" s="55">
        <f t="shared" ref="DG21:DG31" si="55">IF(AY21="",0,1)</f>
        <v>0</v>
      </c>
      <c r="DH21" s="55">
        <f t="shared" ref="DH21:DH31" si="56">IF(BB21="",0,1)</f>
        <v>0</v>
      </c>
      <c r="DI21" s="55">
        <f t="shared" ref="DI21:DI31" si="57">IF(BE21="",0,1)</f>
        <v>0</v>
      </c>
      <c r="DJ21" s="55">
        <f t="shared" ref="DJ21:DJ31" si="58">IF(BH21="",0,1)</f>
        <v>0</v>
      </c>
      <c r="DK21" s="55">
        <f t="shared" ref="DK21:DK31" si="59">IF(BK21="",0,1)</f>
        <v>0</v>
      </c>
      <c r="DL21" s="55">
        <f t="shared" ref="DL21:DL31" si="60">IF(BQ21="",0,1)</f>
        <v>0</v>
      </c>
      <c r="DM21" s="55">
        <f t="shared" ref="DM21:DM31" si="61">IF(BT21="",0,1)</f>
        <v>0</v>
      </c>
      <c r="DN21" s="55">
        <f t="shared" ref="DN21:DN31" si="62">IF(BW21="",0,1)</f>
        <v>0</v>
      </c>
      <c r="DO21" s="55">
        <f t="shared" ref="DO21:DO31" si="63">IF(BZ21="",0,1)</f>
        <v>0</v>
      </c>
      <c r="DP21" s="55">
        <f t="shared" ref="DP21:DP31" si="64">IF(CC21="",0,1)</f>
        <v>0</v>
      </c>
      <c r="DQ21" s="55">
        <f t="shared" ref="DQ21:DQ31" si="65">IF(CG21="",0,1)</f>
        <v>0</v>
      </c>
      <c r="DR21" s="55">
        <f t="shared" ref="DR21:DR31" si="66">IF(CL21="",0,1)</f>
        <v>0</v>
      </c>
      <c r="DS21" s="55">
        <f t="shared" ref="DS21:DS31" si="67">IF(CO21="",0,1)</f>
        <v>0</v>
      </c>
      <c r="DT21" s="55">
        <f t="shared" ref="DT21:DT31" si="68">IF(CS21="",0,1)</f>
        <v>0</v>
      </c>
      <c r="DU21" s="55">
        <f t="shared" ref="DU21:DU31" si="69">IF(CV21="",0,1)</f>
        <v>0</v>
      </c>
      <c r="DW21" s="55">
        <f>IF(CY21&lt;&gt;"",MAX($DW$9:DW20)+1,0)</f>
        <v>0</v>
      </c>
      <c r="DX21" s="130" t="str">
        <f t="shared" ref="DX21:DX31" si="70">IF(DW21=0,"",CY21)</f>
        <v/>
      </c>
    </row>
    <row r="22" spans="2:128" ht="30" customHeight="1" x14ac:dyDescent="0.25">
      <c r="B22" s="972"/>
      <c r="C22" s="981" t="s">
        <v>272</v>
      </c>
      <c r="D22" s="982"/>
      <c r="E22" s="193"/>
      <c r="F22" s="194"/>
      <c r="G22" s="195"/>
      <c r="H22" s="195"/>
      <c r="I22" s="195"/>
      <c r="J22" s="195"/>
      <c r="K22" s="195"/>
      <c r="L22" s="203">
        <f t="shared" si="26"/>
        <v>0</v>
      </c>
      <c r="M22" s="205">
        <f t="shared" ref="M22:M31" si="71">F22+L22</f>
        <v>0</v>
      </c>
      <c r="N22" s="161"/>
      <c r="O22" s="194"/>
      <c r="P22" s="195"/>
      <c r="Q22" s="195"/>
      <c r="R22" s="195"/>
      <c r="S22" s="195"/>
      <c r="T22" s="203">
        <f t="shared" si="27"/>
        <v>0</v>
      </c>
      <c r="U22" s="196"/>
      <c r="V22" s="163"/>
      <c r="W22" s="205">
        <f t="shared" ref="W22:W31" si="72">M22+T22+U22</f>
        <v>0</v>
      </c>
      <c r="X22" s="194"/>
      <c r="Y22" s="195"/>
      <c r="Z22" s="203">
        <f t="shared" si="28"/>
        <v>0</v>
      </c>
      <c r="AA22" s="164"/>
      <c r="AB22" s="165"/>
      <c r="AC22" s="322"/>
      <c r="AD22" s="323"/>
      <c r="AE22" s="197"/>
      <c r="AF22" s="357"/>
      <c r="AG22" s="53">
        <f>IF(AND(AA22&lt;&gt;"",OR(AA22&lt;EXPEDIENTE!$I$25,AA22&gt;EXPEDIENTE!$I$29)),1,0)</f>
        <v>0</v>
      </c>
      <c r="AH22" s="53">
        <f>IF(AND(AB22&lt;&gt;"",OR(AB22&lt;EXPEDIENTE!$I$25,AB22&gt;EXPEDIENTE!$I$29)),1,0)</f>
        <v>0</v>
      </c>
      <c r="AI22" s="53">
        <f>IF(DATE(YEAR(EXPEDIENTE!$I$25)+1,MONTH(DATEVALUE($C22&amp;"1")),1)&gt;=DATE(YEAR(EXPEDIENTE!$I$25),MONTH(EXPEDIENTE!$I$25),1),0,1)</f>
        <v>0</v>
      </c>
      <c r="AJ22" s="53" t="e">
        <f>IF(DATE(YEAR(EXPEDIENTE!$I$25)+1,MONTH(DATEVALUE($C22&amp;"1")),1)&lt;=DATE(YEAR(EXPEDIENTE!$I$27),MONTH(EXPEDIENTE!$I$27),1),0,1)</f>
        <v>#VALUE!</v>
      </c>
      <c r="AK22" s="53" t="e">
        <f t="shared" si="29"/>
        <v>#VALUE!</v>
      </c>
      <c r="AM22" s="1014"/>
      <c r="AN22" s="859" t="s">
        <v>272</v>
      </c>
      <c r="AO22" s="860"/>
      <c r="AP22" s="1038"/>
      <c r="AQ22" s="1039"/>
      <c r="AR22" s="198">
        <f t="shared" si="8"/>
        <v>0</v>
      </c>
      <c r="AS22" s="85"/>
      <c r="AT22" s="199">
        <f t="shared" si="30"/>
        <v>0</v>
      </c>
      <c r="AU22" s="200">
        <f t="shared" si="9"/>
        <v>0</v>
      </c>
      <c r="AV22" s="201"/>
      <c r="AW22" s="202">
        <f t="shared" si="31"/>
        <v>0</v>
      </c>
      <c r="AX22" s="200">
        <f t="shared" si="10"/>
        <v>0</v>
      </c>
      <c r="AY22" s="203"/>
      <c r="AZ22" s="204">
        <f t="shared" si="32"/>
        <v>0</v>
      </c>
      <c r="BA22" s="204">
        <f t="shared" si="11"/>
        <v>0</v>
      </c>
      <c r="BB22" s="203"/>
      <c r="BC22" s="204">
        <f t="shared" si="33"/>
        <v>0</v>
      </c>
      <c r="BD22" s="204">
        <f t="shared" si="12"/>
        <v>0</v>
      </c>
      <c r="BE22" s="203"/>
      <c r="BF22" s="204">
        <f t="shared" si="34"/>
        <v>0</v>
      </c>
      <c r="BG22" s="204">
        <f t="shared" si="13"/>
        <v>0</v>
      </c>
      <c r="BH22" s="203"/>
      <c r="BI22" s="204">
        <f t="shared" si="35"/>
        <v>0</v>
      </c>
      <c r="BJ22" s="204">
        <f t="shared" si="14"/>
        <v>0</v>
      </c>
      <c r="BK22" s="203"/>
      <c r="BL22" s="204">
        <f t="shared" si="36"/>
        <v>0</v>
      </c>
      <c r="BM22" s="175">
        <f t="shared" si="37"/>
        <v>0</v>
      </c>
      <c r="BN22" s="205">
        <f t="shared" si="38"/>
        <v>0</v>
      </c>
      <c r="BO22" s="177"/>
      <c r="BP22" s="200">
        <f t="shared" si="15"/>
        <v>0</v>
      </c>
      <c r="BQ22" s="201"/>
      <c r="BR22" s="206">
        <f t="shared" si="39"/>
        <v>0</v>
      </c>
      <c r="BS22" s="204">
        <f t="shared" si="16"/>
        <v>0</v>
      </c>
      <c r="BT22" s="203"/>
      <c r="BU22" s="204">
        <f t="shared" si="40"/>
        <v>0</v>
      </c>
      <c r="BV22" s="204">
        <f t="shared" si="17"/>
        <v>0</v>
      </c>
      <c r="BW22" s="203"/>
      <c r="BX22" s="204">
        <f t="shared" si="41"/>
        <v>0</v>
      </c>
      <c r="BY22" s="204">
        <f t="shared" si="18"/>
        <v>0</v>
      </c>
      <c r="BZ22" s="203"/>
      <c r="CA22" s="204">
        <f t="shared" si="42"/>
        <v>0</v>
      </c>
      <c r="CB22" s="204">
        <f t="shared" si="19"/>
        <v>0</v>
      </c>
      <c r="CC22" s="203"/>
      <c r="CD22" s="204">
        <f t="shared" si="43"/>
        <v>0</v>
      </c>
      <c r="CE22" s="175">
        <f t="shared" si="44"/>
        <v>0</v>
      </c>
      <c r="CF22" s="200">
        <f t="shared" si="20"/>
        <v>0</v>
      </c>
      <c r="CG22" s="203"/>
      <c r="CH22" s="207">
        <f t="shared" si="45"/>
        <v>0</v>
      </c>
      <c r="CI22" s="182"/>
      <c r="CJ22" s="208">
        <f t="shared" si="46"/>
        <v>0</v>
      </c>
      <c r="CK22" s="200">
        <f t="shared" si="21"/>
        <v>0</v>
      </c>
      <c r="CL22" s="201"/>
      <c r="CM22" s="202">
        <f t="shared" si="47"/>
        <v>0</v>
      </c>
      <c r="CN22" s="200">
        <f t="shared" si="22"/>
        <v>0</v>
      </c>
      <c r="CO22" s="203"/>
      <c r="CP22" s="207">
        <f t="shared" si="48"/>
        <v>0</v>
      </c>
      <c r="CQ22" s="208">
        <f t="shared" si="49"/>
        <v>0</v>
      </c>
      <c r="CR22" s="185" t="str">
        <f t="shared" si="23"/>
        <v/>
      </c>
      <c r="CS22" s="186"/>
      <c r="CT22" s="187" t="str">
        <f t="shared" si="50"/>
        <v/>
      </c>
      <c r="CU22" s="188" t="str">
        <f t="shared" si="24"/>
        <v/>
      </c>
      <c r="CV22" s="189"/>
      <c r="CW22" s="190" t="str">
        <f t="shared" si="51"/>
        <v/>
      </c>
      <c r="CX22" s="209" t="str">
        <f t="shared" si="52"/>
        <v/>
      </c>
      <c r="CY22" s="210"/>
      <c r="DA22" s="53">
        <f>IF(AND(CT22&lt;&gt;"",OR(CT22&lt;EXPEDIENTE!$I$25,CT22&gt;EXPEDIENTE!$I$29)),1,0)</f>
        <v>0</v>
      </c>
      <c r="DB22" s="53">
        <f>IF(AND(CW22&lt;&gt;"",OR(CW22&lt;EXPEDIENTE!$I$25,CW22&gt;EXPEDIENTE!$I$29)),1,0)</f>
        <v>0</v>
      </c>
      <c r="DD22" s="55">
        <f t="shared" si="25"/>
        <v>0</v>
      </c>
      <c r="DE22" s="55">
        <f t="shared" si="53"/>
        <v>0</v>
      </c>
      <c r="DF22" s="55">
        <f t="shared" si="54"/>
        <v>0</v>
      </c>
      <c r="DG22" s="55">
        <f t="shared" si="55"/>
        <v>0</v>
      </c>
      <c r="DH22" s="55">
        <f t="shared" si="56"/>
        <v>0</v>
      </c>
      <c r="DI22" s="55">
        <f t="shared" si="57"/>
        <v>0</v>
      </c>
      <c r="DJ22" s="55">
        <f t="shared" si="58"/>
        <v>0</v>
      </c>
      <c r="DK22" s="55">
        <f t="shared" si="59"/>
        <v>0</v>
      </c>
      <c r="DL22" s="55">
        <f t="shared" si="60"/>
        <v>0</v>
      </c>
      <c r="DM22" s="55">
        <f t="shared" si="61"/>
        <v>0</v>
      </c>
      <c r="DN22" s="55">
        <f t="shared" si="62"/>
        <v>0</v>
      </c>
      <c r="DO22" s="55">
        <f t="shared" si="63"/>
        <v>0</v>
      </c>
      <c r="DP22" s="55">
        <f t="shared" si="64"/>
        <v>0</v>
      </c>
      <c r="DQ22" s="55">
        <f t="shared" si="65"/>
        <v>0</v>
      </c>
      <c r="DR22" s="55">
        <f t="shared" si="66"/>
        <v>0</v>
      </c>
      <c r="DS22" s="55">
        <f t="shared" si="67"/>
        <v>0</v>
      </c>
      <c r="DT22" s="55">
        <f t="shared" si="68"/>
        <v>0</v>
      </c>
      <c r="DU22" s="55">
        <f t="shared" si="69"/>
        <v>0</v>
      </c>
      <c r="DW22" s="55">
        <f>IF(CY22&lt;&gt;"",MAX($DW$9:DW21)+1,0)</f>
        <v>0</v>
      </c>
      <c r="DX22" s="130" t="str">
        <f t="shared" si="70"/>
        <v/>
      </c>
    </row>
    <row r="23" spans="2:128" ht="30" customHeight="1" x14ac:dyDescent="0.25">
      <c r="B23" s="972"/>
      <c r="C23" s="981" t="s">
        <v>273</v>
      </c>
      <c r="D23" s="982"/>
      <c r="E23" s="193"/>
      <c r="F23" s="194"/>
      <c r="G23" s="195"/>
      <c r="H23" s="195"/>
      <c r="I23" s="195"/>
      <c r="J23" s="195"/>
      <c r="K23" s="195"/>
      <c r="L23" s="203">
        <f t="shared" si="26"/>
        <v>0</v>
      </c>
      <c r="M23" s="205">
        <f t="shared" si="71"/>
        <v>0</v>
      </c>
      <c r="N23" s="161"/>
      <c r="O23" s="194"/>
      <c r="P23" s="195"/>
      <c r="Q23" s="195"/>
      <c r="R23" s="195"/>
      <c r="S23" s="195"/>
      <c r="T23" s="203">
        <f t="shared" si="27"/>
        <v>0</v>
      </c>
      <c r="U23" s="196"/>
      <c r="V23" s="163"/>
      <c r="W23" s="205">
        <f t="shared" si="72"/>
        <v>0</v>
      </c>
      <c r="X23" s="194"/>
      <c r="Y23" s="195"/>
      <c r="Z23" s="203">
        <f t="shared" si="28"/>
        <v>0</v>
      </c>
      <c r="AA23" s="164"/>
      <c r="AB23" s="165"/>
      <c r="AC23" s="322"/>
      <c r="AD23" s="323"/>
      <c r="AE23" s="197"/>
      <c r="AF23" s="357"/>
      <c r="AG23" s="53">
        <f>IF(AND(AA23&lt;&gt;"",OR(AA23&lt;EXPEDIENTE!$I$25,AA23&gt;EXPEDIENTE!$I$29)),1,0)</f>
        <v>0</v>
      </c>
      <c r="AH23" s="53">
        <f>IF(AND(AB23&lt;&gt;"",OR(AB23&lt;EXPEDIENTE!$I$25,AB23&gt;EXPEDIENTE!$I$29)),1,0)</f>
        <v>0</v>
      </c>
      <c r="AI23" s="53">
        <f>IF(DATE(YEAR(EXPEDIENTE!$I$25)+1,MONTH(DATEVALUE($C23&amp;"1")),1)&gt;=DATE(YEAR(EXPEDIENTE!$I$25),MONTH(EXPEDIENTE!$I$25),1),0,1)</f>
        <v>0</v>
      </c>
      <c r="AJ23" s="53" t="e">
        <f>IF(DATE(YEAR(EXPEDIENTE!$I$25)+1,MONTH(DATEVALUE($C23&amp;"1")),1)&lt;=DATE(YEAR(EXPEDIENTE!$I$27),MONTH(EXPEDIENTE!$I$27),1),0,1)</f>
        <v>#VALUE!</v>
      </c>
      <c r="AK23" s="53" t="e">
        <f t="shared" si="29"/>
        <v>#VALUE!</v>
      </c>
      <c r="AM23" s="1014"/>
      <c r="AN23" s="859" t="s">
        <v>273</v>
      </c>
      <c r="AO23" s="860"/>
      <c r="AP23" s="1038"/>
      <c r="AQ23" s="1039"/>
      <c r="AR23" s="198">
        <f t="shared" si="8"/>
        <v>0</v>
      </c>
      <c r="AS23" s="85"/>
      <c r="AT23" s="199">
        <f t="shared" si="30"/>
        <v>0</v>
      </c>
      <c r="AU23" s="200">
        <f t="shared" si="9"/>
        <v>0</v>
      </c>
      <c r="AV23" s="201"/>
      <c r="AW23" s="202">
        <f t="shared" si="31"/>
        <v>0</v>
      </c>
      <c r="AX23" s="200">
        <f t="shared" si="10"/>
        <v>0</v>
      </c>
      <c r="AY23" s="203"/>
      <c r="AZ23" s="204">
        <f t="shared" si="32"/>
        <v>0</v>
      </c>
      <c r="BA23" s="204">
        <f t="shared" si="11"/>
        <v>0</v>
      </c>
      <c r="BB23" s="203"/>
      <c r="BC23" s="204">
        <f t="shared" si="33"/>
        <v>0</v>
      </c>
      <c r="BD23" s="204">
        <f t="shared" si="12"/>
        <v>0</v>
      </c>
      <c r="BE23" s="203"/>
      <c r="BF23" s="204">
        <f t="shared" si="34"/>
        <v>0</v>
      </c>
      <c r="BG23" s="204">
        <f t="shared" si="13"/>
        <v>0</v>
      </c>
      <c r="BH23" s="203"/>
      <c r="BI23" s="204">
        <f t="shared" si="35"/>
        <v>0</v>
      </c>
      <c r="BJ23" s="204">
        <f t="shared" si="14"/>
        <v>0</v>
      </c>
      <c r="BK23" s="203"/>
      <c r="BL23" s="204">
        <f t="shared" si="36"/>
        <v>0</v>
      </c>
      <c r="BM23" s="175">
        <f t="shared" si="37"/>
        <v>0</v>
      </c>
      <c r="BN23" s="205">
        <f t="shared" si="38"/>
        <v>0</v>
      </c>
      <c r="BO23" s="177"/>
      <c r="BP23" s="200">
        <f t="shared" si="15"/>
        <v>0</v>
      </c>
      <c r="BQ23" s="201"/>
      <c r="BR23" s="206">
        <f t="shared" si="39"/>
        <v>0</v>
      </c>
      <c r="BS23" s="204">
        <f t="shared" si="16"/>
        <v>0</v>
      </c>
      <c r="BT23" s="203"/>
      <c r="BU23" s="204">
        <f t="shared" si="40"/>
        <v>0</v>
      </c>
      <c r="BV23" s="204">
        <f t="shared" si="17"/>
        <v>0</v>
      </c>
      <c r="BW23" s="203"/>
      <c r="BX23" s="204">
        <f t="shared" si="41"/>
        <v>0</v>
      </c>
      <c r="BY23" s="204">
        <f t="shared" si="18"/>
        <v>0</v>
      </c>
      <c r="BZ23" s="203"/>
      <c r="CA23" s="204">
        <f t="shared" si="42"/>
        <v>0</v>
      </c>
      <c r="CB23" s="204">
        <f t="shared" si="19"/>
        <v>0</v>
      </c>
      <c r="CC23" s="203"/>
      <c r="CD23" s="204">
        <f t="shared" si="43"/>
        <v>0</v>
      </c>
      <c r="CE23" s="175">
        <f t="shared" si="44"/>
        <v>0</v>
      </c>
      <c r="CF23" s="200">
        <f t="shared" si="20"/>
        <v>0</v>
      </c>
      <c r="CG23" s="203"/>
      <c r="CH23" s="207">
        <f t="shared" si="45"/>
        <v>0</v>
      </c>
      <c r="CI23" s="182"/>
      <c r="CJ23" s="208">
        <f t="shared" si="46"/>
        <v>0</v>
      </c>
      <c r="CK23" s="200">
        <f t="shared" si="21"/>
        <v>0</v>
      </c>
      <c r="CL23" s="201"/>
      <c r="CM23" s="202">
        <f t="shared" si="47"/>
        <v>0</v>
      </c>
      <c r="CN23" s="200">
        <f t="shared" si="22"/>
        <v>0</v>
      </c>
      <c r="CO23" s="203"/>
      <c r="CP23" s="207">
        <f t="shared" si="48"/>
        <v>0</v>
      </c>
      <c r="CQ23" s="208">
        <f t="shared" si="49"/>
        <v>0</v>
      </c>
      <c r="CR23" s="185" t="str">
        <f t="shared" si="23"/>
        <v/>
      </c>
      <c r="CS23" s="186"/>
      <c r="CT23" s="187" t="str">
        <f t="shared" si="50"/>
        <v/>
      </c>
      <c r="CU23" s="188" t="str">
        <f t="shared" si="24"/>
        <v/>
      </c>
      <c r="CV23" s="189"/>
      <c r="CW23" s="190" t="str">
        <f t="shared" si="51"/>
        <v/>
      </c>
      <c r="CX23" s="209" t="str">
        <f t="shared" si="52"/>
        <v/>
      </c>
      <c r="CY23" s="210"/>
      <c r="DA23" s="53">
        <f>IF(AND(CT23&lt;&gt;"",OR(CT23&lt;EXPEDIENTE!$I$25,CT23&gt;EXPEDIENTE!$I$29)),1,0)</f>
        <v>0</v>
      </c>
      <c r="DB23" s="53">
        <f>IF(AND(CW23&lt;&gt;"",OR(CW23&lt;EXPEDIENTE!$I$25,CW23&gt;EXPEDIENTE!$I$29)),1,0)</f>
        <v>0</v>
      </c>
      <c r="DD23" s="55">
        <f t="shared" si="25"/>
        <v>0</v>
      </c>
      <c r="DE23" s="55">
        <f t="shared" si="53"/>
        <v>0</v>
      </c>
      <c r="DF23" s="55">
        <f t="shared" si="54"/>
        <v>0</v>
      </c>
      <c r="DG23" s="55">
        <f t="shared" si="55"/>
        <v>0</v>
      </c>
      <c r="DH23" s="55">
        <f t="shared" si="56"/>
        <v>0</v>
      </c>
      <c r="DI23" s="55">
        <f t="shared" si="57"/>
        <v>0</v>
      </c>
      <c r="DJ23" s="55">
        <f t="shared" si="58"/>
        <v>0</v>
      </c>
      <c r="DK23" s="55">
        <f t="shared" si="59"/>
        <v>0</v>
      </c>
      <c r="DL23" s="55">
        <f t="shared" si="60"/>
        <v>0</v>
      </c>
      <c r="DM23" s="55">
        <f t="shared" si="61"/>
        <v>0</v>
      </c>
      <c r="DN23" s="55">
        <f t="shared" si="62"/>
        <v>0</v>
      </c>
      <c r="DO23" s="55">
        <f t="shared" si="63"/>
        <v>0</v>
      </c>
      <c r="DP23" s="55">
        <f t="shared" si="64"/>
        <v>0</v>
      </c>
      <c r="DQ23" s="55">
        <f t="shared" si="65"/>
        <v>0</v>
      </c>
      <c r="DR23" s="55">
        <f t="shared" si="66"/>
        <v>0</v>
      </c>
      <c r="DS23" s="55">
        <f t="shared" si="67"/>
        <v>0</v>
      </c>
      <c r="DT23" s="55">
        <f t="shared" si="68"/>
        <v>0</v>
      </c>
      <c r="DU23" s="55">
        <f t="shared" si="69"/>
        <v>0</v>
      </c>
      <c r="DW23" s="55">
        <f>IF(CY23&lt;&gt;"",MAX($DW$9:DW22)+1,0)</f>
        <v>0</v>
      </c>
      <c r="DX23" s="130" t="str">
        <f t="shared" si="70"/>
        <v/>
      </c>
    </row>
    <row r="24" spans="2:128" ht="30" customHeight="1" x14ac:dyDescent="0.25">
      <c r="B24" s="972"/>
      <c r="C24" s="981" t="s">
        <v>274</v>
      </c>
      <c r="D24" s="982"/>
      <c r="E24" s="193"/>
      <c r="F24" s="194"/>
      <c r="G24" s="195"/>
      <c r="H24" s="195"/>
      <c r="I24" s="195"/>
      <c r="J24" s="195"/>
      <c r="K24" s="195"/>
      <c r="L24" s="203">
        <f t="shared" si="26"/>
        <v>0</v>
      </c>
      <c r="M24" s="205">
        <f t="shared" si="71"/>
        <v>0</v>
      </c>
      <c r="N24" s="161"/>
      <c r="O24" s="194"/>
      <c r="P24" s="195"/>
      <c r="Q24" s="195"/>
      <c r="R24" s="195"/>
      <c r="S24" s="195"/>
      <c r="T24" s="203">
        <f t="shared" si="27"/>
        <v>0</v>
      </c>
      <c r="U24" s="196"/>
      <c r="V24" s="163"/>
      <c r="W24" s="205">
        <f t="shared" si="72"/>
        <v>0</v>
      </c>
      <c r="X24" s="194"/>
      <c r="Y24" s="195"/>
      <c r="Z24" s="203">
        <f t="shared" si="28"/>
        <v>0</v>
      </c>
      <c r="AA24" s="164"/>
      <c r="AB24" s="165"/>
      <c r="AC24" s="322"/>
      <c r="AD24" s="323"/>
      <c r="AE24" s="197"/>
      <c r="AF24" s="357"/>
      <c r="AG24" s="53">
        <f>IF(AND(AA24&lt;&gt;"",OR(AA24&lt;EXPEDIENTE!$I$25,AA24&gt;EXPEDIENTE!$I$29)),1,0)</f>
        <v>0</v>
      </c>
      <c r="AH24" s="53">
        <f>IF(AND(AB24&lt;&gt;"",OR(AB24&lt;EXPEDIENTE!$I$25,AB24&gt;EXPEDIENTE!$I$29)),1,0)</f>
        <v>0</v>
      </c>
      <c r="AI24" s="53">
        <f>IF(DATE(YEAR(EXPEDIENTE!$I$25)+1,MONTH(DATEVALUE($C24&amp;"1")),1)&gt;=DATE(YEAR(EXPEDIENTE!$I$25),MONTH(EXPEDIENTE!$I$25),1),0,1)</f>
        <v>0</v>
      </c>
      <c r="AJ24" s="53" t="e">
        <f>IF(DATE(YEAR(EXPEDIENTE!$I$25)+1,MONTH(DATEVALUE($C24&amp;"1")),1)&lt;=DATE(YEAR(EXPEDIENTE!$I$27),MONTH(EXPEDIENTE!$I$27),1),0,1)</f>
        <v>#VALUE!</v>
      </c>
      <c r="AK24" s="53" t="e">
        <f t="shared" si="29"/>
        <v>#VALUE!</v>
      </c>
      <c r="AM24" s="1014"/>
      <c r="AN24" s="859" t="s">
        <v>274</v>
      </c>
      <c r="AO24" s="860"/>
      <c r="AP24" s="1038"/>
      <c r="AQ24" s="1039"/>
      <c r="AR24" s="198">
        <f t="shared" si="8"/>
        <v>0</v>
      </c>
      <c r="AS24" s="85"/>
      <c r="AT24" s="199">
        <f t="shared" si="30"/>
        <v>0</v>
      </c>
      <c r="AU24" s="200">
        <f t="shared" si="9"/>
        <v>0</v>
      </c>
      <c r="AV24" s="201"/>
      <c r="AW24" s="202">
        <f t="shared" si="31"/>
        <v>0</v>
      </c>
      <c r="AX24" s="200">
        <f t="shared" si="10"/>
        <v>0</v>
      </c>
      <c r="AY24" s="203"/>
      <c r="AZ24" s="204">
        <f t="shared" si="32"/>
        <v>0</v>
      </c>
      <c r="BA24" s="204">
        <f t="shared" si="11"/>
        <v>0</v>
      </c>
      <c r="BB24" s="203"/>
      <c r="BC24" s="204">
        <f t="shared" si="33"/>
        <v>0</v>
      </c>
      <c r="BD24" s="204">
        <f t="shared" si="12"/>
        <v>0</v>
      </c>
      <c r="BE24" s="203"/>
      <c r="BF24" s="204">
        <f t="shared" si="34"/>
        <v>0</v>
      </c>
      <c r="BG24" s="204">
        <f t="shared" si="13"/>
        <v>0</v>
      </c>
      <c r="BH24" s="203"/>
      <c r="BI24" s="204">
        <f t="shared" si="35"/>
        <v>0</v>
      </c>
      <c r="BJ24" s="204">
        <f t="shared" si="14"/>
        <v>0</v>
      </c>
      <c r="BK24" s="203"/>
      <c r="BL24" s="204">
        <f t="shared" si="36"/>
        <v>0</v>
      </c>
      <c r="BM24" s="175">
        <f t="shared" si="37"/>
        <v>0</v>
      </c>
      <c r="BN24" s="205">
        <f t="shared" si="38"/>
        <v>0</v>
      </c>
      <c r="BO24" s="177"/>
      <c r="BP24" s="200">
        <f t="shared" si="15"/>
        <v>0</v>
      </c>
      <c r="BQ24" s="201"/>
      <c r="BR24" s="206">
        <f t="shared" si="39"/>
        <v>0</v>
      </c>
      <c r="BS24" s="204">
        <f t="shared" si="16"/>
        <v>0</v>
      </c>
      <c r="BT24" s="203"/>
      <c r="BU24" s="204">
        <f t="shared" si="40"/>
        <v>0</v>
      </c>
      <c r="BV24" s="204">
        <f t="shared" si="17"/>
        <v>0</v>
      </c>
      <c r="BW24" s="203"/>
      <c r="BX24" s="204">
        <f t="shared" si="41"/>
        <v>0</v>
      </c>
      <c r="BY24" s="204">
        <f t="shared" si="18"/>
        <v>0</v>
      </c>
      <c r="BZ24" s="203"/>
      <c r="CA24" s="204">
        <f t="shared" si="42"/>
        <v>0</v>
      </c>
      <c r="CB24" s="204">
        <f t="shared" si="19"/>
        <v>0</v>
      </c>
      <c r="CC24" s="203"/>
      <c r="CD24" s="204">
        <f t="shared" si="43"/>
        <v>0</v>
      </c>
      <c r="CE24" s="175">
        <f t="shared" si="44"/>
        <v>0</v>
      </c>
      <c r="CF24" s="200">
        <f t="shared" si="20"/>
        <v>0</v>
      </c>
      <c r="CG24" s="203"/>
      <c r="CH24" s="207">
        <f t="shared" si="45"/>
        <v>0</v>
      </c>
      <c r="CI24" s="182"/>
      <c r="CJ24" s="208">
        <f t="shared" si="46"/>
        <v>0</v>
      </c>
      <c r="CK24" s="200">
        <f t="shared" si="21"/>
        <v>0</v>
      </c>
      <c r="CL24" s="201"/>
      <c r="CM24" s="202">
        <f t="shared" si="47"/>
        <v>0</v>
      </c>
      <c r="CN24" s="200">
        <f t="shared" si="22"/>
        <v>0</v>
      </c>
      <c r="CO24" s="203"/>
      <c r="CP24" s="207">
        <f t="shared" si="48"/>
        <v>0</v>
      </c>
      <c r="CQ24" s="208">
        <f t="shared" si="49"/>
        <v>0</v>
      </c>
      <c r="CR24" s="185" t="str">
        <f t="shared" si="23"/>
        <v/>
      </c>
      <c r="CS24" s="186"/>
      <c r="CT24" s="187" t="str">
        <f t="shared" si="50"/>
        <v/>
      </c>
      <c r="CU24" s="188" t="str">
        <f t="shared" si="24"/>
        <v/>
      </c>
      <c r="CV24" s="189"/>
      <c r="CW24" s="190" t="str">
        <f t="shared" si="51"/>
        <v/>
      </c>
      <c r="CX24" s="209" t="str">
        <f t="shared" si="52"/>
        <v/>
      </c>
      <c r="CY24" s="210"/>
      <c r="DA24" s="53">
        <f>IF(AND(CT24&lt;&gt;"",OR(CT24&lt;EXPEDIENTE!$I$25,CT24&gt;EXPEDIENTE!$I$29)),1,0)</f>
        <v>0</v>
      </c>
      <c r="DB24" s="53">
        <f>IF(AND(CW24&lt;&gt;"",OR(CW24&lt;EXPEDIENTE!$I$25,CW24&gt;EXPEDIENTE!$I$29)),1,0)</f>
        <v>0</v>
      </c>
      <c r="DD24" s="55">
        <f t="shared" si="25"/>
        <v>0</v>
      </c>
      <c r="DE24" s="55">
        <f t="shared" si="53"/>
        <v>0</v>
      </c>
      <c r="DF24" s="55">
        <f t="shared" si="54"/>
        <v>0</v>
      </c>
      <c r="DG24" s="55">
        <f t="shared" si="55"/>
        <v>0</v>
      </c>
      <c r="DH24" s="55">
        <f t="shared" si="56"/>
        <v>0</v>
      </c>
      <c r="DI24" s="55">
        <f t="shared" si="57"/>
        <v>0</v>
      </c>
      <c r="DJ24" s="55">
        <f t="shared" si="58"/>
        <v>0</v>
      </c>
      <c r="DK24" s="55">
        <f t="shared" si="59"/>
        <v>0</v>
      </c>
      <c r="DL24" s="55">
        <f t="shared" si="60"/>
        <v>0</v>
      </c>
      <c r="DM24" s="55">
        <f t="shared" si="61"/>
        <v>0</v>
      </c>
      <c r="DN24" s="55">
        <f t="shared" si="62"/>
        <v>0</v>
      </c>
      <c r="DO24" s="55">
        <f t="shared" si="63"/>
        <v>0</v>
      </c>
      <c r="DP24" s="55">
        <f t="shared" si="64"/>
        <v>0</v>
      </c>
      <c r="DQ24" s="55">
        <f t="shared" si="65"/>
        <v>0</v>
      </c>
      <c r="DR24" s="55">
        <f t="shared" si="66"/>
        <v>0</v>
      </c>
      <c r="DS24" s="55">
        <f t="shared" si="67"/>
        <v>0</v>
      </c>
      <c r="DT24" s="55">
        <f t="shared" si="68"/>
        <v>0</v>
      </c>
      <c r="DU24" s="55">
        <f t="shared" si="69"/>
        <v>0</v>
      </c>
      <c r="DW24" s="55">
        <f>IF(CY24&lt;&gt;"",MAX($DW$9:DW23)+1,0)</f>
        <v>0</v>
      </c>
      <c r="DX24" s="130" t="str">
        <f t="shared" si="70"/>
        <v/>
      </c>
    </row>
    <row r="25" spans="2:128" ht="30" customHeight="1" x14ac:dyDescent="0.25">
      <c r="B25" s="972"/>
      <c r="C25" s="981" t="s">
        <v>275</v>
      </c>
      <c r="D25" s="982"/>
      <c r="E25" s="193"/>
      <c r="F25" s="194"/>
      <c r="G25" s="195"/>
      <c r="H25" s="195"/>
      <c r="I25" s="195"/>
      <c r="J25" s="195"/>
      <c r="K25" s="195"/>
      <c r="L25" s="203">
        <f t="shared" si="26"/>
        <v>0</v>
      </c>
      <c r="M25" s="205">
        <f t="shared" si="71"/>
        <v>0</v>
      </c>
      <c r="N25" s="161"/>
      <c r="O25" s="194"/>
      <c r="P25" s="195"/>
      <c r="Q25" s="195"/>
      <c r="R25" s="195"/>
      <c r="S25" s="195"/>
      <c r="T25" s="203">
        <f t="shared" si="27"/>
        <v>0</v>
      </c>
      <c r="U25" s="196"/>
      <c r="V25" s="163"/>
      <c r="W25" s="205">
        <f t="shared" si="72"/>
        <v>0</v>
      </c>
      <c r="X25" s="194"/>
      <c r="Y25" s="195"/>
      <c r="Z25" s="203">
        <f t="shared" si="28"/>
        <v>0</v>
      </c>
      <c r="AA25" s="164"/>
      <c r="AB25" s="165"/>
      <c r="AC25" s="322"/>
      <c r="AD25" s="323"/>
      <c r="AE25" s="197"/>
      <c r="AF25" s="357"/>
      <c r="AG25" s="53">
        <f>IF(AND(AA25&lt;&gt;"",OR(AA25&lt;EXPEDIENTE!$I$25,AA25&gt;EXPEDIENTE!$I$29)),1,0)</f>
        <v>0</v>
      </c>
      <c r="AH25" s="53">
        <f>IF(AND(AB25&lt;&gt;"",OR(AB25&lt;EXPEDIENTE!$I$25,AB25&gt;EXPEDIENTE!$I$29)),1,0)</f>
        <v>0</v>
      </c>
      <c r="AI25" s="53">
        <f>IF(DATE(YEAR(EXPEDIENTE!$I$25)+1,MONTH(DATEVALUE($C25&amp;"1")),1)&gt;=DATE(YEAR(EXPEDIENTE!$I$25),MONTH(EXPEDIENTE!$I$25),1),0,1)</f>
        <v>0</v>
      </c>
      <c r="AJ25" s="53" t="e">
        <f>IF(DATE(YEAR(EXPEDIENTE!$I$25)+1,MONTH(DATEVALUE($C25&amp;"1")),1)&lt;=DATE(YEAR(EXPEDIENTE!$I$27),MONTH(EXPEDIENTE!$I$27),1),0,1)</f>
        <v>#VALUE!</v>
      </c>
      <c r="AK25" s="53" t="e">
        <f t="shared" si="29"/>
        <v>#VALUE!</v>
      </c>
      <c r="AM25" s="1014"/>
      <c r="AN25" s="859" t="s">
        <v>275</v>
      </c>
      <c r="AO25" s="860"/>
      <c r="AP25" s="1038"/>
      <c r="AQ25" s="1039"/>
      <c r="AR25" s="198">
        <f t="shared" si="8"/>
        <v>0</v>
      </c>
      <c r="AS25" s="85"/>
      <c r="AT25" s="199">
        <f t="shared" si="30"/>
        <v>0</v>
      </c>
      <c r="AU25" s="200">
        <f t="shared" si="9"/>
        <v>0</v>
      </c>
      <c r="AV25" s="201"/>
      <c r="AW25" s="202">
        <f t="shared" si="31"/>
        <v>0</v>
      </c>
      <c r="AX25" s="200">
        <f t="shared" si="10"/>
        <v>0</v>
      </c>
      <c r="AY25" s="203"/>
      <c r="AZ25" s="204">
        <f t="shared" si="32"/>
        <v>0</v>
      </c>
      <c r="BA25" s="204">
        <f t="shared" si="11"/>
        <v>0</v>
      </c>
      <c r="BB25" s="203"/>
      <c r="BC25" s="204">
        <f t="shared" si="33"/>
        <v>0</v>
      </c>
      <c r="BD25" s="204">
        <f t="shared" si="12"/>
        <v>0</v>
      </c>
      <c r="BE25" s="203"/>
      <c r="BF25" s="204">
        <f t="shared" si="34"/>
        <v>0</v>
      </c>
      <c r="BG25" s="204">
        <f t="shared" si="13"/>
        <v>0</v>
      </c>
      <c r="BH25" s="203"/>
      <c r="BI25" s="204">
        <f t="shared" si="35"/>
        <v>0</v>
      </c>
      <c r="BJ25" s="204">
        <f t="shared" si="14"/>
        <v>0</v>
      </c>
      <c r="BK25" s="203"/>
      <c r="BL25" s="204">
        <f t="shared" si="36"/>
        <v>0</v>
      </c>
      <c r="BM25" s="175">
        <f t="shared" si="37"/>
        <v>0</v>
      </c>
      <c r="BN25" s="205">
        <f t="shared" si="38"/>
        <v>0</v>
      </c>
      <c r="BO25" s="177"/>
      <c r="BP25" s="200">
        <f t="shared" si="15"/>
        <v>0</v>
      </c>
      <c r="BQ25" s="201"/>
      <c r="BR25" s="206">
        <f t="shared" si="39"/>
        <v>0</v>
      </c>
      <c r="BS25" s="204">
        <f t="shared" si="16"/>
        <v>0</v>
      </c>
      <c r="BT25" s="203"/>
      <c r="BU25" s="204">
        <f t="shared" si="40"/>
        <v>0</v>
      </c>
      <c r="BV25" s="204">
        <f t="shared" si="17"/>
        <v>0</v>
      </c>
      <c r="BW25" s="203"/>
      <c r="BX25" s="204">
        <f t="shared" si="41"/>
        <v>0</v>
      </c>
      <c r="BY25" s="204">
        <f t="shared" si="18"/>
        <v>0</v>
      </c>
      <c r="BZ25" s="203"/>
      <c r="CA25" s="204">
        <f t="shared" si="42"/>
        <v>0</v>
      </c>
      <c r="CB25" s="204">
        <f t="shared" si="19"/>
        <v>0</v>
      </c>
      <c r="CC25" s="203"/>
      <c r="CD25" s="204">
        <f t="shared" si="43"/>
        <v>0</v>
      </c>
      <c r="CE25" s="175">
        <f t="shared" si="44"/>
        <v>0</v>
      </c>
      <c r="CF25" s="200">
        <f t="shared" si="20"/>
        <v>0</v>
      </c>
      <c r="CG25" s="203"/>
      <c r="CH25" s="207">
        <f t="shared" si="45"/>
        <v>0</v>
      </c>
      <c r="CI25" s="182"/>
      <c r="CJ25" s="208">
        <f t="shared" si="46"/>
        <v>0</v>
      </c>
      <c r="CK25" s="200">
        <f t="shared" si="21"/>
        <v>0</v>
      </c>
      <c r="CL25" s="201"/>
      <c r="CM25" s="202">
        <f t="shared" si="47"/>
        <v>0</v>
      </c>
      <c r="CN25" s="200">
        <f t="shared" si="22"/>
        <v>0</v>
      </c>
      <c r="CO25" s="203"/>
      <c r="CP25" s="207">
        <f t="shared" si="48"/>
        <v>0</v>
      </c>
      <c r="CQ25" s="208">
        <f t="shared" si="49"/>
        <v>0</v>
      </c>
      <c r="CR25" s="185" t="str">
        <f t="shared" si="23"/>
        <v/>
      </c>
      <c r="CS25" s="186"/>
      <c r="CT25" s="187" t="str">
        <f t="shared" si="50"/>
        <v/>
      </c>
      <c r="CU25" s="188" t="str">
        <f t="shared" si="24"/>
        <v/>
      </c>
      <c r="CV25" s="189"/>
      <c r="CW25" s="190" t="str">
        <f t="shared" si="51"/>
        <v/>
      </c>
      <c r="CX25" s="209" t="str">
        <f t="shared" si="52"/>
        <v/>
      </c>
      <c r="CY25" s="210"/>
      <c r="DA25" s="53">
        <f>IF(AND(CT25&lt;&gt;"",OR(CT25&lt;EXPEDIENTE!$I$25,CT25&gt;EXPEDIENTE!$I$29)),1,0)</f>
        <v>0</v>
      </c>
      <c r="DB25" s="53">
        <f>IF(AND(CW25&lt;&gt;"",OR(CW25&lt;EXPEDIENTE!$I$25,CW25&gt;EXPEDIENTE!$I$29)),1,0)</f>
        <v>0</v>
      </c>
      <c r="DD25" s="55">
        <f t="shared" si="25"/>
        <v>0</v>
      </c>
      <c r="DE25" s="55">
        <f t="shared" si="53"/>
        <v>0</v>
      </c>
      <c r="DF25" s="55">
        <f t="shared" si="54"/>
        <v>0</v>
      </c>
      <c r="DG25" s="55">
        <f t="shared" si="55"/>
        <v>0</v>
      </c>
      <c r="DH25" s="55">
        <f t="shared" si="56"/>
        <v>0</v>
      </c>
      <c r="DI25" s="55">
        <f t="shared" si="57"/>
        <v>0</v>
      </c>
      <c r="DJ25" s="55">
        <f t="shared" si="58"/>
        <v>0</v>
      </c>
      <c r="DK25" s="55">
        <f t="shared" si="59"/>
        <v>0</v>
      </c>
      <c r="DL25" s="55">
        <f t="shared" si="60"/>
        <v>0</v>
      </c>
      <c r="DM25" s="55">
        <f t="shared" si="61"/>
        <v>0</v>
      </c>
      <c r="DN25" s="55">
        <f t="shared" si="62"/>
        <v>0</v>
      </c>
      <c r="DO25" s="55">
        <f t="shared" si="63"/>
        <v>0</v>
      </c>
      <c r="DP25" s="55">
        <f t="shared" si="64"/>
        <v>0</v>
      </c>
      <c r="DQ25" s="55">
        <f t="shared" si="65"/>
        <v>0</v>
      </c>
      <c r="DR25" s="55">
        <f t="shared" si="66"/>
        <v>0</v>
      </c>
      <c r="DS25" s="55">
        <f t="shared" si="67"/>
        <v>0</v>
      </c>
      <c r="DT25" s="55">
        <f t="shared" si="68"/>
        <v>0</v>
      </c>
      <c r="DU25" s="55">
        <f t="shared" si="69"/>
        <v>0</v>
      </c>
      <c r="DW25" s="55">
        <f>IF(CY25&lt;&gt;"",MAX($DW$9:DW24)+1,0)</f>
        <v>0</v>
      </c>
      <c r="DX25" s="130" t="str">
        <f t="shared" si="70"/>
        <v/>
      </c>
    </row>
    <row r="26" spans="2:128" ht="30" customHeight="1" x14ac:dyDescent="0.25">
      <c r="B26" s="972"/>
      <c r="C26" s="981" t="s">
        <v>276</v>
      </c>
      <c r="D26" s="982"/>
      <c r="E26" s="193"/>
      <c r="F26" s="194"/>
      <c r="G26" s="195"/>
      <c r="H26" s="195"/>
      <c r="I26" s="195"/>
      <c r="J26" s="195"/>
      <c r="K26" s="195"/>
      <c r="L26" s="203">
        <f t="shared" si="26"/>
        <v>0</v>
      </c>
      <c r="M26" s="205">
        <f t="shared" si="71"/>
        <v>0</v>
      </c>
      <c r="N26" s="161"/>
      <c r="O26" s="194"/>
      <c r="P26" s="195"/>
      <c r="Q26" s="195"/>
      <c r="R26" s="195"/>
      <c r="S26" s="195"/>
      <c r="T26" s="203">
        <f t="shared" si="27"/>
        <v>0</v>
      </c>
      <c r="U26" s="196"/>
      <c r="V26" s="163"/>
      <c r="W26" s="205">
        <f t="shared" si="72"/>
        <v>0</v>
      </c>
      <c r="X26" s="194"/>
      <c r="Y26" s="195"/>
      <c r="Z26" s="203">
        <f t="shared" si="28"/>
        <v>0</v>
      </c>
      <c r="AA26" s="164"/>
      <c r="AB26" s="165"/>
      <c r="AC26" s="322"/>
      <c r="AD26" s="323"/>
      <c r="AE26" s="197"/>
      <c r="AF26" s="357"/>
      <c r="AG26" s="53">
        <f>IF(AND(AA26&lt;&gt;"",OR(AA26&lt;EXPEDIENTE!$I$25,AA26&gt;EXPEDIENTE!$I$29)),1,0)</f>
        <v>0</v>
      </c>
      <c r="AH26" s="53">
        <f>IF(AND(AB26&lt;&gt;"",OR(AB26&lt;EXPEDIENTE!$I$25,AB26&gt;EXPEDIENTE!$I$29)),1,0)</f>
        <v>0</v>
      </c>
      <c r="AI26" s="53">
        <f>IF(DATE(YEAR(EXPEDIENTE!$I$25)+1,MONTH(DATEVALUE($C26&amp;"1")),1)&gt;=DATE(YEAR(EXPEDIENTE!$I$25),MONTH(EXPEDIENTE!$I$25),1),0,1)</f>
        <v>0</v>
      </c>
      <c r="AJ26" s="53" t="e">
        <f>IF(DATE(YEAR(EXPEDIENTE!$I$25)+1,MONTH(DATEVALUE($C26&amp;"1")),1)&lt;=DATE(YEAR(EXPEDIENTE!$I$27),MONTH(EXPEDIENTE!$I$27),1),0,1)</f>
        <v>#VALUE!</v>
      </c>
      <c r="AK26" s="53" t="e">
        <f t="shared" si="29"/>
        <v>#VALUE!</v>
      </c>
      <c r="AM26" s="1014"/>
      <c r="AN26" s="859" t="s">
        <v>276</v>
      </c>
      <c r="AO26" s="860"/>
      <c r="AP26" s="1038"/>
      <c r="AQ26" s="1039"/>
      <c r="AR26" s="198">
        <f t="shared" si="8"/>
        <v>0</v>
      </c>
      <c r="AS26" s="85"/>
      <c r="AT26" s="199">
        <f t="shared" si="30"/>
        <v>0</v>
      </c>
      <c r="AU26" s="200">
        <f t="shared" si="9"/>
        <v>0</v>
      </c>
      <c r="AV26" s="201"/>
      <c r="AW26" s="202">
        <f t="shared" si="31"/>
        <v>0</v>
      </c>
      <c r="AX26" s="200">
        <f t="shared" si="10"/>
        <v>0</v>
      </c>
      <c r="AY26" s="203"/>
      <c r="AZ26" s="204">
        <f t="shared" si="32"/>
        <v>0</v>
      </c>
      <c r="BA26" s="204">
        <f t="shared" si="11"/>
        <v>0</v>
      </c>
      <c r="BB26" s="203"/>
      <c r="BC26" s="204">
        <f t="shared" si="33"/>
        <v>0</v>
      </c>
      <c r="BD26" s="204">
        <f t="shared" si="12"/>
        <v>0</v>
      </c>
      <c r="BE26" s="203"/>
      <c r="BF26" s="204">
        <f t="shared" si="34"/>
        <v>0</v>
      </c>
      <c r="BG26" s="204">
        <f t="shared" si="13"/>
        <v>0</v>
      </c>
      <c r="BH26" s="203"/>
      <c r="BI26" s="204">
        <f t="shared" si="35"/>
        <v>0</v>
      </c>
      <c r="BJ26" s="204">
        <f t="shared" si="14"/>
        <v>0</v>
      </c>
      <c r="BK26" s="203"/>
      <c r="BL26" s="204">
        <f t="shared" si="36"/>
        <v>0</v>
      </c>
      <c r="BM26" s="175">
        <f t="shared" si="37"/>
        <v>0</v>
      </c>
      <c r="BN26" s="205">
        <f t="shared" si="38"/>
        <v>0</v>
      </c>
      <c r="BO26" s="177"/>
      <c r="BP26" s="200">
        <f t="shared" si="15"/>
        <v>0</v>
      </c>
      <c r="BQ26" s="201"/>
      <c r="BR26" s="206">
        <f t="shared" si="39"/>
        <v>0</v>
      </c>
      <c r="BS26" s="204">
        <f t="shared" si="16"/>
        <v>0</v>
      </c>
      <c r="BT26" s="203"/>
      <c r="BU26" s="204">
        <f t="shared" si="40"/>
        <v>0</v>
      </c>
      <c r="BV26" s="204">
        <f t="shared" si="17"/>
        <v>0</v>
      </c>
      <c r="BW26" s="203"/>
      <c r="BX26" s="204">
        <f t="shared" si="41"/>
        <v>0</v>
      </c>
      <c r="BY26" s="204">
        <f t="shared" si="18"/>
        <v>0</v>
      </c>
      <c r="BZ26" s="203"/>
      <c r="CA26" s="204">
        <f t="shared" si="42"/>
        <v>0</v>
      </c>
      <c r="CB26" s="204">
        <f t="shared" si="19"/>
        <v>0</v>
      </c>
      <c r="CC26" s="203"/>
      <c r="CD26" s="204">
        <f t="shared" si="43"/>
        <v>0</v>
      </c>
      <c r="CE26" s="175">
        <f t="shared" si="44"/>
        <v>0</v>
      </c>
      <c r="CF26" s="200">
        <f t="shared" si="20"/>
        <v>0</v>
      </c>
      <c r="CG26" s="203"/>
      <c r="CH26" s="207">
        <f t="shared" si="45"/>
        <v>0</v>
      </c>
      <c r="CI26" s="182"/>
      <c r="CJ26" s="208">
        <f t="shared" si="46"/>
        <v>0</v>
      </c>
      <c r="CK26" s="200">
        <f t="shared" si="21"/>
        <v>0</v>
      </c>
      <c r="CL26" s="201"/>
      <c r="CM26" s="202">
        <f t="shared" si="47"/>
        <v>0</v>
      </c>
      <c r="CN26" s="200">
        <f t="shared" si="22"/>
        <v>0</v>
      </c>
      <c r="CO26" s="203"/>
      <c r="CP26" s="207">
        <f t="shared" si="48"/>
        <v>0</v>
      </c>
      <c r="CQ26" s="208">
        <f t="shared" si="49"/>
        <v>0</v>
      </c>
      <c r="CR26" s="185" t="str">
        <f t="shared" si="23"/>
        <v/>
      </c>
      <c r="CS26" s="186"/>
      <c r="CT26" s="187" t="str">
        <f t="shared" si="50"/>
        <v/>
      </c>
      <c r="CU26" s="188" t="str">
        <f t="shared" si="24"/>
        <v/>
      </c>
      <c r="CV26" s="189"/>
      <c r="CW26" s="190" t="str">
        <f t="shared" si="51"/>
        <v/>
      </c>
      <c r="CX26" s="209" t="str">
        <f t="shared" si="52"/>
        <v/>
      </c>
      <c r="CY26" s="210"/>
      <c r="DA26" s="53">
        <f>IF(AND(CT26&lt;&gt;"",OR(CT26&lt;EXPEDIENTE!$I$25,CT26&gt;EXPEDIENTE!$I$29)),1,0)</f>
        <v>0</v>
      </c>
      <c r="DB26" s="53">
        <f>IF(AND(CW26&lt;&gt;"",OR(CW26&lt;EXPEDIENTE!$I$25,CW26&gt;EXPEDIENTE!$I$29)),1,0)</f>
        <v>0</v>
      </c>
      <c r="DD26" s="55">
        <f t="shared" si="25"/>
        <v>0</v>
      </c>
      <c r="DE26" s="55">
        <f t="shared" si="53"/>
        <v>0</v>
      </c>
      <c r="DF26" s="55">
        <f t="shared" si="54"/>
        <v>0</v>
      </c>
      <c r="DG26" s="55">
        <f t="shared" si="55"/>
        <v>0</v>
      </c>
      <c r="DH26" s="55">
        <f t="shared" si="56"/>
        <v>0</v>
      </c>
      <c r="DI26" s="55">
        <f t="shared" si="57"/>
        <v>0</v>
      </c>
      <c r="DJ26" s="55">
        <f t="shared" si="58"/>
        <v>0</v>
      </c>
      <c r="DK26" s="55">
        <f t="shared" si="59"/>
        <v>0</v>
      </c>
      <c r="DL26" s="55">
        <f t="shared" si="60"/>
        <v>0</v>
      </c>
      <c r="DM26" s="55">
        <f t="shared" si="61"/>
        <v>0</v>
      </c>
      <c r="DN26" s="55">
        <f t="shared" si="62"/>
        <v>0</v>
      </c>
      <c r="DO26" s="55">
        <f t="shared" si="63"/>
        <v>0</v>
      </c>
      <c r="DP26" s="55">
        <f t="shared" si="64"/>
        <v>0</v>
      </c>
      <c r="DQ26" s="55">
        <f t="shared" si="65"/>
        <v>0</v>
      </c>
      <c r="DR26" s="55">
        <f t="shared" si="66"/>
        <v>0</v>
      </c>
      <c r="DS26" s="55">
        <f t="shared" si="67"/>
        <v>0</v>
      </c>
      <c r="DT26" s="55">
        <f t="shared" si="68"/>
        <v>0</v>
      </c>
      <c r="DU26" s="55">
        <f t="shared" si="69"/>
        <v>0</v>
      </c>
      <c r="DW26" s="55">
        <f>IF(CY26&lt;&gt;"",MAX($DW$9:DW25)+1,0)</f>
        <v>0</v>
      </c>
      <c r="DX26" s="130" t="str">
        <f t="shared" si="70"/>
        <v/>
      </c>
    </row>
    <row r="27" spans="2:128" ht="30" customHeight="1" x14ac:dyDescent="0.25">
      <c r="B27" s="972"/>
      <c r="C27" s="981" t="s">
        <v>277</v>
      </c>
      <c r="D27" s="982"/>
      <c r="E27" s="193"/>
      <c r="F27" s="194"/>
      <c r="G27" s="195"/>
      <c r="H27" s="195"/>
      <c r="I27" s="195"/>
      <c r="J27" s="195"/>
      <c r="K27" s="195"/>
      <c r="L27" s="203">
        <f t="shared" si="26"/>
        <v>0</v>
      </c>
      <c r="M27" s="205">
        <f t="shared" si="71"/>
        <v>0</v>
      </c>
      <c r="N27" s="161"/>
      <c r="O27" s="194"/>
      <c r="P27" s="195"/>
      <c r="Q27" s="195"/>
      <c r="R27" s="195"/>
      <c r="S27" s="195"/>
      <c r="T27" s="203">
        <f t="shared" si="27"/>
        <v>0</v>
      </c>
      <c r="U27" s="196"/>
      <c r="V27" s="163"/>
      <c r="W27" s="205">
        <f t="shared" si="72"/>
        <v>0</v>
      </c>
      <c r="X27" s="194"/>
      <c r="Y27" s="195"/>
      <c r="Z27" s="203">
        <f t="shared" si="28"/>
        <v>0</v>
      </c>
      <c r="AA27" s="164"/>
      <c r="AB27" s="165"/>
      <c r="AC27" s="322"/>
      <c r="AD27" s="323"/>
      <c r="AE27" s="197"/>
      <c r="AF27" s="357"/>
      <c r="AG27" s="53">
        <f>IF(AND(AA27&lt;&gt;"",OR(AA27&lt;EXPEDIENTE!$I$25,AA27&gt;EXPEDIENTE!$I$29)),1,0)</f>
        <v>0</v>
      </c>
      <c r="AH27" s="53">
        <f>IF(AND(AB27&lt;&gt;"",OR(AB27&lt;EXPEDIENTE!$I$25,AB27&gt;EXPEDIENTE!$I$29)),1,0)</f>
        <v>0</v>
      </c>
      <c r="AI27" s="53">
        <f>IF(DATE(YEAR(EXPEDIENTE!$I$25)+1,MONTH(DATEVALUE($C27&amp;"1")),1)&gt;=DATE(YEAR(EXPEDIENTE!$I$25),MONTH(EXPEDIENTE!$I$25),1),0,1)</f>
        <v>0</v>
      </c>
      <c r="AJ27" s="53" t="e">
        <f>IF(DATE(YEAR(EXPEDIENTE!$I$25)+1,MONTH(DATEVALUE($C27&amp;"1")),1)&lt;=DATE(YEAR(EXPEDIENTE!$I$27),MONTH(EXPEDIENTE!$I$27),1),0,1)</f>
        <v>#VALUE!</v>
      </c>
      <c r="AK27" s="53" t="e">
        <f t="shared" si="29"/>
        <v>#VALUE!</v>
      </c>
      <c r="AM27" s="1014"/>
      <c r="AN27" s="859" t="s">
        <v>277</v>
      </c>
      <c r="AO27" s="860"/>
      <c r="AP27" s="1038"/>
      <c r="AQ27" s="1039"/>
      <c r="AR27" s="198">
        <f t="shared" si="8"/>
        <v>0</v>
      </c>
      <c r="AS27" s="85"/>
      <c r="AT27" s="199">
        <f t="shared" si="30"/>
        <v>0</v>
      </c>
      <c r="AU27" s="200">
        <f t="shared" si="9"/>
        <v>0</v>
      </c>
      <c r="AV27" s="201"/>
      <c r="AW27" s="202">
        <f t="shared" si="31"/>
        <v>0</v>
      </c>
      <c r="AX27" s="200">
        <f t="shared" si="10"/>
        <v>0</v>
      </c>
      <c r="AY27" s="203"/>
      <c r="AZ27" s="204">
        <f t="shared" si="32"/>
        <v>0</v>
      </c>
      <c r="BA27" s="204">
        <f t="shared" si="11"/>
        <v>0</v>
      </c>
      <c r="BB27" s="203"/>
      <c r="BC27" s="204">
        <f t="shared" si="33"/>
        <v>0</v>
      </c>
      <c r="BD27" s="204">
        <f t="shared" si="12"/>
        <v>0</v>
      </c>
      <c r="BE27" s="203"/>
      <c r="BF27" s="204">
        <f t="shared" si="34"/>
        <v>0</v>
      </c>
      <c r="BG27" s="204">
        <f t="shared" si="13"/>
        <v>0</v>
      </c>
      <c r="BH27" s="203"/>
      <c r="BI27" s="204">
        <f t="shared" si="35"/>
        <v>0</v>
      </c>
      <c r="BJ27" s="204">
        <f t="shared" si="14"/>
        <v>0</v>
      </c>
      <c r="BK27" s="203"/>
      <c r="BL27" s="204">
        <f t="shared" si="36"/>
        <v>0</v>
      </c>
      <c r="BM27" s="175">
        <f t="shared" si="37"/>
        <v>0</v>
      </c>
      <c r="BN27" s="205">
        <f t="shared" si="38"/>
        <v>0</v>
      </c>
      <c r="BO27" s="177"/>
      <c r="BP27" s="200">
        <f t="shared" si="15"/>
        <v>0</v>
      </c>
      <c r="BQ27" s="201"/>
      <c r="BR27" s="206">
        <f t="shared" si="39"/>
        <v>0</v>
      </c>
      <c r="BS27" s="204">
        <f t="shared" si="16"/>
        <v>0</v>
      </c>
      <c r="BT27" s="203"/>
      <c r="BU27" s="204">
        <f t="shared" si="40"/>
        <v>0</v>
      </c>
      <c r="BV27" s="204">
        <f t="shared" si="17"/>
        <v>0</v>
      </c>
      <c r="BW27" s="203"/>
      <c r="BX27" s="204">
        <f t="shared" si="41"/>
        <v>0</v>
      </c>
      <c r="BY27" s="204">
        <f t="shared" si="18"/>
        <v>0</v>
      </c>
      <c r="BZ27" s="203"/>
      <c r="CA27" s="204">
        <f t="shared" si="42"/>
        <v>0</v>
      </c>
      <c r="CB27" s="204">
        <f t="shared" si="19"/>
        <v>0</v>
      </c>
      <c r="CC27" s="203"/>
      <c r="CD27" s="204">
        <f t="shared" si="43"/>
        <v>0</v>
      </c>
      <c r="CE27" s="175">
        <f t="shared" si="44"/>
        <v>0</v>
      </c>
      <c r="CF27" s="200">
        <f t="shared" si="20"/>
        <v>0</v>
      </c>
      <c r="CG27" s="203"/>
      <c r="CH27" s="207">
        <f t="shared" si="45"/>
        <v>0</v>
      </c>
      <c r="CI27" s="182"/>
      <c r="CJ27" s="208">
        <f t="shared" si="46"/>
        <v>0</v>
      </c>
      <c r="CK27" s="200">
        <f t="shared" si="21"/>
        <v>0</v>
      </c>
      <c r="CL27" s="201"/>
      <c r="CM27" s="202">
        <f t="shared" si="47"/>
        <v>0</v>
      </c>
      <c r="CN27" s="200">
        <f t="shared" si="22"/>
        <v>0</v>
      </c>
      <c r="CO27" s="203"/>
      <c r="CP27" s="207">
        <f t="shared" si="48"/>
        <v>0</v>
      </c>
      <c r="CQ27" s="208">
        <f t="shared" si="49"/>
        <v>0</v>
      </c>
      <c r="CR27" s="185" t="str">
        <f t="shared" si="23"/>
        <v/>
      </c>
      <c r="CS27" s="186"/>
      <c r="CT27" s="187" t="str">
        <f t="shared" si="50"/>
        <v/>
      </c>
      <c r="CU27" s="188" t="str">
        <f t="shared" si="24"/>
        <v/>
      </c>
      <c r="CV27" s="189"/>
      <c r="CW27" s="190" t="str">
        <f t="shared" si="51"/>
        <v/>
      </c>
      <c r="CX27" s="209" t="str">
        <f t="shared" si="52"/>
        <v/>
      </c>
      <c r="CY27" s="210"/>
      <c r="DA27" s="53">
        <f>IF(AND(CT27&lt;&gt;"",OR(CT27&lt;EXPEDIENTE!$I$25,CT27&gt;EXPEDIENTE!$I$29)),1,0)</f>
        <v>0</v>
      </c>
      <c r="DB27" s="53">
        <f>IF(AND(CW27&lt;&gt;"",OR(CW27&lt;EXPEDIENTE!$I$25,CW27&gt;EXPEDIENTE!$I$29)),1,0)</f>
        <v>0</v>
      </c>
      <c r="DD27" s="55">
        <f t="shared" si="25"/>
        <v>0</v>
      </c>
      <c r="DE27" s="55">
        <f t="shared" si="53"/>
        <v>0</v>
      </c>
      <c r="DF27" s="55">
        <f t="shared" si="54"/>
        <v>0</v>
      </c>
      <c r="DG27" s="55">
        <f t="shared" si="55"/>
        <v>0</v>
      </c>
      <c r="DH27" s="55">
        <f t="shared" si="56"/>
        <v>0</v>
      </c>
      <c r="DI27" s="55">
        <f t="shared" si="57"/>
        <v>0</v>
      </c>
      <c r="DJ27" s="55">
        <f t="shared" si="58"/>
        <v>0</v>
      </c>
      <c r="DK27" s="55">
        <f t="shared" si="59"/>
        <v>0</v>
      </c>
      <c r="DL27" s="55">
        <f t="shared" si="60"/>
        <v>0</v>
      </c>
      <c r="DM27" s="55">
        <f t="shared" si="61"/>
        <v>0</v>
      </c>
      <c r="DN27" s="55">
        <f t="shared" si="62"/>
        <v>0</v>
      </c>
      <c r="DO27" s="55">
        <f t="shared" si="63"/>
        <v>0</v>
      </c>
      <c r="DP27" s="55">
        <f t="shared" si="64"/>
        <v>0</v>
      </c>
      <c r="DQ27" s="55">
        <f t="shared" si="65"/>
        <v>0</v>
      </c>
      <c r="DR27" s="55">
        <f t="shared" si="66"/>
        <v>0</v>
      </c>
      <c r="DS27" s="55">
        <f t="shared" si="67"/>
        <v>0</v>
      </c>
      <c r="DT27" s="55">
        <f t="shared" si="68"/>
        <v>0</v>
      </c>
      <c r="DU27" s="55">
        <f t="shared" si="69"/>
        <v>0</v>
      </c>
      <c r="DW27" s="55">
        <f>IF(CY27&lt;&gt;"",MAX($DW$9:DW26)+1,0)</f>
        <v>0</v>
      </c>
      <c r="DX27" s="130" t="str">
        <f t="shared" si="70"/>
        <v/>
      </c>
    </row>
    <row r="28" spans="2:128" ht="30" customHeight="1" x14ac:dyDescent="0.25">
      <c r="B28" s="972"/>
      <c r="C28" s="981" t="s">
        <v>278</v>
      </c>
      <c r="D28" s="982"/>
      <c r="E28" s="193"/>
      <c r="F28" s="194"/>
      <c r="G28" s="195"/>
      <c r="H28" s="195"/>
      <c r="I28" s="195"/>
      <c r="J28" s="195"/>
      <c r="K28" s="195"/>
      <c r="L28" s="203">
        <f t="shared" si="26"/>
        <v>0</v>
      </c>
      <c r="M28" s="205">
        <f t="shared" si="71"/>
        <v>0</v>
      </c>
      <c r="N28" s="161"/>
      <c r="O28" s="194"/>
      <c r="P28" s="195"/>
      <c r="Q28" s="195"/>
      <c r="R28" s="195"/>
      <c r="S28" s="195"/>
      <c r="T28" s="203">
        <f t="shared" si="27"/>
        <v>0</v>
      </c>
      <c r="U28" s="196"/>
      <c r="V28" s="163"/>
      <c r="W28" s="205">
        <f t="shared" si="72"/>
        <v>0</v>
      </c>
      <c r="X28" s="194"/>
      <c r="Y28" s="195"/>
      <c r="Z28" s="203">
        <f t="shared" si="28"/>
        <v>0</v>
      </c>
      <c r="AA28" s="164"/>
      <c r="AB28" s="165"/>
      <c r="AC28" s="322"/>
      <c r="AD28" s="323"/>
      <c r="AE28" s="197"/>
      <c r="AF28" s="357"/>
      <c r="AG28" s="53">
        <f>IF(AND(AA28&lt;&gt;"",OR(AA28&lt;EXPEDIENTE!$I$25,AA28&gt;EXPEDIENTE!$I$29)),1,0)</f>
        <v>0</v>
      </c>
      <c r="AH28" s="53">
        <f>IF(AND(AB28&lt;&gt;"",OR(AB28&lt;EXPEDIENTE!$I$25,AB28&gt;EXPEDIENTE!$I$29)),1,0)</f>
        <v>0</v>
      </c>
      <c r="AI28" s="53">
        <f>IF(DATE(YEAR(EXPEDIENTE!$I$25)+1,MONTH(DATEVALUE($C28&amp;"1")),1)&gt;=DATE(YEAR(EXPEDIENTE!$I$25),MONTH(EXPEDIENTE!$I$25),1),0,1)</f>
        <v>0</v>
      </c>
      <c r="AJ28" s="53" t="e">
        <f>IF(DATE(YEAR(EXPEDIENTE!$I$25)+1,MONTH(DATEVALUE($C28&amp;"1")),1)&lt;=DATE(YEAR(EXPEDIENTE!$I$27),MONTH(EXPEDIENTE!$I$27),1),0,1)</f>
        <v>#VALUE!</v>
      </c>
      <c r="AK28" s="53" t="e">
        <f t="shared" si="29"/>
        <v>#VALUE!</v>
      </c>
      <c r="AM28" s="1014"/>
      <c r="AN28" s="859" t="s">
        <v>278</v>
      </c>
      <c r="AO28" s="860"/>
      <c r="AP28" s="1038"/>
      <c r="AQ28" s="1039"/>
      <c r="AR28" s="198">
        <f t="shared" si="8"/>
        <v>0</v>
      </c>
      <c r="AS28" s="85"/>
      <c r="AT28" s="199">
        <f t="shared" si="30"/>
        <v>0</v>
      </c>
      <c r="AU28" s="200">
        <f t="shared" si="9"/>
        <v>0</v>
      </c>
      <c r="AV28" s="201"/>
      <c r="AW28" s="202">
        <f t="shared" si="31"/>
        <v>0</v>
      </c>
      <c r="AX28" s="200">
        <f t="shared" si="10"/>
        <v>0</v>
      </c>
      <c r="AY28" s="203"/>
      <c r="AZ28" s="204">
        <f t="shared" si="32"/>
        <v>0</v>
      </c>
      <c r="BA28" s="204">
        <f t="shared" si="11"/>
        <v>0</v>
      </c>
      <c r="BB28" s="203"/>
      <c r="BC28" s="204">
        <f t="shared" si="33"/>
        <v>0</v>
      </c>
      <c r="BD28" s="204">
        <f t="shared" si="12"/>
        <v>0</v>
      </c>
      <c r="BE28" s="203"/>
      <c r="BF28" s="204">
        <f t="shared" si="34"/>
        <v>0</v>
      </c>
      <c r="BG28" s="204">
        <f t="shared" si="13"/>
        <v>0</v>
      </c>
      <c r="BH28" s="203"/>
      <c r="BI28" s="204">
        <f t="shared" si="35"/>
        <v>0</v>
      </c>
      <c r="BJ28" s="204">
        <f t="shared" si="14"/>
        <v>0</v>
      </c>
      <c r="BK28" s="203"/>
      <c r="BL28" s="204">
        <f t="shared" si="36"/>
        <v>0</v>
      </c>
      <c r="BM28" s="175">
        <f t="shared" si="37"/>
        <v>0</v>
      </c>
      <c r="BN28" s="205">
        <f t="shared" si="38"/>
        <v>0</v>
      </c>
      <c r="BO28" s="177"/>
      <c r="BP28" s="200">
        <f t="shared" si="15"/>
        <v>0</v>
      </c>
      <c r="BQ28" s="201"/>
      <c r="BR28" s="206">
        <f t="shared" si="39"/>
        <v>0</v>
      </c>
      <c r="BS28" s="204">
        <f t="shared" si="16"/>
        <v>0</v>
      </c>
      <c r="BT28" s="203"/>
      <c r="BU28" s="204">
        <f t="shared" si="40"/>
        <v>0</v>
      </c>
      <c r="BV28" s="204">
        <f t="shared" si="17"/>
        <v>0</v>
      </c>
      <c r="BW28" s="203"/>
      <c r="BX28" s="204">
        <f t="shared" si="41"/>
        <v>0</v>
      </c>
      <c r="BY28" s="204">
        <f t="shared" si="18"/>
        <v>0</v>
      </c>
      <c r="BZ28" s="203"/>
      <c r="CA28" s="204">
        <f t="shared" si="42"/>
        <v>0</v>
      </c>
      <c r="CB28" s="204">
        <f t="shared" si="19"/>
        <v>0</v>
      </c>
      <c r="CC28" s="203"/>
      <c r="CD28" s="204">
        <f t="shared" si="43"/>
        <v>0</v>
      </c>
      <c r="CE28" s="175">
        <f t="shared" si="44"/>
        <v>0</v>
      </c>
      <c r="CF28" s="200">
        <f t="shared" si="20"/>
        <v>0</v>
      </c>
      <c r="CG28" s="203"/>
      <c r="CH28" s="207">
        <f t="shared" si="45"/>
        <v>0</v>
      </c>
      <c r="CI28" s="182"/>
      <c r="CJ28" s="208">
        <f t="shared" si="46"/>
        <v>0</v>
      </c>
      <c r="CK28" s="200">
        <f t="shared" si="21"/>
        <v>0</v>
      </c>
      <c r="CL28" s="201"/>
      <c r="CM28" s="202">
        <f t="shared" si="47"/>
        <v>0</v>
      </c>
      <c r="CN28" s="200">
        <f t="shared" si="22"/>
        <v>0</v>
      </c>
      <c r="CO28" s="203"/>
      <c r="CP28" s="207">
        <f t="shared" si="48"/>
        <v>0</v>
      </c>
      <c r="CQ28" s="208">
        <f t="shared" si="49"/>
        <v>0</v>
      </c>
      <c r="CR28" s="185" t="str">
        <f t="shared" si="23"/>
        <v/>
      </c>
      <c r="CS28" s="186"/>
      <c r="CT28" s="187" t="str">
        <f t="shared" si="50"/>
        <v/>
      </c>
      <c r="CU28" s="188" t="str">
        <f t="shared" si="24"/>
        <v/>
      </c>
      <c r="CV28" s="189"/>
      <c r="CW28" s="190" t="str">
        <f t="shared" si="51"/>
        <v/>
      </c>
      <c r="CX28" s="209" t="str">
        <f t="shared" si="52"/>
        <v/>
      </c>
      <c r="CY28" s="210"/>
      <c r="DA28" s="53">
        <f>IF(AND(CT28&lt;&gt;"",OR(CT28&lt;EXPEDIENTE!$I$25,CT28&gt;EXPEDIENTE!$I$29)),1,0)</f>
        <v>0</v>
      </c>
      <c r="DB28" s="53">
        <f>IF(AND(CW28&lt;&gt;"",OR(CW28&lt;EXPEDIENTE!$I$25,CW28&gt;EXPEDIENTE!$I$29)),1,0)</f>
        <v>0</v>
      </c>
      <c r="DD28" s="55">
        <f t="shared" si="25"/>
        <v>0</v>
      </c>
      <c r="DE28" s="55">
        <f t="shared" si="53"/>
        <v>0</v>
      </c>
      <c r="DF28" s="55">
        <f t="shared" si="54"/>
        <v>0</v>
      </c>
      <c r="DG28" s="55">
        <f t="shared" si="55"/>
        <v>0</v>
      </c>
      <c r="DH28" s="55">
        <f t="shared" si="56"/>
        <v>0</v>
      </c>
      <c r="DI28" s="55">
        <f t="shared" si="57"/>
        <v>0</v>
      </c>
      <c r="DJ28" s="55">
        <f t="shared" si="58"/>
        <v>0</v>
      </c>
      <c r="DK28" s="55">
        <f t="shared" si="59"/>
        <v>0</v>
      </c>
      <c r="DL28" s="55">
        <f t="shared" si="60"/>
        <v>0</v>
      </c>
      <c r="DM28" s="55">
        <f t="shared" si="61"/>
        <v>0</v>
      </c>
      <c r="DN28" s="55">
        <f t="shared" si="62"/>
        <v>0</v>
      </c>
      <c r="DO28" s="55">
        <f t="shared" si="63"/>
        <v>0</v>
      </c>
      <c r="DP28" s="55">
        <f t="shared" si="64"/>
        <v>0</v>
      </c>
      <c r="DQ28" s="55">
        <f t="shared" si="65"/>
        <v>0</v>
      </c>
      <c r="DR28" s="55">
        <f t="shared" si="66"/>
        <v>0</v>
      </c>
      <c r="DS28" s="55">
        <f t="shared" si="67"/>
        <v>0</v>
      </c>
      <c r="DT28" s="55">
        <f t="shared" si="68"/>
        <v>0</v>
      </c>
      <c r="DU28" s="55">
        <f t="shared" si="69"/>
        <v>0</v>
      </c>
      <c r="DW28" s="55">
        <f>IF(CY28&lt;&gt;"",MAX($DW$9:DW27)+1,0)</f>
        <v>0</v>
      </c>
      <c r="DX28" s="130" t="str">
        <f t="shared" si="70"/>
        <v/>
      </c>
    </row>
    <row r="29" spans="2:128" ht="30" customHeight="1" x14ac:dyDescent="0.25">
      <c r="B29" s="972"/>
      <c r="C29" s="981" t="s">
        <v>279</v>
      </c>
      <c r="D29" s="982"/>
      <c r="E29" s="193"/>
      <c r="F29" s="194"/>
      <c r="G29" s="195"/>
      <c r="H29" s="195"/>
      <c r="I29" s="195"/>
      <c r="J29" s="195"/>
      <c r="K29" s="195"/>
      <c r="L29" s="203">
        <f t="shared" si="26"/>
        <v>0</v>
      </c>
      <c r="M29" s="205">
        <f t="shared" si="71"/>
        <v>0</v>
      </c>
      <c r="N29" s="161"/>
      <c r="O29" s="194"/>
      <c r="P29" s="195"/>
      <c r="Q29" s="195"/>
      <c r="R29" s="195"/>
      <c r="S29" s="195"/>
      <c r="T29" s="203">
        <f t="shared" si="27"/>
        <v>0</v>
      </c>
      <c r="U29" s="196"/>
      <c r="V29" s="163"/>
      <c r="W29" s="205">
        <f t="shared" si="72"/>
        <v>0</v>
      </c>
      <c r="X29" s="194"/>
      <c r="Y29" s="195"/>
      <c r="Z29" s="203">
        <f t="shared" si="28"/>
        <v>0</v>
      </c>
      <c r="AA29" s="164"/>
      <c r="AB29" s="165"/>
      <c r="AC29" s="322"/>
      <c r="AD29" s="323"/>
      <c r="AE29" s="197"/>
      <c r="AF29" s="357"/>
      <c r="AG29" s="53">
        <f>IF(AND(AA29&lt;&gt;"",OR(AA29&lt;EXPEDIENTE!$I$25,AA29&gt;EXPEDIENTE!$I$29)),1,0)</f>
        <v>0</v>
      </c>
      <c r="AH29" s="53">
        <f>IF(AND(AB29&lt;&gt;"",OR(AB29&lt;EXPEDIENTE!$I$25,AB29&gt;EXPEDIENTE!$I$29)),1,0)</f>
        <v>0</v>
      </c>
      <c r="AI29" s="53">
        <f>IF(DATE(YEAR(EXPEDIENTE!$I$25)+1,MONTH(DATEVALUE($C29&amp;"1")),1)&gt;=DATE(YEAR(EXPEDIENTE!$I$25),MONTH(EXPEDIENTE!$I$25),1),0,1)</f>
        <v>0</v>
      </c>
      <c r="AJ29" s="53" t="e">
        <f>IF(DATE(YEAR(EXPEDIENTE!$I$25)+1,MONTH(DATEVALUE($C29&amp;"1")),1)&lt;=DATE(YEAR(EXPEDIENTE!$I$27),MONTH(EXPEDIENTE!$I$27),1),0,1)</f>
        <v>#VALUE!</v>
      </c>
      <c r="AK29" s="53" t="e">
        <f t="shared" si="29"/>
        <v>#VALUE!</v>
      </c>
      <c r="AM29" s="1014"/>
      <c r="AN29" s="859" t="s">
        <v>279</v>
      </c>
      <c r="AO29" s="860"/>
      <c r="AP29" s="1038"/>
      <c r="AQ29" s="1039"/>
      <c r="AR29" s="198">
        <f t="shared" si="8"/>
        <v>0</v>
      </c>
      <c r="AS29" s="85"/>
      <c r="AT29" s="199">
        <f t="shared" si="30"/>
        <v>0</v>
      </c>
      <c r="AU29" s="200">
        <f t="shared" si="9"/>
        <v>0</v>
      </c>
      <c r="AV29" s="201"/>
      <c r="AW29" s="202">
        <f t="shared" si="31"/>
        <v>0</v>
      </c>
      <c r="AX29" s="200">
        <f t="shared" si="10"/>
        <v>0</v>
      </c>
      <c r="AY29" s="203"/>
      <c r="AZ29" s="204">
        <f t="shared" si="32"/>
        <v>0</v>
      </c>
      <c r="BA29" s="204">
        <f t="shared" si="11"/>
        <v>0</v>
      </c>
      <c r="BB29" s="203"/>
      <c r="BC29" s="204">
        <f t="shared" si="33"/>
        <v>0</v>
      </c>
      <c r="BD29" s="204">
        <f t="shared" si="12"/>
        <v>0</v>
      </c>
      <c r="BE29" s="203"/>
      <c r="BF29" s="204">
        <f t="shared" si="34"/>
        <v>0</v>
      </c>
      <c r="BG29" s="204">
        <f t="shared" si="13"/>
        <v>0</v>
      </c>
      <c r="BH29" s="203"/>
      <c r="BI29" s="204">
        <f t="shared" si="35"/>
        <v>0</v>
      </c>
      <c r="BJ29" s="204">
        <f t="shared" si="14"/>
        <v>0</v>
      </c>
      <c r="BK29" s="203"/>
      <c r="BL29" s="204">
        <f t="shared" si="36"/>
        <v>0</v>
      </c>
      <c r="BM29" s="175">
        <f t="shared" si="37"/>
        <v>0</v>
      </c>
      <c r="BN29" s="205">
        <f t="shared" si="38"/>
        <v>0</v>
      </c>
      <c r="BO29" s="177"/>
      <c r="BP29" s="200">
        <f t="shared" si="15"/>
        <v>0</v>
      </c>
      <c r="BQ29" s="201"/>
      <c r="BR29" s="206">
        <f t="shared" si="39"/>
        <v>0</v>
      </c>
      <c r="BS29" s="204">
        <f t="shared" si="16"/>
        <v>0</v>
      </c>
      <c r="BT29" s="203"/>
      <c r="BU29" s="204">
        <f t="shared" si="40"/>
        <v>0</v>
      </c>
      <c r="BV29" s="204">
        <f t="shared" si="17"/>
        <v>0</v>
      </c>
      <c r="BW29" s="203"/>
      <c r="BX29" s="204">
        <f t="shared" si="41"/>
        <v>0</v>
      </c>
      <c r="BY29" s="204">
        <f t="shared" si="18"/>
        <v>0</v>
      </c>
      <c r="BZ29" s="203"/>
      <c r="CA29" s="204">
        <f t="shared" si="42"/>
        <v>0</v>
      </c>
      <c r="CB29" s="204">
        <f t="shared" si="19"/>
        <v>0</v>
      </c>
      <c r="CC29" s="203"/>
      <c r="CD29" s="204">
        <f t="shared" si="43"/>
        <v>0</v>
      </c>
      <c r="CE29" s="175">
        <f t="shared" si="44"/>
        <v>0</v>
      </c>
      <c r="CF29" s="200">
        <f t="shared" si="20"/>
        <v>0</v>
      </c>
      <c r="CG29" s="203"/>
      <c r="CH29" s="207">
        <f t="shared" si="45"/>
        <v>0</v>
      </c>
      <c r="CI29" s="182"/>
      <c r="CJ29" s="208">
        <f t="shared" si="46"/>
        <v>0</v>
      </c>
      <c r="CK29" s="200">
        <f t="shared" si="21"/>
        <v>0</v>
      </c>
      <c r="CL29" s="201"/>
      <c r="CM29" s="202">
        <f t="shared" si="47"/>
        <v>0</v>
      </c>
      <c r="CN29" s="200">
        <f t="shared" si="22"/>
        <v>0</v>
      </c>
      <c r="CO29" s="203"/>
      <c r="CP29" s="207">
        <f t="shared" si="48"/>
        <v>0</v>
      </c>
      <c r="CQ29" s="208">
        <f t="shared" si="49"/>
        <v>0</v>
      </c>
      <c r="CR29" s="185" t="str">
        <f t="shared" si="23"/>
        <v/>
      </c>
      <c r="CS29" s="186"/>
      <c r="CT29" s="187" t="str">
        <f t="shared" si="50"/>
        <v/>
      </c>
      <c r="CU29" s="188" t="str">
        <f t="shared" si="24"/>
        <v/>
      </c>
      <c r="CV29" s="189"/>
      <c r="CW29" s="190" t="str">
        <f t="shared" si="51"/>
        <v/>
      </c>
      <c r="CX29" s="209" t="str">
        <f t="shared" si="52"/>
        <v/>
      </c>
      <c r="CY29" s="210"/>
      <c r="DA29" s="53">
        <f>IF(AND(CT29&lt;&gt;"",OR(CT29&lt;EXPEDIENTE!$I$25,CT29&gt;EXPEDIENTE!$I$29)),1,0)</f>
        <v>0</v>
      </c>
      <c r="DB29" s="53">
        <f>IF(AND(CW29&lt;&gt;"",OR(CW29&lt;EXPEDIENTE!$I$25,CW29&gt;EXPEDIENTE!$I$29)),1,0)</f>
        <v>0</v>
      </c>
      <c r="DD29" s="55">
        <f t="shared" si="25"/>
        <v>0</v>
      </c>
      <c r="DE29" s="55">
        <f t="shared" si="53"/>
        <v>0</v>
      </c>
      <c r="DF29" s="55">
        <f t="shared" si="54"/>
        <v>0</v>
      </c>
      <c r="DG29" s="55">
        <f t="shared" si="55"/>
        <v>0</v>
      </c>
      <c r="DH29" s="55">
        <f t="shared" si="56"/>
        <v>0</v>
      </c>
      <c r="DI29" s="55">
        <f t="shared" si="57"/>
        <v>0</v>
      </c>
      <c r="DJ29" s="55">
        <f t="shared" si="58"/>
        <v>0</v>
      </c>
      <c r="DK29" s="55">
        <f t="shared" si="59"/>
        <v>0</v>
      </c>
      <c r="DL29" s="55">
        <f t="shared" si="60"/>
        <v>0</v>
      </c>
      <c r="DM29" s="55">
        <f t="shared" si="61"/>
        <v>0</v>
      </c>
      <c r="DN29" s="55">
        <f t="shared" si="62"/>
        <v>0</v>
      </c>
      <c r="DO29" s="55">
        <f t="shared" si="63"/>
        <v>0</v>
      </c>
      <c r="DP29" s="55">
        <f t="shared" si="64"/>
        <v>0</v>
      </c>
      <c r="DQ29" s="55">
        <f t="shared" si="65"/>
        <v>0</v>
      </c>
      <c r="DR29" s="55">
        <f t="shared" si="66"/>
        <v>0</v>
      </c>
      <c r="DS29" s="55">
        <f t="shared" si="67"/>
        <v>0</v>
      </c>
      <c r="DT29" s="55">
        <f t="shared" si="68"/>
        <v>0</v>
      </c>
      <c r="DU29" s="55">
        <f t="shared" si="69"/>
        <v>0</v>
      </c>
      <c r="DW29" s="55">
        <f>IF(CY29&lt;&gt;"",MAX($DW$9:DW28)+1,0)</f>
        <v>0</v>
      </c>
      <c r="DX29" s="130" t="str">
        <f t="shared" si="70"/>
        <v/>
      </c>
    </row>
    <row r="30" spans="2:128" ht="30" customHeight="1" x14ac:dyDescent="0.25">
      <c r="B30" s="972"/>
      <c r="C30" s="981" t="s">
        <v>280</v>
      </c>
      <c r="D30" s="982"/>
      <c r="E30" s="193"/>
      <c r="F30" s="194"/>
      <c r="G30" s="195"/>
      <c r="H30" s="195"/>
      <c r="I30" s="195"/>
      <c r="J30" s="195"/>
      <c r="K30" s="195"/>
      <c r="L30" s="203">
        <f t="shared" si="26"/>
        <v>0</v>
      </c>
      <c r="M30" s="205">
        <f t="shared" si="71"/>
        <v>0</v>
      </c>
      <c r="N30" s="161"/>
      <c r="O30" s="194"/>
      <c r="P30" s="195"/>
      <c r="Q30" s="195"/>
      <c r="R30" s="195"/>
      <c r="S30" s="195"/>
      <c r="T30" s="203">
        <f t="shared" si="27"/>
        <v>0</v>
      </c>
      <c r="U30" s="196"/>
      <c r="V30" s="163"/>
      <c r="W30" s="205">
        <f t="shared" si="72"/>
        <v>0</v>
      </c>
      <c r="X30" s="194"/>
      <c r="Y30" s="195"/>
      <c r="Z30" s="203">
        <f t="shared" si="28"/>
        <v>0</v>
      </c>
      <c r="AA30" s="164"/>
      <c r="AB30" s="165"/>
      <c r="AC30" s="322"/>
      <c r="AD30" s="323"/>
      <c r="AE30" s="197"/>
      <c r="AF30" s="357"/>
      <c r="AG30" s="53">
        <f>IF(AND(AA30&lt;&gt;"",OR(AA30&lt;EXPEDIENTE!$I$25,AA30&gt;EXPEDIENTE!$I$29)),1,0)</f>
        <v>0</v>
      </c>
      <c r="AH30" s="53">
        <f>IF(AND(AB30&lt;&gt;"",OR(AB30&lt;EXPEDIENTE!$I$25,AB30&gt;EXPEDIENTE!$I$29)),1,0)</f>
        <v>0</v>
      </c>
      <c r="AI30" s="53">
        <f>IF(DATE(YEAR(EXPEDIENTE!$I$25)+1,MONTH(DATEVALUE($C30&amp;"1")),1)&gt;=DATE(YEAR(EXPEDIENTE!$I$25),MONTH(EXPEDIENTE!$I$25),1),0,1)</f>
        <v>0</v>
      </c>
      <c r="AJ30" s="53" t="e">
        <f>IF(DATE(YEAR(EXPEDIENTE!$I$25)+1,MONTH(DATEVALUE($C30&amp;"1")),1)&lt;=DATE(YEAR(EXPEDIENTE!$I$27),MONTH(EXPEDIENTE!$I$27),1),0,1)</f>
        <v>#VALUE!</v>
      </c>
      <c r="AK30" s="53" t="e">
        <f t="shared" si="29"/>
        <v>#VALUE!</v>
      </c>
      <c r="AM30" s="1014"/>
      <c r="AN30" s="859" t="s">
        <v>280</v>
      </c>
      <c r="AO30" s="860"/>
      <c r="AP30" s="1038"/>
      <c r="AQ30" s="1039"/>
      <c r="AR30" s="198">
        <f t="shared" si="8"/>
        <v>0</v>
      </c>
      <c r="AS30" s="85"/>
      <c r="AT30" s="199">
        <f t="shared" si="30"/>
        <v>0</v>
      </c>
      <c r="AU30" s="200">
        <f t="shared" si="9"/>
        <v>0</v>
      </c>
      <c r="AV30" s="201"/>
      <c r="AW30" s="202">
        <f t="shared" si="31"/>
        <v>0</v>
      </c>
      <c r="AX30" s="200">
        <f t="shared" si="10"/>
        <v>0</v>
      </c>
      <c r="AY30" s="203"/>
      <c r="AZ30" s="204">
        <f t="shared" si="32"/>
        <v>0</v>
      </c>
      <c r="BA30" s="204">
        <f t="shared" si="11"/>
        <v>0</v>
      </c>
      <c r="BB30" s="203"/>
      <c r="BC30" s="204">
        <f t="shared" si="33"/>
        <v>0</v>
      </c>
      <c r="BD30" s="204">
        <f t="shared" si="12"/>
        <v>0</v>
      </c>
      <c r="BE30" s="203"/>
      <c r="BF30" s="204">
        <f t="shared" si="34"/>
        <v>0</v>
      </c>
      <c r="BG30" s="204">
        <f t="shared" si="13"/>
        <v>0</v>
      </c>
      <c r="BH30" s="203"/>
      <c r="BI30" s="204">
        <f t="shared" si="35"/>
        <v>0</v>
      </c>
      <c r="BJ30" s="204">
        <f t="shared" si="14"/>
        <v>0</v>
      </c>
      <c r="BK30" s="203"/>
      <c r="BL30" s="204">
        <f t="shared" si="36"/>
        <v>0</v>
      </c>
      <c r="BM30" s="175">
        <f t="shared" si="37"/>
        <v>0</v>
      </c>
      <c r="BN30" s="205">
        <f t="shared" si="38"/>
        <v>0</v>
      </c>
      <c r="BO30" s="177"/>
      <c r="BP30" s="200">
        <f t="shared" si="15"/>
        <v>0</v>
      </c>
      <c r="BQ30" s="201"/>
      <c r="BR30" s="206">
        <f t="shared" si="39"/>
        <v>0</v>
      </c>
      <c r="BS30" s="204">
        <f t="shared" si="16"/>
        <v>0</v>
      </c>
      <c r="BT30" s="203"/>
      <c r="BU30" s="204">
        <f t="shared" si="40"/>
        <v>0</v>
      </c>
      <c r="BV30" s="204">
        <f t="shared" si="17"/>
        <v>0</v>
      </c>
      <c r="BW30" s="203"/>
      <c r="BX30" s="204">
        <f t="shared" si="41"/>
        <v>0</v>
      </c>
      <c r="BY30" s="204">
        <f t="shared" si="18"/>
        <v>0</v>
      </c>
      <c r="BZ30" s="203"/>
      <c r="CA30" s="204">
        <f t="shared" si="42"/>
        <v>0</v>
      </c>
      <c r="CB30" s="204">
        <f t="shared" si="19"/>
        <v>0</v>
      </c>
      <c r="CC30" s="203"/>
      <c r="CD30" s="204">
        <f t="shared" si="43"/>
        <v>0</v>
      </c>
      <c r="CE30" s="175">
        <f t="shared" si="44"/>
        <v>0</v>
      </c>
      <c r="CF30" s="200">
        <f t="shared" si="20"/>
        <v>0</v>
      </c>
      <c r="CG30" s="203"/>
      <c r="CH30" s="207">
        <f t="shared" si="45"/>
        <v>0</v>
      </c>
      <c r="CI30" s="182"/>
      <c r="CJ30" s="208">
        <f t="shared" si="46"/>
        <v>0</v>
      </c>
      <c r="CK30" s="200">
        <f t="shared" si="21"/>
        <v>0</v>
      </c>
      <c r="CL30" s="201"/>
      <c r="CM30" s="202">
        <f t="shared" si="47"/>
        <v>0</v>
      </c>
      <c r="CN30" s="200">
        <f t="shared" si="22"/>
        <v>0</v>
      </c>
      <c r="CO30" s="203"/>
      <c r="CP30" s="207">
        <f t="shared" si="48"/>
        <v>0</v>
      </c>
      <c r="CQ30" s="208">
        <f t="shared" si="49"/>
        <v>0</v>
      </c>
      <c r="CR30" s="185" t="str">
        <f t="shared" si="23"/>
        <v/>
      </c>
      <c r="CS30" s="186"/>
      <c r="CT30" s="187" t="str">
        <f t="shared" si="50"/>
        <v/>
      </c>
      <c r="CU30" s="188" t="str">
        <f t="shared" si="24"/>
        <v/>
      </c>
      <c r="CV30" s="189"/>
      <c r="CW30" s="190" t="str">
        <f t="shared" si="51"/>
        <v/>
      </c>
      <c r="CX30" s="209" t="str">
        <f t="shared" si="52"/>
        <v/>
      </c>
      <c r="CY30" s="210"/>
      <c r="DA30" s="53">
        <f>IF(AND(CT30&lt;&gt;"",OR(CT30&lt;EXPEDIENTE!$I$25,CT30&gt;EXPEDIENTE!$I$29)),1,0)</f>
        <v>0</v>
      </c>
      <c r="DB30" s="53">
        <f>IF(AND(CW30&lt;&gt;"",OR(CW30&lt;EXPEDIENTE!$I$25,CW30&gt;EXPEDIENTE!$I$29)),1,0)</f>
        <v>0</v>
      </c>
      <c r="DD30" s="55">
        <f t="shared" si="25"/>
        <v>0</v>
      </c>
      <c r="DE30" s="55">
        <f t="shared" si="53"/>
        <v>0</v>
      </c>
      <c r="DF30" s="55">
        <f t="shared" si="54"/>
        <v>0</v>
      </c>
      <c r="DG30" s="55">
        <f t="shared" si="55"/>
        <v>0</v>
      </c>
      <c r="DH30" s="55">
        <f t="shared" si="56"/>
        <v>0</v>
      </c>
      <c r="DI30" s="55">
        <f t="shared" si="57"/>
        <v>0</v>
      </c>
      <c r="DJ30" s="55">
        <f t="shared" si="58"/>
        <v>0</v>
      </c>
      <c r="DK30" s="55">
        <f t="shared" si="59"/>
        <v>0</v>
      </c>
      <c r="DL30" s="55">
        <f t="shared" si="60"/>
        <v>0</v>
      </c>
      <c r="DM30" s="55">
        <f t="shared" si="61"/>
        <v>0</v>
      </c>
      <c r="DN30" s="55">
        <f t="shared" si="62"/>
        <v>0</v>
      </c>
      <c r="DO30" s="55">
        <f t="shared" si="63"/>
        <v>0</v>
      </c>
      <c r="DP30" s="55">
        <f t="shared" si="64"/>
        <v>0</v>
      </c>
      <c r="DQ30" s="55">
        <f t="shared" si="65"/>
        <v>0</v>
      </c>
      <c r="DR30" s="55">
        <f t="shared" si="66"/>
        <v>0</v>
      </c>
      <c r="DS30" s="55">
        <f t="shared" si="67"/>
        <v>0</v>
      </c>
      <c r="DT30" s="55">
        <f t="shared" si="68"/>
        <v>0</v>
      </c>
      <c r="DU30" s="55">
        <f t="shared" si="69"/>
        <v>0</v>
      </c>
      <c r="DW30" s="55">
        <f>IF(CY30&lt;&gt;"",MAX($DW$9:DW29)+1,0)</f>
        <v>0</v>
      </c>
      <c r="DX30" s="130" t="str">
        <f t="shared" si="70"/>
        <v/>
      </c>
    </row>
    <row r="31" spans="2:128" ht="30" customHeight="1" thickBot="1" x14ac:dyDescent="0.3">
      <c r="B31" s="972"/>
      <c r="C31" s="984" t="s">
        <v>281</v>
      </c>
      <c r="D31" s="985"/>
      <c r="E31" s="211"/>
      <c r="F31" s="212"/>
      <c r="G31" s="213"/>
      <c r="H31" s="213"/>
      <c r="I31" s="213"/>
      <c r="J31" s="213"/>
      <c r="K31" s="213"/>
      <c r="L31" s="268">
        <f t="shared" si="26"/>
        <v>0</v>
      </c>
      <c r="M31" s="690">
        <f t="shared" si="71"/>
        <v>0</v>
      </c>
      <c r="N31" s="161"/>
      <c r="O31" s="215"/>
      <c r="P31" s="216"/>
      <c r="Q31" s="216"/>
      <c r="R31" s="216"/>
      <c r="S31" s="216"/>
      <c r="T31" s="227">
        <f t="shared" si="27"/>
        <v>0</v>
      </c>
      <c r="U31" s="217"/>
      <c r="V31" s="163"/>
      <c r="W31" s="690">
        <f t="shared" si="72"/>
        <v>0</v>
      </c>
      <c r="X31" s="212"/>
      <c r="Y31" s="213"/>
      <c r="Z31" s="268">
        <f t="shared" si="28"/>
        <v>0</v>
      </c>
      <c r="AA31" s="218"/>
      <c r="AB31" s="219"/>
      <c r="AC31" s="324"/>
      <c r="AD31" s="325"/>
      <c r="AE31" s="220"/>
      <c r="AF31" s="357"/>
      <c r="AG31" s="53">
        <f>IF(AND(AA31&lt;&gt;"",OR(AA31&lt;EXPEDIENTE!$I$25,AA31&gt;EXPEDIENTE!$I$29)),1,0)</f>
        <v>0</v>
      </c>
      <c r="AH31" s="53">
        <f>IF(AND(AB31&lt;&gt;"",OR(AB31&lt;EXPEDIENTE!$I$25,AB31&gt;EXPEDIENTE!$I$29)),1,0)</f>
        <v>0</v>
      </c>
      <c r="AI31" s="53">
        <f>IF(DATE(YEAR(EXPEDIENTE!$I$25)+1,MONTH(DATEVALUE($C31&amp;"1")),1)&gt;=DATE(YEAR(EXPEDIENTE!$I$25),MONTH(EXPEDIENTE!$I$25),1),0,1)</f>
        <v>0</v>
      </c>
      <c r="AJ31" s="53" t="e">
        <f>IF(DATE(YEAR(EXPEDIENTE!$I$25)+1,MONTH(DATEVALUE($C31&amp;"1")),1)&lt;=DATE(YEAR(EXPEDIENTE!$I$27),MONTH(EXPEDIENTE!$I$27),1),0,1)</f>
        <v>#VALUE!</v>
      </c>
      <c r="AK31" s="53" t="e">
        <f t="shared" si="29"/>
        <v>#VALUE!</v>
      </c>
      <c r="AM31" s="1014"/>
      <c r="AN31" s="891" t="s">
        <v>281</v>
      </c>
      <c r="AO31" s="892"/>
      <c r="AP31" s="1040"/>
      <c r="AQ31" s="1041"/>
      <c r="AR31" s="221">
        <f t="shared" si="8"/>
        <v>0</v>
      </c>
      <c r="AS31" s="222"/>
      <c r="AT31" s="223">
        <f t="shared" si="30"/>
        <v>0</v>
      </c>
      <c r="AU31" s="224">
        <f t="shared" si="9"/>
        <v>0</v>
      </c>
      <c r="AV31" s="225"/>
      <c r="AW31" s="226">
        <f t="shared" si="31"/>
        <v>0</v>
      </c>
      <c r="AX31" s="224">
        <f t="shared" si="10"/>
        <v>0</v>
      </c>
      <c r="AY31" s="227"/>
      <c r="AZ31" s="228">
        <f t="shared" si="32"/>
        <v>0</v>
      </c>
      <c r="BA31" s="228">
        <f t="shared" si="11"/>
        <v>0</v>
      </c>
      <c r="BB31" s="227"/>
      <c r="BC31" s="228">
        <f t="shared" si="33"/>
        <v>0</v>
      </c>
      <c r="BD31" s="228">
        <f t="shared" si="12"/>
        <v>0</v>
      </c>
      <c r="BE31" s="227"/>
      <c r="BF31" s="228">
        <f t="shared" si="34"/>
        <v>0</v>
      </c>
      <c r="BG31" s="228">
        <f t="shared" si="13"/>
        <v>0</v>
      </c>
      <c r="BH31" s="227"/>
      <c r="BI31" s="228">
        <f t="shared" si="35"/>
        <v>0</v>
      </c>
      <c r="BJ31" s="228">
        <f t="shared" si="14"/>
        <v>0</v>
      </c>
      <c r="BK31" s="227"/>
      <c r="BL31" s="228">
        <f t="shared" si="36"/>
        <v>0</v>
      </c>
      <c r="BM31" s="229">
        <f t="shared" si="37"/>
        <v>0</v>
      </c>
      <c r="BN31" s="230">
        <f t="shared" si="38"/>
        <v>0</v>
      </c>
      <c r="BO31" s="177"/>
      <c r="BP31" s="224">
        <f t="shared" si="15"/>
        <v>0</v>
      </c>
      <c r="BQ31" s="225"/>
      <c r="BR31" s="231">
        <f t="shared" si="39"/>
        <v>0</v>
      </c>
      <c r="BS31" s="228">
        <f t="shared" si="16"/>
        <v>0</v>
      </c>
      <c r="BT31" s="227"/>
      <c r="BU31" s="228">
        <f t="shared" si="40"/>
        <v>0</v>
      </c>
      <c r="BV31" s="228">
        <f t="shared" si="17"/>
        <v>0</v>
      </c>
      <c r="BW31" s="227"/>
      <c r="BX31" s="228">
        <f t="shared" si="41"/>
        <v>0</v>
      </c>
      <c r="BY31" s="228">
        <f t="shared" si="18"/>
        <v>0</v>
      </c>
      <c r="BZ31" s="227"/>
      <c r="CA31" s="228">
        <f t="shared" si="42"/>
        <v>0</v>
      </c>
      <c r="CB31" s="228">
        <f t="shared" si="19"/>
        <v>0</v>
      </c>
      <c r="CC31" s="227"/>
      <c r="CD31" s="228">
        <f t="shared" si="43"/>
        <v>0</v>
      </c>
      <c r="CE31" s="229">
        <f t="shared" si="44"/>
        <v>0</v>
      </c>
      <c r="CF31" s="224">
        <f t="shared" si="20"/>
        <v>0</v>
      </c>
      <c r="CG31" s="227"/>
      <c r="CH31" s="232">
        <f t="shared" si="45"/>
        <v>0</v>
      </c>
      <c r="CI31" s="182"/>
      <c r="CJ31" s="230">
        <f t="shared" si="46"/>
        <v>0</v>
      </c>
      <c r="CK31" s="224">
        <f t="shared" si="21"/>
        <v>0</v>
      </c>
      <c r="CL31" s="225"/>
      <c r="CM31" s="226">
        <f t="shared" si="47"/>
        <v>0</v>
      </c>
      <c r="CN31" s="224">
        <f t="shared" si="22"/>
        <v>0</v>
      </c>
      <c r="CO31" s="227"/>
      <c r="CP31" s="232">
        <f t="shared" si="48"/>
        <v>0</v>
      </c>
      <c r="CQ31" s="230">
        <f t="shared" si="49"/>
        <v>0</v>
      </c>
      <c r="CR31" s="233" t="str">
        <f t="shared" si="23"/>
        <v/>
      </c>
      <c r="CS31" s="234"/>
      <c r="CT31" s="235" t="str">
        <f t="shared" si="50"/>
        <v/>
      </c>
      <c r="CU31" s="236" t="str">
        <f t="shared" si="24"/>
        <v/>
      </c>
      <c r="CV31" s="237"/>
      <c r="CW31" s="238" t="str">
        <f t="shared" si="51"/>
        <v/>
      </c>
      <c r="CX31" s="239" t="str">
        <f t="shared" si="52"/>
        <v/>
      </c>
      <c r="CY31" s="240"/>
      <c r="DA31" s="53">
        <f>IF(AND(CT31&lt;&gt;"",OR(CT31&lt;EXPEDIENTE!$I$25,CT31&gt;EXPEDIENTE!$I$29)),1,0)</f>
        <v>0</v>
      </c>
      <c r="DB31" s="53">
        <f>IF(AND(CW31&lt;&gt;"",OR(CW31&lt;EXPEDIENTE!$I$25,CW31&gt;EXPEDIENTE!$I$29)),1,0)</f>
        <v>0</v>
      </c>
      <c r="DD31" s="55">
        <f t="shared" si="25"/>
        <v>0</v>
      </c>
      <c r="DE31" s="55">
        <f t="shared" si="53"/>
        <v>0</v>
      </c>
      <c r="DF31" s="55">
        <f t="shared" si="54"/>
        <v>0</v>
      </c>
      <c r="DG31" s="55">
        <f t="shared" si="55"/>
        <v>0</v>
      </c>
      <c r="DH31" s="55">
        <f t="shared" si="56"/>
        <v>0</v>
      </c>
      <c r="DI31" s="55">
        <f t="shared" si="57"/>
        <v>0</v>
      </c>
      <c r="DJ31" s="55">
        <f t="shared" si="58"/>
        <v>0</v>
      </c>
      <c r="DK31" s="55">
        <f t="shared" si="59"/>
        <v>0</v>
      </c>
      <c r="DL31" s="55">
        <f t="shared" si="60"/>
        <v>0</v>
      </c>
      <c r="DM31" s="55">
        <f t="shared" si="61"/>
        <v>0</v>
      </c>
      <c r="DN31" s="55">
        <f t="shared" si="62"/>
        <v>0</v>
      </c>
      <c r="DO31" s="55">
        <f t="shared" si="63"/>
        <v>0</v>
      </c>
      <c r="DP31" s="55">
        <f t="shared" si="64"/>
        <v>0</v>
      </c>
      <c r="DQ31" s="55">
        <f t="shared" si="65"/>
        <v>0</v>
      </c>
      <c r="DR31" s="55">
        <f t="shared" si="66"/>
        <v>0</v>
      </c>
      <c r="DS31" s="55">
        <f t="shared" si="67"/>
        <v>0</v>
      </c>
      <c r="DT31" s="55">
        <f t="shared" si="68"/>
        <v>0</v>
      </c>
      <c r="DU31" s="55">
        <f t="shared" si="69"/>
        <v>0</v>
      </c>
      <c r="DW31" s="55">
        <f>IF(CY31&lt;&gt;"",MAX($DW$9:DW30)+1,0)</f>
        <v>0</v>
      </c>
      <c r="DX31" s="130" t="str">
        <f t="shared" si="70"/>
        <v/>
      </c>
    </row>
    <row r="32" spans="2:128" ht="9.9499999999999993" customHeight="1" thickBot="1" x14ac:dyDescent="0.3">
      <c r="B32" s="972"/>
      <c r="C32" s="336"/>
      <c r="D32" s="337"/>
      <c r="E32" s="337"/>
      <c r="F32" s="337"/>
      <c r="G32" s="337"/>
      <c r="H32" s="337"/>
      <c r="I32" s="337"/>
      <c r="J32" s="337"/>
      <c r="K32" s="337"/>
      <c r="L32" s="337"/>
      <c r="M32" s="338"/>
      <c r="N32" s="349"/>
      <c r="O32" s="350"/>
      <c r="P32" s="350"/>
      <c r="Q32" s="350"/>
      <c r="R32" s="350"/>
      <c r="S32" s="350"/>
      <c r="T32" s="350"/>
      <c r="U32" s="350"/>
      <c r="V32" s="351"/>
      <c r="W32" s="339"/>
      <c r="X32" s="337"/>
      <c r="Y32" s="337"/>
      <c r="Z32" s="337"/>
      <c r="AA32" s="337"/>
      <c r="AB32" s="337"/>
      <c r="AC32" s="337"/>
      <c r="AD32" s="337"/>
      <c r="AE32" s="340"/>
      <c r="AF32" s="357"/>
      <c r="AM32" s="1014"/>
      <c r="AN32" s="379"/>
      <c r="AO32" s="380"/>
      <c r="AP32" s="380"/>
      <c r="AQ32" s="380"/>
      <c r="AR32" s="380"/>
      <c r="AS32" s="380"/>
      <c r="AT32" s="380"/>
      <c r="AU32" s="380"/>
      <c r="AV32" s="380"/>
      <c r="AW32" s="380"/>
      <c r="AX32" s="380"/>
      <c r="AY32" s="380"/>
      <c r="AZ32" s="380"/>
      <c r="BA32" s="380"/>
      <c r="BB32" s="380"/>
      <c r="BC32" s="380"/>
      <c r="BD32" s="380"/>
      <c r="BE32" s="380"/>
      <c r="BF32" s="380"/>
      <c r="BG32" s="380"/>
      <c r="BH32" s="380"/>
      <c r="BI32" s="380"/>
      <c r="BJ32" s="380"/>
      <c r="BK32" s="380"/>
      <c r="BL32" s="380"/>
      <c r="BM32" s="380"/>
      <c r="BN32" s="381"/>
      <c r="BO32" s="241"/>
      <c r="BP32" s="242"/>
      <c r="BQ32" s="242"/>
      <c r="BR32" s="242"/>
      <c r="BS32" s="242"/>
      <c r="BT32" s="242"/>
      <c r="BU32" s="242"/>
      <c r="BV32" s="242"/>
      <c r="BW32" s="242"/>
      <c r="BX32" s="242"/>
      <c r="BY32" s="242"/>
      <c r="BZ32" s="242"/>
      <c r="CA32" s="242"/>
      <c r="CB32" s="242"/>
      <c r="CC32" s="242"/>
      <c r="CD32" s="242"/>
      <c r="CE32" s="242"/>
      <c r="CF32" s="242"/>
      <c r="CG32" s="242"/>
      <c r="CH32" s="242"/>
      <c r="CI32" s="243"/>
      <c r="CJ32" s="384"/>
      <c r="CK32" s="380"/>
      <c r="CL32" s="380"/>
      <c r="CM32" s="380"/>
      <c r="CN32" s="380"/>
      <c r="CO32" s="380"/>
      <c r="CP32" s="380"/>
      <c r="CQ32" s="380"/>
      <c r="CR32" s="380"/>
      <c r="CS32" s="380"/>
      <c r="CT32" s="380"/>
      <c r="CU32" s="380"/>
      <c r="CV32" s="380"/>
      <c r="CW32" s="380"/>
      <c r="CX32" s="380"/>
      <c r="CY32" s="385"/>
    </row>
    <row r="33" spans="2:128" ht="9.9499999999999993" customHeight="1" thickBot="1" x14ac:dyDescent="0.3">
      <c r="B33" s="972"/>
      <c r="C33" s="348"/>
      <c r="D33" s="346"/>
      <c r="E33" s="346"/>
      <c r="F33" s="346"/>
      <c r="G33" s="346"/>
      <c r="H33" s="346"/>
      <c r="I33" s="346"/>
      <c r="J33" s="346"/>
      <c r="K33" s="346"/>
      <c r="L33" s="346"/>
      <c r="M33" s="346"/>
      <c r="N33" s="346"/>
      <c r="O33" s="346"/>
      <c r="P33" s="346"/>
      <c r="Q33" s="346"/>
      <c r="R33" s="346"/>
      <c r="S33" s="346"/>
      <c r="T33" s="346"/>
      <c r="U33" s="346"/>
      <c r="V33" s="346"/>
      <c r="W33" s="346"/>
      <c r="X33" s="346"/>
      <c r="Y33" s="346"/>
      <c r="Z33" s="346"/>
      <c r="AA33" s="346"/>
      <c r="AB33" s="346"/>
      <c r="AC33" s="346"/>
      <c r="AD33" s="346"/>
      <c r="AE33" s="347"/>
      <c r="AF33" s="357"/>
      <c r="AM33" s="1014"/>
      <c r="AN33" s="377"/>
      <c r="AO33" s="378"/>
      <c r="AP33" s="378"/>
      <c r="AQ33" s="378"/>
      <c r="AR33" s="378"/>
      <c r="AS33" s="378"/>
      <c r="AT33" s="378"/>
      <c r="AU33" s="378"/>
      <c r="AV33" s="378"/>
      <c r="AW33" s="378"/>
      <c r="AX33" s="378"/>
      <c r="AY33" s="378"/>
      <c r="AZ33" s="378"/>
      <c r="BA33" s="378"/>
      <c r="BB33" s="378"/>
      <c r="BC33" s="378"/>
      <c r="BD33" s="378"/>
      <c r="BE33" s="378"/>
      <c r="BF33" s="378"/>
      <c r="BG33" s="378"/>
      <c r="BH33" s="378"/>
      <c r="BI33" s="378"/>
      <c r="BJ33" s="378"/>
      <c r="BK33" s="378"/>
      <c r="BL33" s="378"/>
      <c r="BM33" s="378"/>
      <c r="BN33" s="378"/>
      <c r="BO33" s="378"/>
      <c r="BP33" s="378"/>
      <c r="BQ33" s="378"/>
      <c r="BR33" s="378"/>
      <c r="BS33" s="378"/>
      <c r="BT33" s="378"/>
      <c r="BU33" s="378"/>
      <c r="BV33" s="378"/>
      <c r="BW33" s="378"/>
      <c r="BX33" s="378"/>
      <c r="BY33" s="378"/>
      <c r="BZ33" s="378"/>
      <c r="CA33" s="378"/>
      <c r="CB33" s="378"/>
      <c r="CC33" s="378"/>
      <c r="CD33" s="378"/>
      <c r="CE33" s="378"/>
      <c r="CF33" s="378"/>
      <c r="CG33" s="378"/>
      <c r="CH33" s="378"/>
      <c r="CI33" s="378"/>
      <c r="CJ33" s="378"/>
      <c r="CK33" s="378"/>
      <c r="CL33" s="378"/>
      <c r="CM33" s="378"/>
      <c r="CN33" s="378"/>
      <c r="CO33" s="378"/>
      <c r="CP33" s="378"/>
      <c r="CQ33" s="378"/>
      <c r="CR33" s="378"/>
      <c r="CS33" s="378"/>
      <c r="CT33" s="378"/>
      <c r="CU33" s="378"/>
      <c r="CV33" s="378"/>
      <c r="CW33" s="378"/>
      <c r="CX33" s="378"/>
      <c r="CY33" s="383"/>
    </row>
    <row r="34" spans="2:128" s="244" customFormat="1" ht="54.95" customHeight="1" thickTop="1" thickBot="1" x14ac:dyDescent="0.3">
      <c r="B34" s="972"/>
      <c r="C34" s="983" t="s">
        <v>282</v>
      </c>
      <c r="D34" s="983"/>
      <c r="E34" s="983"/>
      <c r="F34" s="983"/>
      <c r="G34" s="983"/>
      <c r="H34" s="983"/>
      <c r="I34" s="983"/>
      <c r="J34" s="983"/>
      <c r="K34" s="983"/>
      <c r="L34" s="983"/>
      <c r="M34" s="983"/>
      <c r="N34" s="983"/>
      <c r="O34" s="983"/>
      <c r="P34" s="983"/>
      <c r="Q34" s="983"/>
      <c r="R34" s="983"/>
      <c r="S34" s="983"/>
      <c r="T34" s="983"/>
      <c r="U34" s="983"/>
      <c r="V34" s="983"/>
      <c r="W34" s="983"/>
      <c r="X34" s="983"/>
      <c r="Y34" s="983"/>
      <c r="Z34" s="983"/>
      <c r="AA34" s="983"/>
      <c r="AB34" s="983"/>
      <c r="AC34" s="983"/>
      <c r="AD34" s="983"/>
      <c r="AE34" s="983"/>
      <c r="AF34" s="357"/>
      <c r="AG34" s="53"/>
      <c r="AH34" s="53"/>
      <c r="AI34" s="245"/>
      <c r="AJ34" s="245"/>
      <c r="AK34" s="245"/>
      <c r="AM34" s="1014"/>
      <c r="AN34" s="1019" t="s">
        <v>282</v>
      </c>
      <c r="AO34" s="1019"/>
      <c r="AP34" s="1019"/>
      <c r="AQ34" s="1019"/>
      <c r="AR34" s="1019"/>
      <c r="AS34" s="1019"/>
      <c r="AT34" s="1019"/>
      <c r="AU34" s="1019"/>
      <c r="AV34" s="1019"/>
      <c r="AW34" s="1019"/>
      <c r="AX34" s="1019"/>
      <c r="AY34" s="1019"/>
      <c r="AZ34" s="1019"/>
      <c r="BA34" s="1019"/>
      <c r="BB34" s="1019"/>
      <c r="BC34" s="1019"/>
      <c r="BD34" s="1019"/>
      <c r="BE34" s="1019"/>
      <c r="BF34" s="1019"/>
      <c r="BG34" s="1019"/>
      <c r="BH34" s="1019"/>
      <c r="BI34" s="1019"/>
      <c r="BJ34" s="1019"/>
      <c r="BK34" s="1019"/>
      <c r="BL34" s="1019"/>
      <c r="BM34" s="1019"/>
      <c r="BN34" s="1019"/>
      <c r="BO34" s="1019"/>
      <c r="BP34" s="1019"/>
      <c r="BQ34" s="1019"/>
      <c r="BR34" s="1019"/>
      <c r="BS34" s="1019"/>
      <c r="BT34" s="1019"/>
      <c r="BU34" s="1019"/>
      <c r="BV34" s="1019"/>
      <c r="BW34" s="1019"/>
      <c r="BX34" s="1019"/>
      <c r="BY34" s="1019"/>
      <c r="BZ34" s="1019"/>
      <c r="CA34" s="1019"/>
      <c r="CB34" s="1019"/>
      <c r="CC34" s="1019"/>
      <c r="CD34" s="1019"/>
      <c r="CE34" s="1019"/>
      <c r="CF34" s="1019"/>
      <c r="CG34" s="1019"/>
      <c r="CH34" s="1019"/>
      <c r="CI34" s="1019"/>
      <c r="CJ34" s="1019"/>
      <c r="CK34" s="1019"/>
      <c r="CL34" s="1019"/>
      <c r="CM34" s="1019"/>
      <c r="CN34" s="1019"/>
      <c r="CO34" s="1019"/>
      <c r="CP34" s="1019"/>
      <c r="CQ34" s="1019"/>
      <c r="CR34" s="1019"/>
      <c r="CS34" s="1019"/>
      <c r="CT34" s="1019"/>
      <c r="CU34" s="1019"/>
      <c r="CV34" s="1019"/>
      <c r="CW34" s="1019"/>
      <c r="CX34" s="1019"/>
      <c r="CY34" s="1020"/>
      <c r="DA34" s="53"/>
      <c r="DB34" s="53"/>
      <c r="DD34" s="245"/>
      <c r="DE34" s="245"/>
      <c r="DF34" s="245"/>
      <c r="DG34" s="245"/>
      <c r="DH34" s="245"/>
      <c r="DI34" s="245"/>
      <c r="DJ34" s="245"/>
      <c r="DK34" s="245"/>
      <c r="DL34" s="245"/>
      <c r="DM34" s="245"/>
      <c r="DN34" s="245"/>
      <c r="DO34" s="245"/>
      <c r="DP34" s="245"/>
      <c r="DQ34" s="245"/>
      <c r="DR34" s="245"/>
      <c r="DS34" s="245"/>
      <c r="DT34" s="245"/>
      <c r="DU34" s="245"/>
    </row>
    <row r="35" spans="2:128" ht="20.100000000000001" customHeight="1" thickTop="1" thickBot="1" x14ac:dyDescent="0.3">
      <c r="B35" s="972"/>
      <c r="C35" s="957" t="s">
        <v>193</v>
      </c>
      <c r="D35" s="958"/>
      <c r="E35" s="958"/>
      <c r="F35" s="959" t="s">
        <v>194</v>
      </c>
      <c r="G35" s="959"/>
      <c r="H35" s="959"/>
      <c r="I35" s="959"/>
      <c r="J35" s="959"/>
      <c r="K35" s="959"/>
      <c r="L35" s="959"/>
      <c r="M35" s="960"/>
      <c r="N35" s="968" t="s">
        <v>195</v>
      </c>
      <c r="O35" s="969"/>
      <c r="P35" s="969"/>
      <c r="Q35" s="969"/>
      <c r="R35" s="969"/>
      <c r="S35" s="969"/>
      <c r="T35" s="969"/>
      <c r="U35" s="969"/>
      <c r="V35" s="970"/>
      <c r="W35" s="961" t="s">
        <v>196</v>
      </c>
      <c r="X35" s="953" t="s">
        <v>197</v>
      </c>
      <c r="Y35" s="898" t="s">
        <v>198</v>
      </c>
      <c r="Z35" s="898" t="s">
        <v>199</v>
      </c>
      <c r="AA35" s="898" t="s">
        <v>200</v>
      </c>
      <c r="AB35" s="900" t="s">
        <v>201</v>
      </c>
      <c r="AC35" s="953" t="s">
        <v>202</v>
      </c>
      <c r="AD35" s="900" t="s">
        <v>203</v>
      </c>
      <c r="AE35" s="1009" t="s">
        <v>204</v>
      </c>
      <c r="AF35" s="358"/>
      <c r="AM35" s="1014"/>
      <c r="AN35" s="939" t="s">
        <v>193</v>
      </c>
      <c r="AO35" s="940"/>
      <c r="AP35" s="940"/>
      <c r="AQ35" s="940"/>
      <c r="AR35" s="940"/>
      <c r="AS35" s="940"/>
      <c r="AT35" s="942"/>
      <c r="AU35" s="888" t="s">
        <v>194</v>
      </c>
      <c r="AV35" s="889"/>
      <c r="AW35" s="889"/>
      <c r="AX35" s="889"/>
      <c r="AY35" s="889"/>
      <c r="AZ35" s="889"/>
      <c r="BA35" s="889"/>
      <c r="BB35" s="889"/>
      <c r="BC35" s="889"/>
      <c r="BD35" s="889"/>
      <c r="BE35" s="889"/>
      <c r="BF35" s="889"/>
      <c r="BG35" s="889"/>
      <c r="BH35" s="889"/>
      <c r="BI35" s="889"/>
      <c r="BJ35" s="889"/>
      <c r="BK35" s="889"/>
      <c r="BL35" s="889"/>
      <c r="BM35" s="889"/>
      <c r="BN35" s="890"/>
      <c r="BO35" s="916" t="s">
        <v>301</v>
      </c>
      <c r="BP35" s="917"/>
      <c r="BQ35" s="917"/>
      <c r="BR35" s="917"/>
      <c r="BS35" s="917"/>
      <c r="BT35" s="917"/>
      <c r="BU35" s="917"/>
      <c r="BV35" s="917"/>
      <c r="BW35" s="917"/>
      <c r="BX35" s="917"/>
      <c r="BY35" s="917"/>
      <c r="BZ35" s="917"/>
      <c r="CA35" s="917"/>
      <c r="CB35" s="917"/>
      <c r="CC35" s="917"/>
      <c r="CD35" s="917"/>
      <c r="CE35" s="917"/>
      <c r="CF35" s="917"/>
      <c r="CG35" s="918"/>
      <c r="CH35" s="918"/>
      <c r="CI35" s="919"/>
      <c r="CJ35" s="922" t="s">
        <v>196</v>
      </c>
      <c r="CK35" s="816" t="s">
        <v>208</v>
      </c>
      <c r="CL35" s="817"/>
      <c r="CM35" s="818"/>
      <c r="CN35" s="816" t="s">
        <v>209</v>
      </c>
      <c r="CO35" s="817"/>
      <c r="CP35" s="818"/>
      <c r="CQ35" s="885" t="s">
        <v>199</v>
      </c>
      <c r="CR35" s="827" t="s">
        <v>210</v>
      </c>
      <c r="CS35" s="828"/>
      <c r="CT35" s="829"/>
      <c r="CU35" s="830" t="s">
        <v>211</v>
      </c>
      <c r="CV35" s="831"/>
      <c r="CW35" s="832"/>
      <c r="CX35" s="847" t="s">
        <v>212</v>
      </c>
      <c r="CY35" s="838" t="s">
        <v>302</v>
      </c>
    </row>
    <row r="36" spans="2:128" ht="15" customHeight="1" x14ac:dyDescent="0.25">
      <c r="B36" s="972"/>
      <c r="C36" s="974" t="s">
        <v>283</v>
      </c>
      <c r="D36" s="897" t="s">
        <v>284</v>
      </c>
      <c r="E36" s="986"/>
      <c r="F36" s="951" t="s">
        <v>216</v>
      </c>
      <c r="G36" s="897" t="s">
        <v>217</v>
      </c>
      <c r="H36" s="897"/>
      <c r="I36" s="897"/>
      <c r="J36" s="897"/>
      <c r="K36" s="897"/>
      <c r="L36" s="1012"/>
      <c r="M36" s="902" t="s">
        <v>218</v>
      </c>
      <c r="N36" s="143"/>
      <c r="O36" s="896" t="s">
        <v>219</v>
      </c>
      <c r="P36" s="897"/>
      <c r="Q36" s="897"/>
      <c r="R36" s="897"/>
      <c r="S36" s="897"/>
      <c r="T36" s="897"/>
      <c r="U36" s="902" t="s">
        <v>220</v>
      </c>
      <c r="V36" s="144"/>
      <c r="W36" s="961"/>
      <c r="X36" s="953"/>
      <c r="Y36" s="898"/>
      <c r="Z36" s="898"/>
      <c r="AA36" s="898"/>
      <c r="AB36" s="900"/>
      <c r="AC36" s="953"/>
      <c r="AD36" s="900"/>
      <c r="AE36" s="1010"/>
      <c r="AF36" s="357"/>
      <c r="AM36" s="1014"/>
      <c r="AN36" s="920" t="s">
        <v>283</v>
      </c>
      <c r="AO36" s="862" t="s">
        <v>284</v>
      </c>
      <c r="AP36" s="863"/>
      <c r="AQ36" s="864"/>
      <c r="AR36" s="862" t="s">
        <v>284</v>
      </c>
      <c r="AS36" s="863"/>
      <c r="AT36" s="864"/>
      <c r="AU36" s="865" t="s">
        <v>221</v>
      </c>
      <c r="AV36" s="866"/>
      <c r="AW36" s="867"/>
      <c r="AX36" s="909" t="s">
        <v>217</v>
      </c>
      <c r="AY36" s="911"/>
      <c r="AZ36" s="911"/>
      <c r="BA36" s="911"/>
      <c r="BB36" s="911"/>
      <c r="BC36" s="911"/>
      <c r="BD36" s="911"/>
      <c r="BE36" s="911"/>
      <c r="BF36" s="911"/>
      <c r="BG36" s="911"/>
      <c r="BH36" s="911"/>
      <c r="BI36" s="911"/>
      <c r="BJ36" s="911"/>
      <c r="BK36" s="911"/>
      <c r="BL36" s="911"/>
      <c r="BM36" s="912"/>
      <c r="BN36" s="937" t="s">
        <v>222</v>
      </c>
      <c r="BO36" s="145"/>
      <c r="BP36" s="909" t="s">
        <v>223</v>
      </c>
      <c r="BQ36" s="910"/>
      <c r="BR36" s="910"/>
      <c r="BS36" s="911"/>
      <c r="BT36" s="911"/>
      <c r="BU36" s="911"/>
      <c r="BV36" s="911"/>
      <c r="BW36" s="911"/>
      <c r="BX36" s="911"/>
      <c r="BY36" s="911"/>
      <c r="BZ36" s="911"/>
      <c r="CA36" s="911"/>
      <c r="CB36" s="911"/>
      <c r="CC36" s="911"/>
      <c r="CD36" s="911"/>
      <c r="CE36" s="912"/>
      <c r="CF36" s="813" t="s">
        <v>224</v>
      </c>
      <c r="CG36" s="814"/>
      <c r="CH36" s="815"/>
      <c r="CI36" s="146"/>
      <c r="CJ36" s="923"/>
      <c r="CK36" s="819" t="s">
        <v>161</v>
      </c>
      <c r="CL36" s="821" t="s">
        <v>68</v>
      </c>
      <c r="CM36" s="823" t="s">
        <v>162</v>
      </c>
      <c r="CN36" s="819" t="s">
        <v>161</v>
      </c>
      <c r="CO36" s="821" t="s">
        <v>68</v>
      </c>
      <c r="CP36" s="823" t="s">
        <v>162</v>
      </c>
      <c r="CQ36" s="886"/>
      <c r="CR36" s="819" t="s">
        <v>161</v>
      </c>
      <c r="CS36" s="821" t="s">
        <v>68</v>
      </c>
      <c r="CT36" s="823" t="s">
        <v>162</v>
      </c>
      <c r="CU36" s="819" t="s">
        <v>161</v>
      </c>
      <c r="CV36" s="821" t="s">
        <v>68</v>
      </c>
      <c r="CW36" s="823" t="s">
        <v>162</v>
      </c>
      <c r="CX36" s="849"/>
      <c r="CY36" s="839"/>
    </row>
    <row r="37" spans="2:128" ht="45" customHeight="1" thickBot="1" x14ac:dyDescent="0.3">
      <c r="B37" s="972"/>
      <c r="C37" s="975"/>
      <c r="D37" s="329" t="s">
        <v>285</v>
      </c>
      <c r="E37" s="330" t="s">
        <v>286</v>
      </c>
      <c r="F37" s="952"/>
      <c r="G37" s="310" t="s">
        <v>225</v>
      </c>
      <c r="H37" s="310" t="s">
        <v>226</v>
      </c>
      <c r="I37" s="310" t="s">
        <v>227</v>
      </c>
      <c r="J37" s="310" t="s">
        <v>228</v>
      </c>
      <c r="K37" s="310" t="s">
        <v>229</v>
      </c>
      <c r="L37" s="311" t="s">
        <v>230</v>
      </c>
      <c r="M37" s="903"/>
      <c r="N37" s="147"/>
      <c r="O37" s="319" t="s">
        <v>231</v>
      </c>
      <c r="P37" s="310" t="s">
        <v>232</v>
      </c>
      <c r="Q37" s="310" t="s">
        <v>233</v>
      </c>
      <c r="R37" s="310" t="s">
        <v>234</v>
      </c>
      <c r="S37" s="310" t="s">
        <v>235</v>
      </c>
      <c r="T37" s="310" t="s">
        <v>236</v>
      </c>
      <c r="U37" s="903"/>
      <c r="V37" s="148"/>
      <c r="W37" s="962"/>
      <c r="X37" s="954"/>
      <c r="Y37" s="899"/>
      <c r="Z37" s="899"/>
      <c r="AA37" s="899"/>
      <c r="AB37" s="901"/>
      <c r="AC37" s="954"/>
      <c r="AD37" s="901"/>
      <c r="AE37" s="1011"/>
      <c r="AF37" s="357"/>
      <c r="AM37" s="1014"/>
      <c r="AN37" s="921"/>
      <c r="AO37" s="149" t="s">
        <v>287</v>
      </c>
      <c r="AP37" s="557" t="s">
        <v>288</v>
      </c>
      <c r="AQ37" s="150" t="s">
        <v>162</v>
      </c>
      <c r="AR37" s="149" t="s">
        <v>289</v>
      </c>
      <c r="AS37" s="557" t="s">
        <v>290</v>
      </c>
      <c r="AT37" s="150" t="s">
        <v>162</v>
      </c>
      <c r="AU37" s="149" t="s">
        <v>161</v>
      </c>
      <c r="AV37" s="554" t="s">
        <v>68</v>
      </c>
      <c r="AW37" s="150" t="s">
        <v>162</v>
      </c>
      <c r="AX37" s="151" t="s">
        <v>238</v>
      </c>
      <c r="AY37" s="555" t="s">
        <v>239</v>
      </c>
      <c r="AZ37" s="152" t="s">
        <v>240</v>
      </c>
      <c r="BA37" s="152" t="s">
        <v>241</v>
      </c>
      <c r="BB37" s="555" t="s">
        <v>242</v>
      </c>
      <c r="BC37" s="152" t="s">
        <v>243</v>
      </c>
      <c r="BD37" s="152" t="s">
        <v>244</v>
      </c>
      <c r="BE37" s="555" t="s">
        <v>245</v>
      </c>
      <c r="BF37" s="152" t="s">
        <v>246</v>
      </c>
      <c r="BG37" s="152" t="s">
        <v>247</v>
      </c>
      <c r="BH37" s="555" t="s">
        <v>248</v>
      </c>
      <c r="BI37" s="152" t="s">
        <v>249</v>
      </c>
      <c r="BJ37" s="152" t="s">
        <v>250</v>
      </c>
      <c r="BK37" s="555" t="s">
        <v>251</v>
      </c>
      <c r="BL37" s="152" t="s">
        <v>252</v>
      </c>
      <c r="BM37" s="373" t="s">
        <v>253</v>
      </c>
      <c r="BN37" s="938"/>
      <c r="BO37" s="154"/>
      <c r="BP37" s="151" t="s">
        <v>254</v>
      </c>
      <c r="BQ37" s="555" t="s">
        <v>255</v>
      </c>
      <c r="BR37" s="152" t="s">
        <v>256</v>
      </c>
      <c r="BS37" s="152" t="s">
        <v>257</v>
      </c>
      <c r="BT37" s="555" t="s">
        <v>258</v>
      </c>
      <c r="BU37" s="152" t="s">
        <v>259</v>
      </c>
      <c r="BV37" s="152" t="s">
        <v>260</v>
      </c>
      <c r="BW37" s="555" t="s">
        <v>261</v>
      </c>
      <c r="BX37" s="152" t="s">
        <v>262</v>
      </c>
      <c r="BY37" s="152" t="s">
        <v>263</v>
      </c>
      <c r="BZ37" s="555" t="s">
        <v>264</v>
      </c>
      <c r="CA37" s="152" t="s">
        <v>265</v>
      </c>
      <c r="CB37" s="152" t="s">
        <v>266</v>
      </c>
      <c r="CC37" s="555" t="s">
        <v>267</v>
      </c>
      <c r="CD37" s="152" t="s">
        <v>268</v>
      </c>
      <c r="CE37" s="373" t="s">
        <v>269</v>
      </c>
      <c r="CF37" s="155" t="s">
        <v>161</v>
      </c>
      <c r="CG37" s="556" t="s">
        <v>68</v>
      </c>
      <c r="CH37" s="156" t="s">
        <v>162</v>
      </c>
      <c r="CI37" s="157"/>
      <c r="CJ37" s="924"/>
      <c r="CK37" s="820"/>
      <c r="CL37" s="822"/>
      <c r="CM37" s="824"/>
      <c r="CN37" s="820"/>
      <c r="CO37" s="822"/>
      <c r="CP37" s="824"/>
      <c r="CQ37" s="887"/>
      <c r="CR37" s="820"/>
      <c r="CS37" s="822"/>
      <c r="CT37" s="824"/>
      <c r="CU37" s="820"/>
      <c r="CV37" s="822"/>
      <c r="CW37" s="824"/>
      <c r="CX37" s="848"/>
      <c r="CY37" s="840" t="s">
        <v>68</v>
      </c>
      <c r="DD37" s="55" t="s">
        <v>164</v>
      </c>
      <c r="DE37" s="55" t="s">
        <v>165</v>
      </c>
      <c r="DF37" s="55" t="s">
        <v>166</v>
      </c>
      <c r="DG37" s="55" t="s">
        <v>167</v>
      </c>
      <c r="DH37" s="55" t="s">
        <v>168</v>
      </c>
      <c r="DI37" s="55" t="s">
        <v>169</v>
      </c>
      <c r="DJ37" s="55" t="s">
        <v>170</v>
      </c>
      <c r="DK37" s="55" t="s">
        <v>171</v>
      </c>
      <c r="DL37" s="55" t="s">
        <v>172</v>
      </c>
      <c r="DM37" s="55" t="s">
        <v>173</v>
      </c>
      <c r="DN37" s="55" t="s">
        <v>174</v>
      </c>
      <c r="DO37" s="55" t="s">
        <v>175</v>
      </c>
      <c r="DP37" s="55" t="s">
        <v>176</v>
      </c>
      <c r="DQ37" s="55" t="s">
        <v>177</v>
      </c>
      <c r="DR37" s="55" t="s">
        <v>178</v>
      </c>
      <c r="DS37" s="55" t="s">
        <v>179</v>
      </c>
      <c r="DT37" s="55" t="s">
        <v>180</v>
      </c>
      <c r="DU37" s="55" t="s">
        <v>181</v>
      </c>
    </row>
    <row r="38" spans="2:128" ht="30" customHeight="1" x14ac:dyDescent="0.25">
      <c r="B38" s="972"/>
      <c r="C38" s="331"/>
      <c r="D38" s="164"/>
      <c r="E38" s="165"/>
      <c r="F38" s="159"/>
      <c r="G38" s="160"/>
      <c r="H38" s="160"/>
      <c r="I38" s="160"/>
      <c r="J38" s="160"/>
      <c r="K38" s="160"/>
      <c r="L38" s="180">
        <f>SUM(G38:K38)</f>
        <v>0</v>
      </c>
      <c r="M38" s="257">
        <f>F38+L38</f>
        <v>0</v>
      </c>
      <c r="N38" s="247"/>
      <c r="O38" s="248"/>
      <c r="P38" s="249"/>
      <c r="Q38" s="249"/>
      <c r="R38" s="249"/>
      <c r="S38" s="249"/>
      <c r="T38" s="180">
        <f>SUM(O38:S38)</f>
        <v>0</v>
      </c>
      <c r="U38" s="299"/>
      <c r="V38" s="163"/>
      <c r="W38" s="183">
        <f>M38+T38+U38</f>
        <v>0</v>
      </c>
      <c r="X38" s="248"/>
      <c r="Y38" s="249"/>
      <c r="Z38" s="173">
        <f>F38+L38+T38+U38-X38-Y38</f>
        <v>0</v>
      </c>
      <c r="AA38" s="164"/>
      <c r="AB38" s="165"/>
      <c r="AC38" s="320"/>
      <c r="AD38" s="321"/>
      <c r="AE38" s="251"/>
      <c r="AF38" s="357"/>
      <c r="AG38" s="53">
        <f>IF(AND(AA38&lt;&gt;"",OR(AA38&lt;EXPEDIENTE!$I$25,AA38&gt;EXPEDIENTE!$I$29)),1,0)</f>
        <v>0</v>
      </c>
      <c r="AH38" s="53">
        <f>IF(AND(AB38&lt;&gt;"",OR(AB38&lt;EXPEDIENTE!$I$25,AB38&gt;EXPEDIENTE!$I$29)),1,0)</f>
        <v>0</v>
      </c>
      <c r="AM38" s="1014"/>
      <c r="AN38" s="558" t="str">
        <f t="shared" ref="AN38:AN45" si="73">IF(C38="","",C38)</f>
        <v/>
      </c>
      <c r="AO38" s="252" t="str">
        <f>IF(D38="","",D38)</f>
        <v/>
      </c>
      <c r="AP38" s="253"/>
      <c r="AQ38" s="254" t="str">
        <f>IF(AP38="",AO38,AP38)</f>
        <v/>
      </c>
      <c r="AR38" s="252" t="str">
        <f t="shared" ref="AR38:AR45" si="74">IF(E38="","",E38)</f>
        <v/>
      </c>
      <c r="AS38" s="253"/>
      <c r="AT38" s="254" t="str">
        <f>IF(AS38="",AR38,AS38)</f>
        <v/>
      </c>
      <c r="AU38" s="170">
        <f t="shared" ref="AU38:AU45" si="75">IF(F38="",0,F38)</f>
        <v>0</v>
      </c>
      <c r="AV38" s="171"/>
      <c r="AW38" s="172">
        <f>IF(AV38="",AU38,AV38)</f>
        <v>0</v>
      </c>
      <c r="AX38" s="170">
        <f t="shared" ref="AX38:AX45" si="76">IF(G38="",0,G38)</f>
        <v>0</v>
      </c>
      <c r="AY38" s="173"/>
      <c r="AZ38" s="174">
        <f>IF(AY38="",AX38,AY38)</f>
        <v>0</v>
      </c>
      <c r="BA38" s="174">
        <f t="shared" ref="BA38:BA45" si="77">IF(H38="",0,H38)</f>
        <v>0</v>
      </c>
      <c r="BB38" s="173"/>
      <c r="BC38" s="174">
        <f>IF(BB38="",BA38,BB38)</f>
        <v>0</v>
      </c>
      <c r="BD38" s="174">
        <f t="shared" ref="BD38:BD45" si="78">IF(I38="",0,I38)</f>
        <v>0</v>
      </c>
      <c r="BE38" s="173"/>
      <c r="BF38" s="174">
        <f>IF(BE38="",BD38,BE38)</f>
        <v>0</v>
      </c>
      <c r="BG38" s="174">
        <f t="shared" ref="BG38:BG45" si="79">IF(J38="",0,J38)</f>
        <v>0</v>
      </c>
      <c r="BH38" s="173"/>
      <c r="BI38" s="174">
        <f>IF(BH38="",BG38,BH38)</f>
        <v>0</v>
      </c>
      <c r="BJ38" s="174">
        <f t="shared" ref="BJ38:BJ45" si="80">IF(K38="",0,K38)</f>
        <v>0</v>
      </c>
      <c r="BK38" s="173"/>
      <c r="BL38" s="174">
        <f>IF(BK38="",BJ38,BK38)</f>
        <v>0</v>
      </c>
      <c r="BM38" s="175">
        <f>AZ38+BC38+BF38+BI38+BL38</f>
        <v>0</v>
      </c>
      <c r="BN38" s="176">
        <f>AW38+BM38</f>
        <v>0</v>
      </c>
      <c r="BO38" s="255"/>
      <c r="BP38" s="170">
        <f t="shared" ref="BP38:BP45" si="81">IF(O38="",0,O38)</f>
        <v>0</v>
      </c>
      <c r="BQ38" s="256"/>
      <c r="BR38" s="178">
        <f>IF(BQ38="",BP38,BQ38)</f>
        <v>0</v>
      </c>
      <c r="BS38" s="174">
        <f t="shared" ref="BS38:BS45" si="82">IF(P38="",0,P38)</f>
        <v>0</v>
      </c>
      <c r="BT38" s="180"/>
      <c r="BU38" s="174">
        <f>IF(BT38="",BS38,BT38)</f>
        <v>0</v>
      </c>
      <c r="BV38" s="174">
        <f t="shared" ref="BV38:BV45" si="83">IF(Q38="",0,Q38)</f>
        <v>0</v>
      </c>
      <c r="BW38" s="180"/>
      <c r="BX38" s="174">
        <f>IF(BW38="",BV38,BW38)</f>
        <v>0</v>
      </c>
      <c r="BY38" s="174">
        <f t="shared" ref="BY38:BY45" si="84">IF(R38="",0,R38)</f>
        <v>0</v>
      </c>
      <c r="BZ38" s="180"/>
      <c r="CA38" s="174">
        <f>IF(BZ38="",BY38,BZ38)</f>
        <v>0</v>
      </c>
      <c r="CB38" s="174">
        <f t="shared" ref="CB38:CB45" si="85">IF(S38="",0,S38)</f>
        <v>0</v>
      </c>
      <c r="CC38" s="180"/>
      <c r="CD38" s="174">
        <f>IF(CC38="",CB38,CC38)</f>
        <v>0</v>
      </c>
      <c r="CE38" s="257">
        <f>BR38+BU38+BX38+CA38+CD38</f>
        <v>0</v>
      </c>
      <c r="CF38" s="179">
        <f t="shared" ref="CF38:CF45" si="86">IF(U38="",0,U38)</f>
        <v>0</v>
      </c>
      <c r="CG38" s="180"/>
      <c r="CH38" s="181">
        <f>IF(CG38="",CF38,CG38)</f>
        <v>0</v>
      </c>
      <c r="CI38" s="182"/>
      <c r="CJ38" s="183">
        <f>BN38+CE38+CH38</f>
        <v>0</v>
      </c>
      <c r="CK38" s="179">
        <f t="shared" ref="CK38:CK45" si="87">IF(X38="",0,X38)</f>
        <v>0</v>
      </c>
      <c r="CL38" s="256"/>
      <c r="CM38" s="258">
        <f>IF(CL38="",CK38,CL38)</f>
        <v>0</v>
      </c>
      <c r="CN38" s="179">
        <f t="shared" ref="CN38:CN45" si="88">IF(Y38="",0,Y38)</f>
        <v>0</v>
      </c>
      <c r="CO38" s="180"/>
      <c r="CP38" s="181">
        <f>IF(CO38="",CN38,CO38)</f>
        <v>0</v>
      </c>
      <c r="CQ38" s="183">
        <f>AW38+BM38+CE38+CH38-CM38-CP38</f>
        <v>0</v>
      </c>
      <c r="CR38" s="252" t="str">
        <f t="shared" ref="CR38:CR45" si="89">IF(AA38="","",AA38)</f>
        <v/>
      </c>
      <c r="CS38" s="259"/>
      <c r="CT38" s="254" t="str">
        <f>IF(CS38="",CR38,CS38)</f>
        <v/>
      </c>
      <c r="CU38" s="252" t="str">
        <f t="shared" ref="CU38:CU45" si="90">IF(AB38="","",AB38)</f>
        <v/>
      </c>
      <c r="CV38" s="259"/>
      <c r="CW38" s="254" t="str">
        <f>IF(CV38="",CU38,CV38)</f>
        <v/>
      </c>
      <c r="CX38" s="191" t="str">
        <f>IF(DD38=0,"",DD38)</f>
        <v/>
      </c>
      <c r="CY38" s="192"/>
      <c r="DA38" s="53">
        <f>IF(AND(CT38&lt;&gt;"",OR(CT38&lt;EXPEDIENTE!$I$25,CT38&gt;EXPEDIENTE!$I$29)),1,0)</f>
        <v>0</v>
      </c>
      <c r="DB38" s="53">
        <f>IF(AND(CW38&lt;&gt;"",OR(CW38&lt;EXPEDIENTE!$I$25,CW38&gt;EXPEDIENTE!$I$29)),1,0)</f>
        <v>0</v>
      </c>
      <c r="DD38" s="55">
        <f t="shared" ref="DD38:DD45" si="91">SUM(DE38:DU38)</f>
        <v>0</v>
      </c>
      <c r="DE38" s="55">
        <f>IF(AS38="",0,1)</f>
        <v>0</v>
      </c>
      <c r="DF38" s="55">
        <f>IF(AV38="",0,1)</f>
        <v>0</v>
      </c>
      <c r="DG38" s="55">
        <f>IF(AY38="",0,1)</f>
        <v>0</v>
      </c>
      <c r="DH38" s="55">
        <f>IF(BB38="",0,1)</f>
        <v>0</v>
      </c>
      <c r="DI38" s="55">
        <f>IF(BE38="",0,1)</f>
        <v>0</v>
      </c>
      <c r="DJ38" s="55">
        <f>IF(BH38="",0,1)</f>
        <v>0</v>
      </c>
      <c r="DK38" s="55">
        <f>IF(BK38="",0,1)</f>
        <v>0</v>
      </c>
      <c r="DL38" s="55">
        <f>IF(BQ38="",0,1)</f>
        <v>0</v>
      </c>
      <c r="DM38" s="55">
        <f>IF(BT38="",0,1)</f>
        <v>0</v>
      </c>
      <c r="DN38" s="55">
        <f>IF(BW38="",0,1)</f>
        <v>0</v>
      </c>
      <c r="DO38" s="55">
        <f>IF(BZ38="",0,1)</f>
        <v>0</v>
      </c>
      <c r="DP38" s="55">
        <f>IF(CC38="",0,1)</f>
        <v>0</v>
      </c>
      <c r="DQ38" s="55">
        <f>IF(CG38="",0,1)</f>
        <v>0</v>
      </c>
      <c r="DR38" s="55">
        <f>IF(CL38="",0,1)</f>
        <v>0</v>
      </c>
      <c r="DS38" s="55">
        <f>IF(CO38="",0,1)</f>
        <v>0</v>
      </c>
      <c r="DT38" s="55">
        <f>IF(CS38="",0,1)</f>
        <v>0</v>
      </c>
      <c r="DU38" s="55">
        <f>IF(CV38="",0,1)</f>
        <v>0</v>
      </c>
      <c r="DW38" s="55">
        <f>IF(CY38&lt;&gt;"",MAX($DW$9:DW37)+1,0)</f>
        <v>0</v>
      </c>
      <c r="DX38" s="130" t="str">
        <f t="shared" ref="DX38:DX45" si="92">IF(DW38=0,"",CY38)</f>
        <v/>
      </c>
    </row>
    <row r="39" spans="2:128" ht="30" customHeight="1" x14ac:dyDescent="0.25">
      <c r="B39" s="972"/>
      <c r="C39" s="332"/>
      <c r="D39" s="73"/>
      <c r="E39" s="260"/>
      <c r="F39" s="194"/>
      <c r="G39" s="195"/>
      <c r="H39" s="195"/>
      <c r="I39" s="195"/>
      <c r="J39" s="195"/>
      <c r="K39" s="195"/>
      <c r="L39" s="203">
        <f>SUM(G39:K39)</f>
        <v>0</v>
      </c>
      <c r="M39" s="175">
        <f t="shared" ref="M39:M45" si="93">F39+L39</f>
        <v>0</v>
      </c>
      <c r="N39" s="247"/>
      <c r="O39" s="194"/>
      <c r="P39" s="195"/>
      <c r="Q39" s="195"/>
      <c r="R39" s="195"/>
      <c r="S39" s="195"/>
      <c r="T39" s="203">
        <f t="shared" ref="T39:T45" si="94">SUM(O39:S39)</f>
        <v>0</v>
      </c>
      <c r="U39" s="300"/>
      <c r="V39" s="163"/>
      <c r="W39" s="208">
        <f t="shared" ref="W39:W45" si="95">M39+T39+U39</f>
        <v>0</v>
      </c>
      <c r="X39" s="194"/>
      <c r="Y39" s="195"/>
      <c r="Z39" s="173">
        <f t="shared" ref="Z39:Z45" si="96">F39+L39+T39+U39-X39-Y39</f>
        <v>0</v>
      </c>
      <c r="AA39" s="164"/>
      <c r="AB39" s="165"/>
      <c r="AC39" s="322"/>
      <c r="AD39" s="323"/>
      <c r="AE39" s="261"/>
      <c r="AF39" s="357"/>
      <c r="AG39" s="53">
        <f>IF(AND(AA39&lt;&gt;"",OR(AA39&lt;EXPEDIENTE!$I$25,AA39&gt;EXPEDIENTE!$I$29)),1,0)</f>
        <v>0</v>
      </c>
      <c r="AH39" s="53">
        <f>IF(AND(AB39&lt;&gt;"",OR(AB39&lt;EXPEDIENTE!$I$25,AB39&gt;EXPEDIENTE!$I$29)),1,0)</f>
        <v>0</v>
      </c>
      <c r="AM39" s="1014"/>
      <c r="AN39" s="559" t="str">
        <f t="shared" si="73"/>
        <v/>
      </c>
      <c r="AO39" s="188" t="str">
        <f t="shared" ref="AO39:AO45" si="97">IF(D39="","",D39)</f>
        <v/>
      </c>
      <c r="AP39" s="189"/>
      <c r="AQ39" s="190" t="str">
        <f t="shared" ref="AQ39:AQ45" si="98">IF(AP39="",AO39,AP39)</f>
        <v/>
      </c>
      <c r="AR39" s="188" t="str">
        <f t="shared" si="74"/>
        <v/>
      </c>
      <c r="AS39" s="189"/>
      <c r="AT39" s="190" t="str">
        <f t="shared" ref="AT39:AT45" si="99">IF(AS39="",AR39,AS39)</f>
        <v/>
      </c>
      <c r="AU39" s="170">
        <f t="shared" si="75"/>
        <v>0</v>
      </c>
      <c r="AV39" s="201"/>
      <c r="AW39" s="202">
        <f t="shared" ref="AW39:AW45" si="100">IF(AV39="",AU39,AV39)</f>
        <v>0</v>
      </c>
      <c r="AX39" s="200">
        <f t="shared" si="76"/>
        <v>0</v>
      </c>
      <c r="AY39" s="203"/>
      <c r="AZ39" s="204">
        <f t="shared" ref="AZ39:AZ45" si="101">IF(AY39="",AX39,AY39)</f>
        <v>0</v>
      </c>
      <c r="BA39" s="204">
        <f t="shared" si="77"/>
        <v>0</v>
      </c>
      <c r="BB39" s="203"/>
      <c r="BC39" s="204">
        <f t="shared" ref="BC39:BC45" si="102">IF(BB39="",BA39,BB39)</f>
        <v>0</v>
      </c>
      <c r="BD39" s="204">
        <f t="shared" si="78"/>
        <v>0</v>
      </c>
      <c r="BE39" s="203"/>
      <c r="BF39" s="204">
        <f t="shared" ref="BF39:BF45" si="103">IF(BE39="",BD39,BE39)</f>
        <v>0</v>
      </c>
      <c r="BG39" s="204">
        <f t="shared" si="79"/>
        <v>0</v>
      </c>
      <c r="BH39" s="203"/>
      <c r="BI39" s="204">
        <f t="shared" ref="BI39:BI45" si="104">IF(BH39="",BG39,BH39)</f>
        <v>0</v>
      </c>
      <c r="BJ39" s="204">
        <f t="shared" si="80"/>
        <v>0</v>
      </c>
      <c r="BK39" s="203"/>
      <c r="BL39" s="204">
        <f t="shared" ref="BL39:BL45" si="105">IF(BK39="",BJ39,BK39)</f>
        <v>0</v>
      </c>
      <c r="BM39" s="175">
        <f t="shared" ref="BM39:BM45" si="106">AZ39+BC39+BF39+BI39+BL39</f>
        <v>0</v>
      </c>
      <c r="BN39" s="205">
        <f t="shared" ref="BN39:BN45" si="107">AW39+BM39</f>
        <v>0</v>
      </c>
      <c r="BO39" s="255"/>
      <c r="BP39" s="200">
        <f t="shared" si="81"/>
        <v>0</v>
      </c>
      <c r="BQ39" s="201"/>
      <c r="BR39" s="206">
        <f t="shared" ref="BR39:BR45" si="108">IF(BQ39="",BP39,BQ39)</f>
        <v>0</v>
      </c>
      <c r="BS39" s="204">
        <f t="shared" si="82"/>
        <v>0</v>
      </c>
      <c r="BT39" s="203"/>
      <c r="BU39" s="204">
        <f t="shared" ref="BU39:BU45" si="109">IF(BT39="",BS39,BT39)</f>
        <v>0</v>
      </c>
      <c r="BV39" s="204">
        <f t="shared" si="83"/>
        <v>0</v>
      </c>
      <c r="BW39" s="203"/>
      <c r="BX39" s="204">
        <f t="shared" ref="BX39:BX45" si="110">IF(BW39="",BV39,BW39)</f>
        <v>0</v>
      </c>
      <c r="BY39" s="204">
        <f t="shared" si="84"/>
        <v>0</v>
      </c>
      <c r="BZ39" s="203"/>
      <c r="CA39" s="204">
        <f t="shared" ref="CA39:CA45" si="111">IF(BZ39="",BY39,BZ39)</f>
        <v>0</v>
      </c>
      <c r="CB39" s="204">
        <f t="shared" si="85"/>
        <v>0</v>
      </c>
      <c r="CC39" s="203"/>
      <c r="CD39" s="204">
        <f t="shared" ref="CD39:CD45" si="112">IF(CC39="",CB39,CC39)</f>
        <v>0</v>
      </c>
      <c r="CE39" s="175">
        <f t="shared" ref="CE39:CE45" si="113">BR39+BU39+BX39+CA39+CD39</f>
        <v>0</v>
      </c>
      <c r="CF39" s="200">
        <f t="shared" si="86"/>
        <v>0</v>
      </c>
      <c r="CG39" s="203"/>
      <c r="CH39" s="207">
        <f t="shared" ref="CH39:CH45" si="114">IF(CG39="",CF39,CG39)</f>
        <v>0</v>
      </c>
      <c r="CI39" s="182"/>
      <c r="CJ39" s="208">
        <f t="shared" ref="CJ39:CJ45" si="115">BN39+CE39+CH39</f>
        <v>0</v>
      </c>
      <c r="CK39" s="200">
        <f t="shared" si="87"/>
        <v>0</v>
      </c>
      <c r="CL39" s="201"/>
      <c r="CM39" s="202">
        <f t="shared" ref="CM39:CM45" si="116">IF(CL39="",CK39,CL39)</f>
        <v>0</v>
      </c>
      <c r="CN39" s="200">
        <f t="shared" si="88"/>
        <v>0</v>
      </c>
      <c r="CO39" s="173"/>
      <c r="CP39" s="262">
        <f t="shared" ref="CP39:CP45" si="117">IF(CO39="",CN39,CO39)</f>
        <v>0</v>
      </c>
      <c r="CQ39" s="184">
        <f t="shared" ref="CQ39:CQ45" si="118">AW39+BM39+CE39+CH39-CM39-CP39</f>
        <v>0</v>
      </c>
      <c r="CR39" s="188" t="str">
        <f t="shared" si="89"/>
        <v/>
      </c>
      <c r="CS39" s="189"/>
      <c r="CT39" s="190" t="str">
        <f t="shared" ref="CT39:CT45" si="119">IF(CS39="",CR39,CS39)</f>
        <v/>
      </c>
      <c r="CU39" s="188" t="str">
        <f t="shared" si="90"/>
        <v/>
      </c>
      <c r="CV39" s="189"/>
      <c r="CW39" s="190" t="str">
        <f t="shared" ref="CW39:CW45" si="120">IF(CV39="",CU39,CV39)</f>
        <v/>
      </c>
      <c r="CX39" s="209" t="str">
        <f t="shared" ref="CX39:CX45" si="121">IF(DD39=0,"",DD39)</f>
        <v/>
      </c>
      <c r="CY39" s="210"/>
      <c r="DA39" s="53">
        <f>IF(AND(CT39&lt;&gt;"",OR(CT39&lt;EXPEDIENTE!$I$25,CT39&gt;EXPEDIENTE!$I$29)),1,0)</f>
        <v>0</v>
      </c>
      <c r="DB39" s="53">
        <f>IF(AND(CW39&lt;&gt;"",OR(CW39&lt;EXPEDIENTE!$I$25,CW39&gt;EXPEDIENTE!$I$29)),1,0)</f>
        <v>0</v>
      </c>
      <c r="DD39" s="55">
        <f t="shared" si="91"/>
        <v>0</v>
      </c>
      <c r="DE39" s="55">
        <f t="shared" ref="DE39:DE45" si="122">IF(AS39="",0,1)</f>
        <v>0</v>
      </c>
      <c r="DF39" s="55">
        <f t="shared" ref="DF39:DF45" si="123">IF(AV39="",0,1)</f>
        <v>0</v>
      </c>
      <c r="DG39" s="55">
        <f t="shared" ref="DG39:DG45" si="124">IF(AY39="",0,1)</f>
        <v>0</v>
      </c>
      <c r="DH39" s="55">
        <f t="shared" ref="DH39:DH45" si="125">IF(BB39="",0,1)</f>
        <v>0</v>
      </c>
      <c r="DI39" s="55">
        <f t="shared" ref="DI39:DI45" si="126">IF(BE39="",0,1)</f>
        <v>0</v>
      </c>
      <c r="DJ39" s="55">
        <f t="shared" ref="DJ39:DJ45" si="127">IF(BH39="",0,1)</f>
        <v>0</v>
      </c>
      <c r="DK39" s="55">
        <f t="shared" ref="DK39:DK45" si="128">IF(BK39="",0,1)</f>
        <v>0</v>
      </c>
      <c r="DL39" s="55">
        <f t="shared" ref="DL39:DL45" si="129">IF(BQ39="",0,1)</f>
        <v>0</v>
      </c>
      <c r="DM39" s="55">
        <f t="shared" ref="DM39:DM45" si="130">IF(BT39="",0,1)</f>
        <v>0</v>
      </c>
      <c r="DN39" s="55">
        <f t="shared" ref="DN39:DN45" si="131">IF(BW39="",0,1)</f>
        <v>0</v>
      </c>
      <c r="DO39" s="55">
        <f t="shared" ref="DO39:DO45" si="132">IF(BZ39="",0,1)</f>
        <v>0</v>
      </c>
      <c r="DP39" s="55">
        <f t="shared" ref="DP39:DP45" si="133">IF(CC39="",0,1)</f>
        <v>0</v>
      </c>
      <c r="DQ39" s="55">
        <f t="shared" ref="DQ39:DQ45" si="134">IF(CG39="",0,1)</f>
        <v>0</v>
      </c>
      <c r="DR39" s="55">
        <f t="shared" ref="DR39:DR45" si="135">IF(CL39="",0,1)</f>
        <v>0</v>
      </c>
      <c r="DS39" s="55">
        <f t="shared" ref="DS39:DS45" si="136">IF(CO39="",0,1)</f>
        <v>0</v>
      </c>
      <c r="DT39" s="55">
        <f t="shared" ref="DT39:DT45" si="137">IF(CS39="",0,1)</f>
        <v>0</v>
      </c>
      <c r="DU39" s="55">
        <f t="shared" ref="DU39:DU45" si="138">IF(CV39="",0,1)</f>
        <v>0</v>
      </c>
      <c r="DW39" s="55">
        <f>IF(CY39&lt;&gt;"",MAX($DW$9:DW38)+1,0)</f>
        <v>0</v>
      </c>
      <c r="DX39" s="130" t="str">
        <f t="shared" si="92"/>
        <v/>
      </c>
    </row>
    <row r="40" spans="2:128" ht="30" customHeight="1" x14ac:dyDescent="0.25">
      <c r="B40" s="972"/>
      <c r="C40" s="332"/>
      <c r="D40" s="73"/>
      <c r="E40" s="260"/>
      <c r="F40" s="194"/>
      <c r="G40" s="195"/>
      <c r="H40" s="195"/>
      <c r="I40" s="195"/>
      <c r="J40" s="195"/>
      <c r="K40" s="195"/>
      <c r="L40" s="203">
        <f t="shared" ref="L40:L45" si="139">SUM(G40:K40)</f>
        <v>0</v>
      </c>
      <c r="M40" s="175">
        <f t="shared" si="93"/>
        <v>0</v>
      </c>
      <c r="N40" s="247"/>
      <c r="O40" s="194"/>
      <c r="P40" s="195"/>
      <c r="Q40" s="195"/>
      <c r="R40" s="195"/>
      <c r="S40" s="195"/>
      <c r="T40" s="203">
        <f t="shared" si="94"/>
        <v>0</v>
      </c>
      <c r="U40" s="300"/>
      <c r="V40" s="163"/>
      <c r="W40" s="208">
        <f t="shared" si="95"/>
        <v>0</v>
      </c>
      <c r="X40" s="194"/>
      <c r="Y40" s="195"/>
      <c r="Z40" s="173">
        <f t="shared" si="96"/>
        <v>0</v>
      </c>
      <c r="AA40" s="164"/>
      <c r="AB40" s="165"/>
      <c r="AC40" s="322"/>
      <c r="AD40" s="323"/>
      <c r="AE40" s="261"/>
      <c r="AF40" s="357"/>
      <c r="AG40" s="53">
        <f>IF(AND(AA40&lt;&gt;"",OR(AA40&lt;EXPEDIENTE!$I$25,AA40&gt;EXPEDIENTE!$I$29)),1,0)</f>
        <v>0</v>
      </c>
      <c r="AH40" s="53">
        <f>IF(AND(AB40&lt;&gt;"",OR(AB40&lt;EXPEDIENTE!$I$25,AB40&gt;EXPEDIENTE!$I$29)),1,0)</f>
        <v>0</v>
      </c>
      <c r="AM40" s="1014"/>
      <c r="AN40" s="559" t="str">
        <f t="shared" si="73"/>
        <v/>
      </c>
      <c r="AO40" s="188" t="str">
        <f t="shared" si="97"/>
        <v/>
      </c>
      <c r="AP40" s="189"/>
      <c r="AQ40" s="190" t="str">
        <f t="shared" si="98"/>
        <v/>
      </c>
      <c r="AR40" s="188" t="str">
        <f t="shared" si="74"/>
        <v/>
      </c>
      <c r="AS40" s="189"/>
      <c r="AT40" s="190" t="str">
        <f t="shared" si="99"/>
        <v/>
      </c>
      <c r="AU40" s="170">
        <f t="shared" si="75"/>
        <v>0</v>
      </c>
      <c r="AV40" s="201"/>
      <c r="AW40" s="202">
        <f t="shared" si="100"/>
        <v>0</v>
      </c>
      <c r="AX40" s="200">
        <f t="shared" si="76"/>
        <v>0</v>
      </c>
      <c r="AY40" s="203"/>
      <c r="AZ40" s="204">
        <f t="shared" si="101"/>
        <v>0</v>
      </c>
      <c r="BA40" s="204">
        <f t="shared" si="77"/>
        <v>0</v>
      </c>
      <c r="BB40" s="203"/>
      <c r="BC40" s="204">
        <f t="shared" si="102"/>
        <v>0</v>
      </c>
      <c r="BD40" s="204">
        <f t="shared" si="78"/>
        <v>0</v>
      </c>
      <c r="BE40" s="203"/>
      <c r="BF40" s="204">
        <f t="shared" si="103"/>
        <v>0</v>
      </c>
      <c r="BG40" s="204">
        <f t="shared" si="79"/>
        <v>0</v>
      </c>
      <c r="BH40" s="203"/>
      <c r="BI40" s="204">
        <f t="shared" si="104"/>
        <v>0</v>
      </c>
      <c r="BJ40" s="204">
        <f t="shared" si="80"/>
        <v>0</v>
      </c>
      <c r="BK40" s="203"/>
      <c r="BL40" s="204">
        <f t="shared" si="105"/>
        <v>0</v>
      </c>
      <c r="BM40" s="175">
        <f t="shared" si="106"/>
        <v>0</v>
      </c>
      <c r="BN40" s="205">
        <f t="shared" si="107"/>
        <v>0</v>
      </c>
      <c r="BO40" s="255"/>
      <c r="BP40" s="200">
        <f t="shared" si="81"/>
        <v>0</v>
      </c>
      <c r="BQ40" s="201"/>
      <c r="BR40" s="206">
        <f t="shared" si="108"/>
        <v>0</v>
      </c>
      <c r="BS40" s="204">
        <f t="shared" si="82"/>
        <v>0</v>
      </c>
      <c r="BT40" s="203"/>
      <c r="BU40" s="204">
        <f t="shared" si="109"/>
        <v>0</v>
      </c>
      <c r="BV40" s="204">
        <f t="shared" si="83"/>
        <v>0</v>
      </c>
      <c r="BW40" s="203"/>
      <c r="BX40" s="204">
        <f t="shared" si="110"/>
        <v>0</v>
      </c>
      <c r="BY40" s="204">
        <f t="shared" si="84"/>
        <v>0</v>
      </c>
      <c r="BZ40" s="203"/>
      <c r="CA40" s="204">
        <f t="shared" si="111"/>
        <v>0</v>
      </c>
      <c r="CB40" s="204">
        <f t="shared" si="85"/>
        <v>0</v>
      </c>
      <c r="CC40" s="203"/>
      <c r="CD40" s="204">
        <f t="shared" si="112"/>
        <v>0</v>
      </c>
      <c r="CE40" s="175">
        <f t="shared" si="113"/>
        <v>0</v>
      </c>
      <c r="CF40" s="200">
        <f t="shared" si="86"/>
        <v>0</v>
      </c>
      <c r="CG40" s="203"/>
      <c r="CH40" s="207">
        <f t="shared" si="114"/>
        <v>0</v>
      </c>
      <c r="CI40" s="182"/>
      <c r="CJ40" s="208">
        <f t="shared" si="115"/>
        <v>0</v>
      </c>
      <c r="CK40" s="200">
        <f t="shared" si="87"/>
        <v>0</v>
      </c>
      <c r="CL40" s="201"/>
      <c r="CM40" s="202">
        <f t="shared" si="116"/>
        <v>0</v>
      </c>
      <c r="CN40" s="200">
        <f t="shared" si="88"/>
        <v>0</v>
      </c>
      <c r="CO40" s="173"/>
      <c r="CP40" s="262">
        <f t="shared" si="117"/>
        <v>0</v>
      </c>
      <c r="CQ40" s="184">
        <f t="shared" si="118"/>
        <v>0</v>
      </c>
      <c r="CR40" s="188" t="str">
        <f t="shared" si="89"/>
        <v/>
      </c>
      <c r="CS40" s="189"/>
      <c r="CT40" s="190" t="str">
        <f t="shared" si="119"/>
        <v/>
      </c>
      <c r="CU40" s="188" t="str">
        <f t="shared" si="90"/>
        <v/>
      </c>
      <c r="CV40" s="189"/>
      <c r="CW40" s="190" t="str">
        <f t="shared" si="120"/>
        <v/>
      </c>
      <c r="CX40" s="209" t="str">
        <f t="shared" si="121"/>
        <v/>
      </c>
      <c r="CY40" s="210"/>
      <c r="DA40" s="53">
        <f>IF(AND(CT40&lt;&gt;"",OR(CT40&lt;EXPEDIENTE!$I$25,CT40&gt;EXPEDIENTE!$I$29)),1,0)</f>
        <v>0</v>
      </c>
      <c r="DB40" s="53">
        <f>IF(AND(CW40&lt;&gt;"",OR(CW40&lt;EXPEDIENTE!$I$25,CW40&gt;EXPEDIENTE!$I$29)),1,0)</f>
        <v>0</v>
      </c>
      <c r="DD40" s="55">
        <f t="shared" si="91"/>
        <v>0</v>
      </c>
      <c r="DE40" s="55">
        <f t="shared" si="122"/>
        <v>0</v>
      </c>
      <c r="DF40" s="55">
        <f t="shared" si="123"/>
        <v>0</v>
      </c>
      <c r="DG40" s="55">
        <f t="shared" si="124"/>
        <v>0</v>
      </c>
      <c r="DH40" s="55">
        <f t="shared" si="125"/>
        <v>0</v>
      </c>
      <c r="DI40" s="55">
        <f t="shared" si="126"/>
        <v>0</v>
      </c>
      <c r="DJ40" s="55">
        <f t="shared" si="127"/>
        <v>0</v>
      </c>
      <c r="DK40" s="55">
        <f t="shared" si="128"/>
        <v>0</v>
      </c>
      <c r="DL40" s="55">
        <f t="shared" si="129"/>
        <v>0</v>
      </c>
      <c r="DM40" s="55">
        <f t="shared" si="130"/>
        <v>0</v>
      </c>
      <c r="DN40" s="55">
        <f t="shared" si="131"/>
        <v>0</v>
      </c>
      <c r="DO40" s="55">
        <f t="shared" si="132"/>
        <v>0</v>
      </c>
      <c r="DP40" s="55">
        <f t="shared" si="133"/>
        <v>0</v>
      </c>
      <c r="DQ40" s="55">
        <f t="shared" si="134"/>
        <v>0</v>
      </c>
      <c r="DR40" s="55">
        <f t="shared" si="135"/>
        <v>0</v>
      </c>
      <c r="DS40" s="55">
        <f t="shared" si="136"/>
        <v>0</v>
      </c>
      <c r="DT40" s="55">
        <f t="shared" si="137"/>
        <v>0</v>
      </c>
      <c r="DU40" s="55">
        <f t="shared" si="138"/>
        <v>0</v>
      </c>
      <c r="DW40" s="55">
        <f>IF(CY40&lt;&gt;"",MAX($DW$9:DW39)+1,0)</f>
        <v>0</v>
      </c>
      <c r="DX40" s="130" t="str">
        <f t="shared" si="92"/>
        <v/>
      </c>
    </row>
    <row r="41" spans="2:128" ht="30" customHeight="1" x14ac:dyDescent="0.25">
      <c r="B41" s="972"/>
      <c r="C41" s="332"/>
      <c r="D41" s="73"/>
      <c r="E41" s="260"/>
      <c r="F41" s="194"/>
      <c r="G41" s="195"/>
      <c r="H41" s="195"/>
      <c r="I41" s="195"/>
      <c r="J41" s="195"/>
      <c r="K41" s="195"/>
      <c r="L41" s="203">
        <f t="shared" ref="L41:L43" si="140">SUM(G41:K41)</f>
        <v>0</v>
      </c>
      <c r="M41" s="175">
        <f t="shared" ref="M41:M43" si="141">F41+L41</f>
        <v>0</v>
      </c>
      <c r="N41" s="247"/>
      <c r="O41" s="194"/>
      <c r="P41" s="195"/>
      <c r="Q41" s="195"/>
      <c r="R41" s="195"/>
      <c r="S41" s="195"/>
      <c r="T41" s="203">
        <f t="shared" si="94"/>
        <v>0</v>
      </c>
      <c r="U41" s="300"/>
      <c r="V41" s="163"/>
      <c r="W41" s="208">
        <f t="shared" si="95"/>
        <v>0</v>
      </c>
      <c r="X41" s="194"/>
      <c r="Y41" s="195"/>
      <c r="Z41" s="173">
        <f t="shared" si="96"/>
        <v>0</v>
      </c>
      <c r="AA41" s="164"/>
      <c r="AB41" s="165"/>
      <c r="AC41" s="322"/>
      <c r="AD41" s="323"/>
      <c r="AE41" s="261"/>
      <c r="AF41" s="357"/>
      <c r="AG41" s="53">
        <f>IF(AND(AA41&lt;&gt;"",OR(AA41&lt;EXPEDIENTE!$I$25,AA41&gt;EXPEDIENTE!$I$29)),1,0)</f>
        <v>0</v>
      </c>
      <c r="AH41" s="53">
        <f>IF(AND(AB41&lt;&gt;"",OR(AB41&lt;EXPEDIENTE!$I$25,AB41&gt;EXPEDIENTE!$I$29)),1,0)</f>
        <v>0</v>
      </c>
      <c r="AM41" s="1014"/>
      <c r="AN41" s="559" t="str">
        <f t="shared" si="73"/>
        <v/>
      </c>
      <c r="AO41" s="188" t="str">
        <f t="shared" si="97"/>
        <v/>
      </c>
      <c r="AP41" s="189"/>
      <c r="AQ41" s="190" t="str">
        <f t="shared" si="98"/>
        <v/>
      </c>
      <c r="AR41" s="188" t="str">
        <f t="shared" si="74"/>
        <v/>
      </c>
      <c r="AS41" s="189"/>
      <c r="AT41" s="190" t="str">
        <f t="shared" si="99"/>
        <v/>
      </c>
      <c r="AU41" s="170">
        <f t="shared" si="75"/>
        <v>0</v>
      </c>
      <c r="AV41" s="201"/>
      <c r="AW41" s="202">
        <f t="shared" si="100"/>
        <v>0</v>
      </c>
      <c r="AX41" s="200">
        <f t="shared" si="76"/>
        <v>0</v>
      </c>
      <c r="AY41" s="203"/>
      <c r="AZ41" s="204">
        <f t="shared" si="101"/>
        <v>0</v>
      </c>
      <c r="BA41" s="204">
        <f t="shared" si="77"/>
        <v>0</v>
      </c>
      <c r="BB41" s="203"/>
      <c r="BC41" s="204">
        <f t="shared" si="102"/>
        <v>0</v>
      </c>
      <c r="BD41" s="204">
        <f t="shared" si="78"/>
        <v>0</v>
      </c>
      <c r="BE41" s="203"/>
      <c r="BF41" s="204">
        <f t="shared" si="103"/>
        <v>0</v>
      </c>
      <c r="BG41" s="204">
        <f t="shared" si="79"/>
        <v>0</v>
      </c>
      <c r="BH41" s="203"/>
      <c r="BI41" s="204">
        <f t="shared" si="104"/>
        <v>0</v>
      </c>
      <c r="BJ41" s="204">
        <f t="shared" si="80"/>
        <v>0</v>
      </c>
      <c r="BK41" s="203"/>
      <c r="BL41" s="204">
        <f t="shared" si="105"/>
        <v>0</v>
      </c>
      <c r="BM41" s="175">
        <f t="shared" si="106"/>
        <v>0</v>
      </c>
      <c r="BN41" s="205">
        <f t="shared" si="107"/>
        <v>0</v>
      </c>
      <c r="BO41" s="255"/>
      <c r="BP41" s="200">
        <f t="shared" si="81"/>
        <v>0</v>
      </c>
      <c r="BQ41" s="201"/>
      <c r="BR41" s="206">
        <f t="shared" si="108"/>
        <v>0</v>
      </c>
      <c r="BS41" s="204">
        <f t="shared" si="82"/>
        <v>0</v>
      </c>
      <c r="BT41" s="203"/>
      <c r="BU41" s="204">
        <f t="shared" si="109"/>
        <v>0</v>
      </c>
      <c r="BV41" s="204">
        <f t="shared" si="83"/>
        <v>0</v>
      </c>
      <c r="BW41" s="203"/>
      <c r="BX41" s="204">
        <f t="shared" si="110"/>
        <v>0</v>
      </c>
      <c r="BY41" s="204">
        <f t="shared" si="84"/>
        <v>0</v>
      </c>
      <c r="BZ41" s="203"/>
      <c r="CA41" s="204">
        <f t="shared" si="111"/>
        <v>0</v>
      </c>
      <c r="CB41" s="204">
        <f t="shared" si="85"/>
        <v>0</v>
      </c>
      <c r="CC41" s="203"/>
      <c r="CD41" s="204">
        <f t="shared" si="112"/>
        <v>0</v>
      </c>
      <c r="CE41" s="175">
        <f t="shared" si="113"/>
        <v>0</v>
      </c>
      <c r="CF41" s="200">
        <f t="shared" si="86"/>
        <v>0</v>
      </c>
      <c r="CG41" s="203"/>
      <c r="CH41" s="207">
        <f t="shared" si="114"/>
        <v>0</v>
      </c>
      <c r="CI41" s="182"/>
      <c r="CJ41" s="208">
        <f t="shared" si="115"/>
        <v>0</v>
      </c>
      <c r="CK41" s="200">
        <f t="shared" si="87"/>
        <v>0</v>
      </c>
      <c r="CL41" s="201"/>
      <c r="CM41" s="202">
        <f t="shared" si="116"/>
        <v>0</v>
      </c>
      <c r="CN41" s="200">
        <f t="shared" si="88"/>
        <v>0</v>
      </c>
      <c r="CO41" s="173"/>
      <c r="CP41" s="262">
        <f t="shared" si="117"/>
        <v>0</v>
      </c>
      <c r="CQ41" s="184">
        <f t="shared" si="118"/>
        <v>0</v>
      </c>
      <c r="CR41" s="188" t="str">
        <f t="shared" si="89"/>
        <v/>
      </c>
      <c r="CS41" s="189"/>
      <c r="CT41" s="190" t="str">
        <f t="shared" si="119"/>
        <v/>
      </c>
      <c r="CU41" s="188" t="str">
        <f t="shared" si="90"/>
        <v/>
      </c>
      <c r="CV41" s="189"/>
      <c r="CW41" s="190" t="str">
        <f t="shared" si="120"/>
        <v/>
      </c>
      <c r="CX41" s="209" t="str">
        <f t="shared" si="121"/>
        <v/>
      </c>
      <c r="CY41" s="210"/>
      <c r="DA41" s="53">
        <f>IF(AND(CT41&lt;&gt;"",OR(CT41&lt;EXPEDIENTE!$I$25,CT41&gt;EXPEDIENTE!$I$29)),1,0)</f>
        <v>0</v>
      </c>
      <c r="DB41" s="53">
        <f>IF(AND(CW41&lt;&gt;"",OR(CW41&lt;EXPEDIENTE!$I$25,CW41&gt;EXPEDIENTE!$I$29)),1,0)</f>
        <v>0</v>
      </c>
      <c r="DD41" s="55">
        <f t="shared" si="91"/>
        <v>0</v>
      </c>
      <c r="DE41" s="55">
        <f t="shared" si="122"/>
        <v>0</v>
      </c>
      <c r="DF41" s="55">
        <f t="shared" si="123"/>
        <v>0</v>
      </c>
      <c r="DG41" s="55">
        <f t="shared" si="124"/>
        <v>0</v>
      </c>
      <c r="DH41" s="55">
        <f t="shared" si="125"/>
        <v>0</v>
      </c>
      <c r="DI41" s="55">
        <f t="shared" si="126"/>
        <v>0</v>
      </c>
      <c r="DJ41" s="55">
        <f t="shared" si="127"/>
        <v>0</v>
      </c>
      <c r="DK41" s="55">
        <f t="shared" si="128"/>
        <v>0</v>
      </c>
      <c r="DL41" s="55">
        <f t="shared" si="129"/>
        <v>0</v>
      </c>
      <c r="DM41" s="55">
        <f t="shared" si="130"/>
        <v>0</v>
      </c>
      <c r="DN41" s="55">
        <f t="shared" si="131"/>
        <v>0</v>
      </c>
      <c r="DO41" s="55">
        <f t="shared" si="132"/>
        <v>0</v>
      </c>
      <c r="DP41" s="55">
        <f t="shared" si="133"/>
        <v>0</v>
      </c>
      <c r="DQ41" s="55">
        <f t="shared" si="134"/>
        <v>0</v>
      </c>
      <c r="DR41" s="55">
        <f t="shared" si="135"/>
        <v>0</v>
      </c>
      <c r="DS41" s="55">
        <f t="shared" si="136"/>
        <v>0</v>
      </c>
      <c r="DT41" s="55">
        <f t="shared" si="137"/>
        <v>0</v>
      </c>
      <c r="DU41" s="55">
        <f t="shared" si="138"/>
        <v>0</v>
      </c>
      <c r="DW41" s="55">
        <f>IF(CY41&lt;&gt;"",MAX($DW$9:DW40)+1,0)</f>
        <v>0</v>
      </c>
      <c r="DX41" s="130" t="str">
        <f t="shared" si="92"/>
        <v/>
      </c>
    </row>
    <row r="42" spans="2:128" ht="30" customHeight="1" x14ac:dyDescent="0.25">
      <c r="B42" s="972"/>
      <c r="C42" s="332"/>
      <c r="D42" s="73"/>
      <c r="E42" s="260"/>
      <c r="F42" s="194"/>
      <c r="G42" s="195"/>
      <c r="H42" s="195"/>
      <c r="I42" s="195"/>
      <c r="J42" s="195"/>
      <c r="K42" s="195"/>
      <c r="L42" s="203">
        <f t="shared" si="140"/>
        <v>0</v>
      </c>
      <c r="M42" s="175">
        <f t="shared" si="141"/>
        <v>0</v>
      </c>
      <c r="N42" s="247"/>
      <c r="O42" s="194"/>
      <c r="P42" s="195"/>
      <c r="Q42" s="195"/>
      <c r="R42" s="195"/>
      <c r="S42" s="195"/>
      <c r="T42" s="203">
        <f t="shared" si="94"/>
        <v>0</v>
      </c>
      <c r="U42" s="300"/>
      <c r="V42" s="163"/>
      <c r="W42" s="208">
        <f t="shared" si="95"/>
        <v>0</v>
      </c>
      <c r="X42" s="194"/>
      <c r="Y42" s="195"/>
      <c r="Z42" s="173">
        <f t="shared" si="96"/>
        <v>0</v>
      </c>
      <c r="AA42" s="164"/>
      <c r="AB42" s="165"/>
      <c r="AC42" s="322"/>
      <c r="AD42" s="323"/>
      <c r="AE42" s="261"/>
      <c r="AF42" s="357"/>
      <c r="AG42" s="53">
        <f>IF(AND(AA42&lt;&gt;"",OR(AA42&lt;EXPEDIENTE!$I$25,AA42&gt;EXPEDIENTE!$I$29)),1,0)</f>
        <v>0</v>
      </c>
      <c r="AH42" s="53">
        <f>IF(AND(AB42&lt;&gt;"",OR(AB42&lt;EXPEDIENTE!$I$25,AB42&gt;EXPEDIENTE!$I$29)),1,0)</f>
        <v>0</v>
      </c>
      <c r="AM42" s="1014"/>
      <c r="AN42" s="559" t="str">
        <f t="shared" si="73"/>
        <v/>
      </c>
      <c r="AO42" s="188" t="str">
        <f t="shared" si="97"/>
        <v/>
      </c>
      <c r="AP42" s="189"/>
      <c r="AQ42" s="190" t="str">
        <f t="shared" si="98"/>
        <v/>
      </c>
      <c r="AR42" s="188" t="str">
        <f t="shared" si="74"/>
        <v/>
      </c>
      <c r="AS42" s="189"/>
      <c r="AT42" s="190" t="str">
        <f t="shared" si="99"/>
        <v/>
      </c>
      <c r="AU42" s="170">
        <f t="shared" si="75"/>
        <v>0</v>
      </c>
      <c r="AV42" s="201"/>
      <c r="AW42" s="202">
        <f t="shared" si="100"/>
        <v>0</v>
      </c>
      <c r="AX42" s="200">
        <f t="shared" si="76"/>
        <v>0</v>
      </c>
      <c r="AY42" s="203"/>
      <c r="AZ42" s="204">
        <f t="shared" si="101"/>
        <v>0</v>
      </c>
      <c r="BA42" s="204">
        <f t="shared" si="77"/>
        <v>0</v>
      </c>
      <c r="BB42" s="203"/>
      <c r="BC42" s="204">
        <f t="shared" si="102"/>
        <v>0</v>
      </c>
      <c r="BD42" s="204">
        <f t="shared" si="78"/>
        <v>0</v>
      </c>
      <c r="BE42" s="203"/>
      <c r="BF42" s="204">
        <f t="shared" si="103"/>
        <v>0</v>
      </c>
      <c r="BG42" s="204">
        <f t="shared" si="79"/>
        <v>0</v>
      </c>
      <c r="BH42" s="203"/>
      <c r="BI42" s="204">
        <f t="shared" si="104"/>
        <v>0</v>
      </c>
      <c r="BJ42" s="204">
        <f t="shared" si="80"/>
        <v>0</v>
      </c>
      <c r="BK42" s="203"/>
      <c r="BL42" s="204">
        <f t="shared" si="105"/>
        <v>0</v>
      </c>
      <c r="BM42" s="175">
        <f t="shared" si="106"/>
        <v>0</v>
      </c>
      <c r="BN42" s="205">
        <f t="shared" si="107"/>
        <v>0</v>
      </c>
      <c r="BO42" s="255"/>
      <c r="BP42" s="264">
        <f t="shared" si="81"/>
        <v>0</v>
      </c>
      <c r="BQ42" s="265"/>
      <c r="BR42" s="266">
        <f t="shared" si="108"/>
        <v>0</v>
      </c>
      <c r="BS42" s="267">
        <f t="shared" si="82"/>
        <v>0</v>
      </c>
      <c r="BT42" s="268"/>
      <c r="BU42" s="267">
        <f t="shared" si="109"/>
        <v>0</v>
      </c>
      <c r="BV42" s="267">
        <f t="shared" si="83"/>
        <v>0</v>
      </c>
      <c r="BW42" s="268"/>
      <c r="BX42" s="267">
        <f t="shared" si="110"/>
        <v>0</v>
      </c>
      <c r="BY42" s="267">
        <f t="shared" si="84"/>
        <v>0</v>
      </c>
      <c r="BZ42" s="268"/>
      <c r="CA42" s="267">
        <f t="shared" si="111"/>
        <v>0</v>
      </c>
      <c r="CB42" s="267">
        <f t="shared" si="85"/>
        <v>0</v>
      </c>
      <c r="CC42" s="268"/>
      <c r="CD42" s="267">
        <f t="shared" si="112"/>
        <v>0</v>
      </c>
      <c r="CE42" s="175">
        <f t="shared" si="113"/>
        <v>0</v>
      </c>
      <c r="CF42" s="200">
        <f t="shared" si="86"/>
        <v>0</v>
      </c>
      <c r="CG42" s="203"/>
      <c r="CH42" s="207">
        <f t="shared" si="114"/>
        <v>0</v>
      </c>
      <c r="CI42" s="182"/>
      <c r="CJ42" s="208">
        <f t="shared" si="115"/>
        <v>0</v>
      </c>
      <c r="CK42" s="200">
        <f t="shared" si="87"/>
        <v>0</v>
      </c>
      <c r="CL42" s="201"/>
      <c r="CM42" s="202">
        <f t="shared" si="116"/>
        <v>0</v>
      </c>
      <c r="CN42" s="200">
        <f t="shared" si="88"/>
        <v>0</v>
      </c>
      <c r="CO42" s="173"/>
      <c r="CP42" s="262">
        <f t="shared" si="117"/>
        <v>0</v>
      </c>
      <c r="CQ42" s="184">
        <f t="shared" si="118"/>
        <v>0</v>
      </c>
      <c r="CR42" s="188" t="str">
        <f t="shared" si="89"/>
        <v/>
      </c>
      <c r="CS42" s="189"/>
      <c r="CT42" s="190" t="str">
        <f t="shared" si="119"/>
        <v/>
      </c>
      <c r="CU42" s="188" t="str">
        <f t="shared" si="90"/>
        <v/>
      </c>
      <c r="CV42" s="189"/>
      <c r="CW42" s="190" t="str">
        <f t="shared" si="120"/>
        <v/>
      </c>
      <c r="CX42" s="209" t="str">
        <f t="shared" si="121"/>
        <v/>
      </c>
      <c r="CY42" s="210"/>
      <c r="DA42" s="53">
        <f>IF(AND(CT42&lt;&gt;"",OR(CT42&lt;EXPEDIENTE!$I$25,CT42&gt;EXPEDIENTE!$I$29)),1,0)</f>
        <v>0</v>
      </c>
      <c r="DB42" s="53">
        <f>IF(AND(CW42&lt;&gt;"",OR(CW42&lt;EXPEDIENTE!$I$25,CW42&gt;EXPEDIENTE!$I$29)),1,0)</f>
        <v>0</v>
      </c>
      <c r="DD42" s="55">
        <f t="shared" si="91"/>
        <v>0</v>
      </c>
      <c r="DE42" s="55">
        <f t="shared" si="122"/>
        <v>0</v>
      </c>
      <c r="DF42" s="55">
        <f t="shared" si="123"/>
        <v>0</v>
      </c>
      <c r="DG42" s="55">
        <f t="shared" si="124"/>
        <v>0</v>
      </c>
      <c r="DH42" s="55">
        <f t="shared" si="125"/>
        <v>0</v>
      </c>
      <c r="DI42" s="55">
        <f t="shared" si="126"/>
        <v>0</v>
      </c>
      <c r="DJ42" s="55">
        <f t="shared" si="127"/>
        <v>0</v>
      </c>
      <c r="DK42" s="55">
        <f t="shared" si="128"/>
        <v>0</v>
      </c>
      <c r="DL42" s="55">
        <f t="shared" si="129"/>
        <v>0</v>
      </c>
      <c r="DM42" s="55">
        <f t="shared" si="130"/>
        <v>0</v>
      </c>
      <c r="DN42" s="55">
        <f t="shared" si="131"/>
        <v>0</v>
      </c>
      <c r="DO42" s="55">
        <f t="shared" si="132"/>
        <v>0</v>
      </c>
      <c r="DP42" s="55">
        <f t="shared" si="133"/>
        <v>0</v>
      </c>
      <c r="DQ42" s="55">
        <f t="shared" si="134"/>
        <v>0</v>
      </c>
      <c r="DR42" s="55">
        <f t="shared" si="135"/>
        <v>0</v>
      </c>
      <c r="DS42" s="55">
        <f t="shared" si="136"/>
        <v>0</v>
      </c>
      <c r="DT42" s="55">
        <f t="shared" si="137"/>
        <v>0</v>
      </c>
      <c r="DU42" s="55">
        <f t="shared" si="138"/>
        <v>0</v>
      </c>
      <c r="DW42" s="55">
        <f>IF(CY42&lt;&gt;"",MAX($DW$9:DW41)+1,0)</f>
        <v>0</v>
      </c>
      <c r="DX42" s="130" t="str">
        <f t="shared" si="92"/>
        <v/>
      </c>
    </row>
    <row r="43" spans="2:128" ht="30" customHeight="1" x14ac:dyDescent="0.25">
      <c r="B43" s="972"/>
      <c r="C43" s="332"/>
      <c r="D43" s="73"/>
      <c r="E43" s="260"/>
      <c r="F43" s="194"/>
      <c r="G43" s="195"/>
      <c r="H43" s="195"/>
      <c r="I43" s="195"/>
      <c r="J43" s="195"/>
      <c r="K43" s="195"/>
      <c r="L43" s="203">
        <f t="shared" si="140"/>
        <v>0</v>
      </c>
      <c r="M43" s="175">
        <f t="shared" si="141"/>
        <v>0</v>
      </c>
      <c r="N43" s="247"/>
      <c r="O43" s="194"/>
      <c r="P43" s="195"/>
      <c r="Q43" s="195"/>
      <c r="R43" s="195"/>
      <c r="S43" s="195"/>
      <c r="T43" s="203">
        <f t="shared" si="94"/>
        <v>0</v>
      </c>
      <c r="U43" s="300"/>
      <c r="V43" s="163"/>
      <c r="W43" s="208">
        <f t="shared" si="95"/>
        <v>0</v>
      </c>
      <c r="X43" s="194"/>
      <c r="Y43" s="195"/>
      <c r="Z43" s="173">
        <f t="shared" si="96"/>
        <v>0</v>
      </c>
      <c r="AA43" s="164"/>
      <c r="AB43" s="165"/>
      <c r="AC43" s="322"/>
      <c r="AD43" s="323"/>
      <c r="AE43" s="261"/>
      <c r="AF43" s="357"/>
      <c r="AG43" s="53">
        <f>IF(AND(AA43&lt;&gt;"",OR(AA43&lt;EXPEDIENTE!$I$25,AA43&gt;EXPEDIENTE!$I$29)),1,0)</f>
        <v>0</v>
      </c>
      <c r="AH43" s="53">
        <f>IF(AND(AB43&lt;&gt;"",OR(AB43&lt;EXPEDIENTE!$I$25,AB43&gt;EXPEDIENTE!$I$29)),1,0)</f>
        <v>0</v>
      </c>
      <c r="AM43" s="1014"/>
      <c r="AN43" s="559" t="str">
        <f t="shared" si="73"/>
        <v/>
      </c>
      <c r="AO43" s="188" t="str">
        <f t="shared" si="97"/>
        <v/>
      </c>
      <c r="AP43" s="189"/>
      <c r="AQ43" s="190" t="str">
        <f t="shared" si="98"/>
        <v/>
      </c>
      <c r="AR43" s="188" t="str">
        <f t="shared" si="74"/>
        <v/>
      </c>
      <c r="AS43" s="189"/>
      <c r="AT43" s="190" t="str">
        <f t="shared" si="99"/>
        <v/>
      </c>
      <c r="AU43" s="170">
        <f t="shared" si="75"/>
        <v>0</v>
      </c>
      <c r="AV43" s="201"/>
      <c r="AW43" s="202">
        <f t="shared" si="100"/>
        <v>0</v>
      </c>
      <c r="AX43" s="200">
        <f t="shared" si="76"/>
        <v>0</v>
      </c>
      <c r="AY43" s="203"/>
      <c r="AZ43" s="204">
        <f t="shared" si="101"/>
        <v>0</v>
      </c>
      <c r="BA43" s="204">
        <f t="shared" si="77"/>
        <v>0</v>
      </c>
      <c r="BB43" s="203"/>
      <c r="BC43" s="204">
        <f t="shared" si="102"/>
        <v>0</v>
      </c>
      <c r="BD43" s="204">
        <f t="shared" si="78"/>
        <v>0</v>
      </c>
      <c r="BE43" s="203"/>
      <c r="BF43" s="204">
        <f t="shared" si="103"/>
        <v>0</v>
      </c>
      <c r="BG43" s="204">
        <f t="shared" si="79"/>
        <v>0</v>
      </c>
      <c r="BH43" s="203"/>
      <c r="BI43" s="204">
        <f t="shared" si="104"/>
        <v>0</v>
      </c>
      <c r="BJ43" s="204">
        <f t="shared" si="80"/>
        <v>0</v>
      </c>
      <c r="BK43" s="203"/>
      <c r="BL43" s="204">
        <f t="shared" si="105"/>
        <v>0</v>
      </c>
      <c r="BM43" s="175">
        <f t="shared" si="106"/>
        <v>0</v>
      </c>
      <c r="BN43" s="205">
        <f t="shared" si="107"/>
        <v>0</v>
      </c>
      <c r="BO43" s="255"/>
      <c r="BP43" s="264">
        <f t="shared" si="81"/>
        <v>0</v>
      </c>
      <c r="BQ43" s="265"/>
      <c r="BR43" s="266">
        <f t="shared" si="108"/>
        <v>0</v>
      </c>
      <c r="BS43" s="267">
        <f t="shared" si="82"/>
        <v>0</v>
      </c>
      <c r="BT43" s="268"/>
      <c r="BU43" s="267">
        <f t="shared" si="109"/>
        <v>0</v>
      </c>
      <c r="BV43" s="267">
        <f t="shared" si="83"/>
        <v>0</v>
      </c>
      <c r="BW43" s="268"/>
      <c r="BX43" s="267">
        <f t="shared" si="110"/>
        <v>0</v>
      </c>
      <c r="BY43" s="267">
        <f t="shared" si="84"/>
        <v>0</v>
      </c>
      <c r="BZ43" s="268"/>
      <c r="CA43" s="267">
        <f t="shared" si="111"/>
        <v>0</v>
      </c>
      <c r="CB43" s="267">
        <f t="shared" si="85"/>
        <v>0</v>
      </c>
      <c r="CC43" s="268"/>
      <c r="CD43" s="267">
        <f t="shared" si="112"/>
        <v>0</v>
      </c>
      <c r="CE43" s="175">
        <f t="shared" si="113"/>
        <v>0</v>
      </c>
      <c r="CF43" s="200">
        <f t="shared" si="86"/>
        <v>0</v>
      </c>
      <c r="CG43" s="203"/>
      <c r="CH43" s="207">
        <f t="shared" si="114"/>
        <v>0</v>
      </c>
      <c r="CI43" s="182"/>
      <c r="CJ43" s="208">
        <f t="shared" si="115"/>
        <v>0</v>
      </c>
      <c r="CK43" s="200">
        <f t="shared" si="87"/>
        <v>0</v>
      </c>
      <c r="CL43" s="201"/>
      <c r="CM43" s="202">
        <f t="shared" si="116"/>
        <v>0</v>
      </c>
      <c r="CN43" s="200">
        <f t="shared" si="88"/>
        <v>0</v>
      </c>
      <c r="CO43" s="173"/>
      <c r="CP43" s="262">
        <f t="shared" si="117"/>
        <v>0</v>
      </c>
      <c r="CQ43" s="184">
        <f t="shared" si="118"/>
        <v>0</v>
      </c>
      <c r="CR43" s="188" t="str">
        <f t="shared" si="89"/>
        <v/>
      </c>
      <c r="CS43" s="189"/>
      <c r="CT43" s="190" t="str">
        <f t="shared" si="119"/>
        <v/>
      </c>
      <c r="CU43" s="188" t="str">
        <f t="shared" si="90"/>
        <v/>
      </c>
      <c r="CV43" s="189"/>
      <c r="CW43" s="190" t="str">
        <f t="shared" si="120"/>
        <v/>
      </c>
      <c r="CX43" s="209" t="str">
        <f t="shared" si="121"/>
        <v/>
      </c>
      <c r="CY43" s="210"/>
      <c r="DA43" s="53">
        <f>IF(AND(CT43&lt;&gt;"",OR(CT43&lt;EXPEDIENTE!$I$25,CT43&gt;EXPEDIENTE!$I$29)),1,0)</f>
        <v>0</v>
      </c>
      <c r="DB43" s="53">
        <f>IF(AND(CW43&lt;&gt;"",OR(CW43&lt;EXPEDIENTE!$I$25,CW43&gt;EXPEDIENTE!$I$29)),1,0)</f>
        <v>0</v>
      </c>
      <c r="DD43" s="55">
        <f t="shared" si="91"/>
        <v>0</v>
      </c>
      <c r="DE43" s="55">
        <f t="shared" si="122"/>
        <v>0</v>
      </c>
      <c r="DF43" s="55">
        <f t="shared" si="123"/>
        <v>0</v>
      </c>
      <c r="DG43" s="55">
        <f t="shared" si="124"/>
        <v>0</v>
      </c>
      <c r="DH43" s="55">
        <f t="shared" si="125"/>
        <v>0</v>
      </c>
      <c r="DI43" s="55">
        <f t="shared" si="126"/>
        <v>0</v>
      </c>
      <c r="DJ43" s="55">
        <f t="shared" si="127"/>
        <v>0</v>
      </c>
      <c r="DK43" s="55">
        <f t="shared" si="128"/>
        <v>0</v>
      </c>
      <c r="DL43" s="55">
        <f t="shared" si="129"/>
        <v>0</v>
      </c>
      <c r="DM43" s="55">
        <f t="shared" si="130"/>
        <v>0</v>
      </c>
      <c r="DN43" s="55">
        <f t="shared" si="131"/>
        <v>0</v>
      </c>
      <c r="DO43" s="55">
        <f t="shared" si="132"/>
        <v>0</v>
      </c>
      <c r="DP43" s="55">
        <f t="shared" si="133"/>
        <v>0</v>
      </c>
      <c r="DQ43" s="55">
        <f t="shared" si="134"/>
        <v>0</v>
      </c>
      <c r="DR43" s="55">
        <f t="shared" si="135"/>
        <v>0</v>
      </c>
      <c r="DS43" s="55">
        <f t="shared" si="136"/>
        <v>0</v>
      </c>
      <c r="DT43" s="55">
        <f t="shared" si="137"/>
        <v>0</v>
      </c>
      <c r="DU43" s="55">
        <f t="shared" si="138"/>
        <v>0</v>
      </c>
      <c r="DW43" s="55">
        <f>IF(CY43&lt;&gt;"",MAX($DW$9:DW42)+1,0)</f>
        <v>0</v>
      </c>
      <c r="DX43" s="130" t="str">
        <f t="shared" si="92"/>
        <v/>
      </c>
    </row>
    <row r="44" spans="2:128" ht="30" customHeight="1" x14ac:dyDescent="0.25">
      <c r="B44" s="972"/>
      <c r="C44" s="332"/>
      <c r="D44" s="73"/>
      <c r="E44" s="260"/>
      <c r="F44" s="194"/>
      <c r="G44" s="195"/>
      <c r="H44" s="195"/>
      <c r="I44" s="195"/>
      <c r="J44" s="195"/>
      <c r="K44" s="195"/>
      <c r="L44" s="203">
        <f t="shared" si="139"/>
        <v>0</v>
      </c>
      <c r="M44" s="175">
        <f t="shared" si="93"/>
        <v>0</v>
      </c>
      <c r="N44" s="247"/>
      <c r="O44" s="194"/>
      <c r="P44" s="195"/>
      <c r="Q44" s="195"/>
      <c r="R44" s="195"/>
      <c r="S44" s="195"/>
      <c r="T44" s="203">
        <f t="shared" si="94"/>
        <v>0</v>
      </c>
      <c r="U44" s="300"/>
      <c r="V44" s="163"/>
      <c r="W44" s="208">
        <f t="shared" si="95"/>
        <v>0</v>
      </c>
      <c r="X44" s="194"/>
      <c r="Y44" s="195"/>
      <c r="Z44" s="173">
        <f t="shared" si="96"/>
        <v>0</v>
      </c>
      <c r="AA44" s="164"/>
      <c r="AB44" s="165"/>
      <c r="AC44" s="322"/>
      <c r="AD44" s="323"/>
      <c r="AE44" s="261"/>
      <c r="AF44" s="357"/>
      <c r="AG44" s="53">
        <f>IF(AND(AA44&lt;&gt;"",OR(AA44&lt;EXPEDIENTE!$I$25,AA44&gt;EXPEDIENTE!$I$29)),1,0)</f>
        <v>0</v>
      </c>
      <c r="AH44" s="53">
        <f>IF(AND(AB44&lt;&gt;"",OR(AB44&lt;EXPEDIENTE!$I$25,AB44&gt;EXPEDIENTE!$I$29)),1,0)</f>
        <v>0</v>
      </c>
      <c r="AM44" s="1014"/>
      <c r="AN44" s="559" t="str">
        <f t="shared" si="73"/>
        <v/>
      </c>
      <c r="AO44" s="188" t="str">
        <f t="shared" si="97"/>
        <v/>
      </c>
      <c r="AP44" s="189"/>
      <c r="AQ44" s="190" t="str">
        <f t="shared" si="98"/>
        <v/>
      </c>
      <c r="AR44" s="188" t="str">
        <f t="shared" si="74"/>
        <v/>
      </c>
      <c r="AS44" s="189"/>
      <c r="AT44" s="190" t="str">
        <f t="shared" si="99"/>
        <v/>
      </c>
      <c r="AU44" s="170">
        <f t="shared" si="75"/>
        <v>0</v>
      </c>
      <c r="AV44" s="201"/>
      <c r="AW44" s="202">
        <f t="shared" si="100"/>
        <v>0</v>
      </c>
      <c r="AX44" s="200">
        <f t="shared" si="76"/>
        <v>0</v>
      </c>
      <c r="AY44" s="203"/>
      <c r="AZ44" s="204">
        <f t="shared" si="101"/>
        <v>0</v>
      </c>
      <c r="BA44" s="204">
        <f t="shared" si="77"/>
        <v>0</v>
      </c>
      <c r="BB44" s="203"/>
      <c r="BC44" s="204">
        <f t="shared" si="102"/>
        <v>0</v>
      </c>
      <c r="BD44" s="204">
        <f t="shared" si="78"/>
        <v>0</v>
      </c>
      <c r="BE44" s="203"/>
      <c r="BF44" s="204">
        <f t="shared" si="103"/>
        <v>0</v>
      </c>
      <c r="BG44" s="204">
        <f t="shared" si="79"/>
        <v>0</v>
      </c>
      <c r="BH44" s="203"/>
      <c r="BI44" s="204">
        <f t="shared" si="104"/>
        <v>0</v>
      </c>
      <c r="BJ44" s="204">
        <f t="shared" si="80"/>
        <v>0</v>
      </c>
      <c r="BK44" s="203"/>
      <c r="BL44" s="204">
        <f t="shared" si="105"/>
        <v>0</v>
      </c>
      <c r="BM44" s="175">
        <f t="shared" si="106"/>
        <v>0</v>
      </c>
      <c r="BN44" s="205">
        <f t="shared" si="107"/>
        <v>0</v>
      </c>
      <c r="BO44" s="255"/>
      <c r="BP44" s="264">
        <f t="shared" si="81"/>
        <v>0</v>
      </c>
      <c r="BQ44" s="265"/>
      <c r="BR44" s="266">
        <f t="shared" si="108"/>
        <v>0</v>
      </c>
      <c r="BS44" s="267">
        <f t="shared" si="82"/>
        <v>0</v>
      </c>
      <c r="BT44" s="268"/>
      <c r="BU44" s="267">
        <f t="shared" si="109"/>
        <v>0</v>
      </c>
      <c r="BV44" s="267">
        <f t="shared" si="83"/>
        <v>0</v>
      </c>
      <c r="BW44" s="268"/>
      <c r="BX44" s="267">
        <f t="shared" si="110"/>
        <v>0</v>
      </c>
      <c r="BY44" s="267">
        <f t="shared" si="84"/>
        <v>0</v>
      </c>
      <c r="BZ44" s="268"/>
      <c r="CA44" s="267">
        <f t="shared" si="111"/>
        <v>0</v>
      </c>
      <c r="CB44" s="267">
        <f t="shared" si="85"/>
        <v>0</v>
      </c>
      <c r="CC44" s="268"/>
      <c r="CD44" s="267">
        <f t="shared" si="112"/>
        <v>0</v>
      </c>
      <c r="CE44" s="175">
        <f t="shared" si="113"/>
        <v>0</v>
      </c>
      <c r="CF44" s="200">
        <f t="shared" si="86"/>
        <v>0</v>
      </c>
      <c r="CG44" s="203"/>
      <c r="CH44" s="207">
        <f t="shared" si="114"/>
        <v>0</v>
      </c>
      <c r="CI44" s="182"/>
      <c r="CJ44" s="208">
        <f t="shared" si="115"/>
        <v>0</v>
      </c>
      <c r="CK44" s="200">
        <f t="shared" si="87"/>
        <v>0</v>
      </c>
      <c r="CL44" s="201"/>
      <c r="CM44" s="202">
        <f t="shared" si="116"/>
        <v>0</v>
      </c>
      <c r="CN44" s="200">
        <f t="shared" si="88"/>
        <v>0</v>
      </c>
      <c r="CO44" s="173"/>
      <c r="CP44" s="262">
        <f t="shared" si="117"/>
        <v>0</v>
      </c>
      <c r="CQ44" s="184">
        <f t="shared" si="118"/>
        <v>0</v>
      </c>
      <c r="CR44" s="188" t="str">
        <f t="shared" si="89"/>
        <v/>
      </c>
      <c r="CS44" s="189"/>
      <c r="CT44" s="190" t="str">
        <f t="shared" si="119"/>
        <v/>
      </c>
      <c r="CU44" s="188" t="str">
        <f t="shared" si="90"/>
        <v/>
      </c>
      <c r="CV44" s="189"/>
      <c r="CW44" s="190" t="str">
        <f t="shared" si="120"/>
        <v/>
      </c>
      <c r="CX44" s="209" t="str">
        <f t="shared" si="121"/>
        <v/>
      </c>
      <c r="CY44" s="210"/>
      <c r="DA44" s="53">
        <f>IF(AND(CT44&lt;&gt;"",OR(CT44&lt;EXPEDIENTE!$I$25,CT44&gt;EXPEDIENTE!$I$29)),1,0)</f>
        <v>0</v>
      </c>
      <c r="DB44" s="53">
        <f>IF(AND(CW44&lt;&gt;"",OR(CW44&lt;EXPEDIENTE!$I$25,CW44&gt;EXPEDIENTE!$I$29)),1,0)</f>
        <v>0</v>
      </c>
      <c r="DD44" s="55">
        <f t="shared" si="91"/>
        <v>0</v>
      </c>
      <c r="DE44" s="55">
        <f t="shared" si="122"/>
        <v>0</v>
      </c>
      <c r="DF44" s="55">
        <f t="shared" si="123"/>
        <v>0</v>
      </c>
      <c r="DG44" s="55">
        <f t="shared" si="124"/>
        <v>0</v>
      </c>
      <c r="DH44" s="55">
        <f t="shared" si="125"/>
        <v>0</v>
      </c>
      <c r="DI44" s="55">
        <f t="shared" si="126"/>
        <v>0</v>
      </c>
      <c r="DJ44" s="55">
        <f t="shared" si="127"/>
        <v>0</v>
      </c>
      <c r="DK44" s="55">
        <f t="shared" si="128"/>
        <v>0</v>
      </c>
      <c r="DL44" s="55">
        <f t="shared" si="129"/>
        <v>0</v>
      </c>
      <c r="DM44" s="55">
        <f t="shared" si="130"/>
        <v>0</v>
      </c>
      <c r="DN44" s="55">
        <f t="shared" si="131"/>
        <v>0</v>
      </c>
      <c r="DO44" s="55">
        <f t="shared" si="132"/>
        <v>0</v>
      </c>
      <c r="DP44" s="55">
        <f t="shared" si="133"/>
        <v>0</v>
      </c>
      <c r="DQ44" s="55">
        <f t="shared" si="134"/>
        <v>0</v>
      </c>
      <c r="DR44" s="55">
        <f t="shared" si="135"/>
        <v>0</v>
      </c>
      <c r="DS44" s="55">
        <f t="shared" si="136"/>
        <v>0</v>
      </c>
      <c r="DT44" s="55">
        <f t="shared" si="137"/>
        <v>0</v>
      </c>
      <c r="DU44" s="55">
        <f t="shared" si="138"/>
        <v>0</v>
      </c>
      <c r="DW44" s="55">
        <f>IF(CY44&lt;&gt;"",MAX($DW$9:DW43)+1,0)</f>
        <v>0</v>
      </c>
      <c r="DX44" s="130" t="str">
        <f t="shared" si="92"/>
        <v/>
      </c>
    </row>
    <row r="45" spans="2:128" ht="30" customHeight="1" thickBot="1" x14ac:dyDescent="0.3">
      <c r="B45" s="972"/>
      <c r="C45" s="333"/>
      <c r="D45" s="269"/>
      <c r="E45" s="270"/>
      <c r="F45" s="215"/>
      <c r="G45" s="213"/>
      <c r="H45" s="213"/>
      <c r="I45" s="213"/>
      <c r="J45" s="213"/>
      <c r="K45" s="213"/>
      <c r="L45" s="268">
        <f t="shared" si="139"/>
        <v>0</v>
      </c>
      <c r="M45" s="696">
        <f t="shared" si="93"/>
        <v>0</v>
      </c>
      <c r="N45" s="247"/>
      <c r="O45" s="215"/>
      <c r="P45" s="216"/>
      <c r="Q45" s="216"/>
      <c r="R45" s="216"/>
      <c r="S45" s="216"/>
      <c r="T45" s="227">
        <f t="shared" si="94"/>
        <v>0</v>
      </c>
      <c r="U45" s="301"/>
      <c r="V45" s="163"/>
      <c r="W45" s="697">
        <f t="shared" si="95"/>
        <v>0</v>
      </c>
      <c r="X45" s="212"/>
      <c r="Y45" s="213"/>
      <c r="Z45" s="698">
        <f t="shared" si="96"/>
        <v>0</v>
      </c>
      <c r="AA45" s="218"/>
      <c r="AB45" s="219"/>
      <c r="AC45" s="324"/>
      <c r="AD45" s="325"/>
      <c r="AE45" s="302"/>
      <c r="AF45" s="357"/>
      <c r="AG45" s="53">
        <f>IF(AND(AA45&lt;&gt;"",OR(AA45&lt;EXPEDIENTE!$I$25,AA45&gt;EXPEDIENTE!$I$29)),1,0)</f>
        <v>0</v>
      </c>
      <c r="AH45" s="53">
        <f>IF(AND(AB45&lt;&gt;"",OR(AB45&lt;EXPEDIENTE!$I$25,AB45&gt;EXPEDIENTE!$I$29)),1,0)</f>
        <v>0</v>
      </c>
      <c r="AM45" s="1014"/>
      <c r="AN45" s="560" t="str">
        <f t="shared" si="73"/>
        <v/>
      </c>
      <c r="AO45" s="236" t="str">
        <f t="shared" si="97"/>
        <v/>
      </c>
      <c r="AP45" s="237"/>
      <c r="AQ45" s="238" t="str">
        <f t="shared" si="98"/>
        <v/>
      </c>
      <c r="AR45" s="236" t="str">
        <f t="shared" si="74"/>
        <v/>
      </c>
      <c r="AS45" s="237"/>
      <c r="AT45" s="238" t="str">
        <f t="shared" si="99"/>
        <v/>
      </c>
      <c r="AU45" s="272">
        <f t="shared" si="75"/>
        <v>0</v>
      </c>
      <c r="AV45" s="225"/>
      <c r="AW45" s="226">
        <f t="shared" si="100"/>
        <v>0</v>
      </c>
      <c r="AX45" s="224">
        <f t="shared" si="76"/>
        <v>0</v>
      </c>
      <c r="AY45" s="227"/>
      <c r="AZ45" s="228">
        <f t="shared" si="101"/>
        <v>0</v>
      </c>
      <c r="BA45" s="228">
        <f t="shared" si="77"/>
        <v>0</v>
      </c>
      <c r="BB45" s="227"/>
      <c r="BC45" s="228">
        <f t="shared" si="102"/>
        <v>0</v>
      </c>
      <c r="BD45" s="228">
        <f t="shared" si="78"/>
        <v>0</v>
      </c>
      <c r="BE45" s="227"/>
      <c r="BF45" s="228">
        <f t="shared" si="103"/>
        <v>0</v>
      </c>
      <c r="BG45" s="228">
        <f t="shared" si="79"/>
        <v>0</v>
      </c>
      <c r="BH45" s="227"/>
      <c r="BI45" s="228">
        <f t="shared" si="104"/>
        <v>0</v>
      </c>
      <c r="BJ45" s="228">
        <f t="shared" si="80"/>
        <v>0</v>
      </c>
      <c r="BK45" s="227"/>
      <c r="BL45" s="228">
        <f t="shared" si="105"/>
        <v>0</v>
      </c>
      <c r="BM45" s="229">
        <f t="shared" si="106"/>
        <v>0</v>
      </c>
      <c r="BN45" s="205">
        <f t="shared" si="107"/>
        <v>0</v>
      </c>
      <c r="BO45" s="255"/>
      <c r="BP45" s="224">
        <f t="shared" si="81"/>
        <v>0</v>
      </c>
      <c r="BQ45" s="225"/>
      <c r="BR45" s="231">
        <f t="shared" si="108"/>
        <v>0</v>
      </c>
      <c r="BS45" s="228">
        <f t="shared" si="82"/>
        <v>0</v>
      </c>
      <c r="BT45" s="227"/>
      <c r="BU45" s="228">
        <f t="shared" si="109"/>
        <v>0</v>
      </c>
      <c r="BV45" s="228">
        <f t="shared" si="83"/>
        <v>0</v>
      </c>
      <c r="BW45" s="227"/>
      <c r="BX45" s="228">
        <f t="shared" si="110"/>
        <v>0</v>
      </c>
      <c r="BY45" s="228">
        <f t="shared" si="84"/>
        <v>0</v>
      </c>
      <c r="BZ45" s="227"/>
      <c r="CA45" s="228">
        <f t="shared" si="111"/>
        <v>0</v>
      </c>
      <c r="CB45" s="228">
        <f t="shared" si="85"/>
        <v>0</v>
      </c>
      <c r="CC45" s="227"/>
      <c r="CD45" s="228">
        <f t="shared" si="112"/>
        <v>0</v>
      </c>
      <c r="CE45" s="229">
        <f t="shared" si="113"/>
        <v>0</v>
      </c>
      <c r="CF45" s="224">
        <f t="shared" si="86"/>
        <v>0</v>
      </c>
      <c r="CG45" s="227"/>
      <c r="CH45" s="232">
        <f t="shared" si="114"/>
        <v>0</v>
      </c>
      <c r="CI45" s="182"/>
      <c r="CJ45" s="230">
        <f t="shared" si="115"/>
        <v>0</v>
      </c>
      <c r="CK45" s="224">
        <f t="shared" si="87"/>
        <v>0</v>
      </c>
      <c r="CL45" s="225"/>
      <c r="CM45" s="226">
        <f t="shared" si="116"/>
        <v>0</v>
      </c>
      <c r="CN45" s="224">
        <f t="shared" si="88"/>
        <v>0</v>
      </c>
      <c r="CO45" s="273"/>
      <c r="CP45" s="274">
        <f t="shared" si="117"/>
        <v>0</v>
      </c>
      <c r="CQ45" s="275">
        <f t="shared" si="118"/>
        <v>0</v>
      </c>
      <c r="CR45" s="236" t="str">
        <f t="shared" si="89"/>
        <v/>
      </c>
      <c r="CS45" s="237"/>
      <c r="CT45" s="238" t="str">
        <f t="shared" si="119"/>
        <v/>
      </c>
      <c r="CU45" s="236" t="str">
        <f t="shared" si="90"/>
        <v/>
      </c>
      <c r="CV45" s="237"/>
      <c r="CW45" s="238" t="str">
        <f t="shared" si="120"/>
        <v/>
      </c>
      <c r="CX45" s="239" t="str">
        <f t="shared" si="121"/>
        <v/>
      </c>
      <c r="CY45" s="240"/>
      <c r="DA45" s="53">
        <f>IF(AND(CT45&lt;&gt;"",OR(CT45&lt;EXPEDIENTE!$I$25,CT45&gt;EXPEDIENTE!$I$29)),1,0)</f>
        <v>0</v>
      </c>
      <c r="DB45" s="53">
        <f>IF(AND(CW45&lt;&gt;"",OR(CW45&lt;EXPEDIENTE!$I$25,CW45&gt;EXPEDIENTE!$I$29)),1,0)</f>
        <v>0</v>
      </c>
      <c r="DD45" s="55">
        <f t="shared" si="91"/>
        <v>0</v>
      </c>
      <c r="DE45" s="55">
        <f t="shared" si="122"/>
        <v>0</v>
      </c>
      <c r="DF45" s="55">
        <f t="shared" si="123"/>
        <v>0</v>
      </c>
      <c r="DG45" s="55">
        <f t="shared" si="124"/>
        <v>0</v>
      </c>
      <c r="DH45" s="55">
        <f t="shared" si="125"/>
        <v>0</v>
      </c>
      <c r="DI45" s="55">
        <f t="shared" si="126"/>
        <v>0</v>
      </c>
      <c r="DJ45" s="55">
        <f t="shared" si="127"/>
        <v>0</v>
      </c>
      <c r="DK45" s="55">
        <f t="shared" si="128"/>
        <v>0</v>
      </c>
      <c r="DL45" s="55">
        <f t="shared" si="129"/>
        <v>0</v>
      </c>
      <c r="DM45" s="55">
        <f t="shared" si="130"/>
        <v>0</v>
      </c>
      <c r="DN45" s="55">
        <f t="shared" si="131"/>
        <v>0</v>
      </c>
      <c r="DO45" s="55">
        <f t="shared" si="132"/>
        <v>0</v>
      </c>
      <c r="DP45" s="55">
        <f t="shared" si="133"/>
        <v>0</v>
      </c>
      <c r="DQ45" s="55">
        <f t="shared" si="134"/>
        <v>0</v>
      </c>
      <c r="DR45" s="55">
        <f t="shared" si="135"/>
        <v>0</v>
      </c>
      <c r="DS45" s="55">
        <f t="shared" si="136"/>
        <v>0</v>
      </c>
      <c r="DT45" s="55">
        <f t="shared" si="137"/>
        <v>0</v>
      </c>
      <c r="DU45" s="55">
        <f t="shared" si="138"/>
        <v>0</v>
      </c>
      <c r="DW45" s="55">
        <f>IF(CY45&lt;&gt;"",MAX($DW$9:DW44)+1,0)</f>
        <v>0</v>
      </c>
      <c r="DX45" s="130" t="str">
        <f t="shared" si="92"/>
        <v/>
      </c>
    </row>
    <row r="46" spans="2:128" ht="9.9499999999999993" customHeight="1" thickBot="1" x14ac:dyDescent="0.3">
      <c r="B46" s="972"/>
      <c r="C46" s="336"/>
      <c r="D46" s="337"/>
      <c r="E46" s="337"/>
      <c r="F46" s="337"/>
      <c r="G46" s="337"/>
      <c r="H46" s="337"/>
      <c r="I46" s="337"/>
      <c r="J46" s="337"/>
      <c r="K46" s="337"/>
      <c r="L46" s="337"/>
      <c r="M46" s="338"/>
      <c r="N46" s="349"/>
      <c r="O46" s="354"/>
      <c r="P46" s="354"/>
      <c r="Q46" s="354"/>
      <c r="R46" s="354"/>
      <c r="S46" s="354"/>
      <c r="T46" s="354"/>
      <c r="U46" s="354"/>
      <c r="V46" s="351"/>
      <c r="W46" s="339"/>
      <c r="X46" s="337"/>
      <c r="Y46" s="337"/>
      <c r="Z46" s="337"/>
      <c r="AA46" s="337"/>
      <c r="AB46" s="337"/>
      <c r="AC46" s="337"/>
      <c r="AD46" s="337"/>
      <c r="AE46" s="337"/>
      <c r="AF46" s="357"/>
      <c r="AM46" s="1014"/>
      <c r="AN46" s="379"/>
      <c r="AO46" s="393"/>
      <c r="AP46" s="393"/>
      <c r="AQ46" s="393"/>
      <c r="AR46" s="393"/>
      <c r="AS46" s="393"/>
      <c r="AT46" s="393"/>
      <c r="AU46" s="393"/>
      <c r="AV46" s="393"/>
      <c r="AW46" s="393"/>
      <c r="AX46" s="393"/>
      <c r="AY46" s="393"/>
      <c r="AZ46" s="393"/>
      <c r="BA46" s="393"/>
      <c r="BB46" s="393"/>
      <c r="BC46" s="393"/>
      <c r="BD46" s="393"/>
      <c r="BE46" s="393"/>
      <c r="BF46" s="393"/>
      <c r="BG46" s="393"/>
      <c r="BH46" s="393"/>
      <c r="BI46" s="393"/>
      <c r="BJ46" s="393"/>
      <c r="BK46" s="393"/>
      <c r="BL46" s="393"/>
      <c r="BM46" s="393"/>
      <c r="BN46" s="400"/>
      <c r="BO46" s="404"/>
      <c r="BP46" s="405"/>
      <c r="BQ46" s="405"/>
      <c r="BR46" s="405"/>
      <c r="BS46" s="405"/>
      <c r="BT46" s="405"/>
      <c r="BU46" s="405"/>
      <c r="BV46" s="405"/>
      <c r="BW46" s="405"/>
      <c r="BX46" s="405"/>
      <c r="BY46" s="405"/>
      <c r="BZ46" s="405"/>
      <c r="CA46" s="405"/>
      <c r="CB46" s="405"/>
      <c r="CC46" s="405"/>
      <c r="CD46" s="405"/>
      <c r="CE46" s="405"/>
      <c r="CF46" s="352"/>
      <c r="CG46" s="352"/>
      <c r="CH46" s="352"/>
      <c r="CI46" s="406"/>
      <c r="CJ46" s="384"/>
      <c r="CK46" s="380"/>
      <c r="CL46" s="380"/>
      <c r="CM46" s="380"/>
      <c r="CN46" s="380"/>
      <c r="CO46" s="380"/>
      <c r="CP46" s="380"/>
      <c r="CQ46" s="380"/>
      <c r="CR46" s="380"/>
      <c r="CS46" s="380"/>
      <c r="CT46" s="380"/>
      <c r="CU46" s="380"/>
      <c r="CV46" s="380"/>
      <c r="CW46" s="380"/>
      <c r="CX46" s="380"/>
      <c r="CY46" s="385"/>
    </row>
    <row r="47" spans="2:128" ht="9.9499999999999993" customHeight="1" thickBot="1" x14ac:dyDescent="0.3">
      <c r="B47" s="972"/>
      <c r="C47" s="348"/>
      <c r="D47" s="341"/>
      <c r="E47" s="341"/>
      <c r="F47" s="341"/>
      <c r="G47" s="341"/>
      <c r="H47" s="341"/>
      <c r="I47" s="341"/>
      <c r="J47" s="341"/>
      <c r="K47" s="341"/>
      <c r="L47" s="341"/>
      <c r="M47" s="341"/>
      <c r="N47" s="341"/>
      <c r="O47" s="341"/>
      <c r="P47" s="341"/>
      <c r="Q47" s="341"/>
      <c r="R47" s="341"/>
      <c r="S47" s="341"/>
      <c r="T47" s="341"/>
      <c r="U47" s="341"/>
      <c r="V47" s="341"/>
      <c r="W47" s="341"/>
      <c r="X47" s="341"/>
      <c r="Y47" s="341"/>
      <c r="Z47" s="341"/>
      <c r="AA47" s="341"/>
      <c r="AB47" s="341"/>
      <c r="AC47" s="341"/>
      <c r="AD47" s="341"/>
      <c r="AE47" s="341"/>
      <c r="AF47" s="357"/>
      <c r="AM47" s="1014"/>
      <c r="AN47" s="377"/>
      <c r="AO47" s="378"/>
      <c r="AP47" s="378"/>
      <c r="AQ47" s="378"/>
      <c r="AR47" s="378"/>
      <c r="AS47" s="378"/>
      <c r="AT47" s="378"/>
      <c r="AU47" s="378"/>
      <c r="AV47" s="378"/>
      <c r="AW47" s="378"/>
      <c r="AX47" s="378"/>
      <c r="AY47" s="378"/>
      <c r="AZ47" s="378"/>
      <c r="BA47" s="378"/>
      <c r="BB47" s="378"/>
      <c r="BC47" s="378"/>
      <c r="BD47" s="378"/>
      <c r="BE47" s="378"/>
      <c r="BF47" s="378"/>
      <c r="BG47" s="378"/>
      <c r="BH47" s="378"/>
      <c r="BI47" s="378"/>
      <c r="BJ47" s="378"/>
      <c r="BK47" s="378"/>
      <c r="BL47" s="393"/>
      <c r="BM47" s="393"/>
      <c r="BN47" s="393"/>
      <c r="BO47" s="382"/>
      <c r="BP47" s="382"/>
      <c r="BQ47" s="382"/>
      <c r="BR47" s="382"/>
      <c r="BS47" s="382"/>
      <c r="BT47" s="382"/>
      <c r="BU47" s="382"/>
      <c r="BV47" s="382"/>
      <c r="BW47" s="382"/>
      <c r="BX47" s="382"/>
      <c r="BY47" s="382"/>
      <c r="BZ47" s="382"/>
      <c r="CA47" s="382"/>
      <c r="CB47" s="382"/>
      <c r="CC47" s="382"/>
      <c r="CD47" s="382"/>
      <c r="CE47" s="382"/>
      <c r="CF47" s="382"/>
      <c r="CG47" s="382"/>
      <c r="CH47" s="382"/>
      <c r="CI47" s="382"/>
      <c r="CJ47" s="393"/>
      <c r="CK47" s="393"/>
      <c r="CL47" s="393"/>
      <c r="CM47" s="393"/>
      <c r="CN47" s="393"/>
      <c r="CO47" s="393"/>
      <c r="CP47" s="393"/>
      <c r="CQ47" s="393"/>
      <c r="CR47" s="393"/>
      <c r="CS47" s="393"/>
      <c r="CT47" s="393"/>
      <c r="CU47" s="393"/>
      <c r="CV47" s="393"/>
      <c r="CW47" s="393"/>
      <c r="CX47" s="393"/>
      <c r="CY47" s="394"/>
    </row>
    <row r="48" spans="2:128" ht="9.9499999999999993" customHeight="1" thickTop="1" thickBot="1" x14ac:dyDescent="0.3">
      <c r="B48" s="972"/>
      <c r="C48" s="841" t="str">
        <f>CONCATENATE("SEGURIDAD SOCIAL EMPRESA EJERCICIO ",YEAR(EXPEDIENTE!$F$25)+1)</f>
        <v>SEGURIDAD SOCIAL EMPRESA EJERCICIO 2026</v>
      </c>
      <c r="D48" s="841"/>
      <c r="E48" s="841"/>
      <c r="F48" s="841"/>
      <c r="G48" s="841"/>
      <c r="H48" s="841"/>
      <c r="I48" s="841"/>
      <c r="J48" s="841"/>
      <c r="K48" s="841"/>
      <c r="L48" s="841"/>
      <c r="M48" s="841"/>
      <c r="N48" s="353"/>
      <c r="O48" s="365"/>
      <c r="P48" s="365"/>
      <c r="Q48" s="365"/>
      <c r="R48" s="365"/>
      <c r="S48" s="365"/>
      <c r="T48" s="365"/>
      <c r="U48" s="365"/>
      <c r="V48" s="365"/>
      <c r="W48" s="365"/>
      <c r="X48" s="365"/>
      <c r="Y48" s="365"/>
      <c r="Z48" s="365"/>
      <c r="AA48" s="365"/>
      <c r="AB48" s="365"/>
      <c r="AC48" s="365"/>
      <c r="AD48" s="365"/>
      <c r="AE48" s="365"/>
      <c r="AF48" s="363"/>
      <c r="AL48" s="82"/>
      <c r="AM48" s="1014"/>
      <c r="AN48" s="843" t="str">
        <f>CONCATENATE("SEGURIDAD SOCIAL EMPRESA EJERCICIO ",YEAR(EXPEDIENTE!$F$25)+1)</f>
        <v>SEGURIDAD SOCIAL EMPRESA EJERCICIO 2026</v>
      </c>
      <c r="AO48" s="843"/>
      <c r="AP48" s="843"/>
      <c r="AQ48" s="843"/>
      <c r="AR48" s="843"/>
      <c r="AS48" s="843"/>
      <c r="AT48" s="843"/>
      <c r="AU48" s="843"/>
      <c r="AV48" s="843"/>
      <c r="AW48" s="843"/>
      <c r="AX48" s="843"/>
      <c r="AY48" s="843"/>
      <c r="AZ48" s="843"/>
      <c r="BA48" s="843"/>
      <c r="BB48" s="843"/>
      <c r="BC48" s="843"/>
      <c r="BD48" s="843"/>
      <c r="BE48" s="843"/>
      <c r="BF48" s="843"/>
      <c r="BG48" s="843"/>
      <c r="BH48" s="843"/>
      <c r="BI48" s="843"/>
      <c r="BJ48" s="843"/>
      <c r="BK48" s="843"/>
      <c r="BL48" s="843"/>
      <c r="BM48" s="843"/>
      <c r="BN48" s="843"/>
      <c r="BO48" s="843"/>
      <c r="BP48" s="843"/>
      <c r="BQ48" s="843"/>
      <c r="BR48" s="843"/>
      <c r="BS48" s="844"/>
      <c r="BT48" s="368"/>
      <c r="BU48" s="368"/>
      <c r="BV48" s="368"/>
      <c r="BW48" s="368"/>
      <c r="BX48" s="368"/>
      <c r="BY48" s="368"/>
      <c r="BZ48" s="368"/>
      <c r="CA48" s="368"/>
      <c r="CB48" s="368"/>
      <c r="CC48" s="368"/>
      <c r="CD48" s="368"/>
      <c r="CE48" s="368"/>
      <c r="CF48" s="368"/>
      <c r="CG48" s="368"/>
      <c r="CH48" s="368"/>
      <c r="CI48" s="368"/>
      <c r="CJ48" s="368"/>
      <c r="CK48" s="368"/>
      <c r="CL48" s="368"/>
      <c r="CM48" s="368"/>
      <c r="CN48" s="368"/>
      <c r="CO48" s="368"/>
      <c r="CP48" s="368"/>
      <c r="CQ48" s="368"/>
      <c r="CR48" s="368"/>
      <c r="CS48" s="368"/>
      <c r="CT48" s="368"/>
      <c r="CU48" s="368"/>
      <c r="CV48" s="368"/>
      <c r="CW48" s="368"/>
      <c r="CX48" s="368"/>
      <c r="CY48" s="368"/>
      <c r="CZ48" s="82"/>
    </row>
    <row r="49" spans="2:128" ht="24.95" customHeight="1" thickTop="1" thickBot="1" x14ac:dyDescent="0.3">
      <c r="B49" s="972"/>
      <c r="C49" s="842"/>
      <c r="D49" s="842"/>
      <c r="E49" s="842"/>
      <c r="F49" s="842"/>
      <c r="G49" s="842"/>
      <c r="H49" s="842"/>
      <c r="I49" s="842"/>
      <c r="J49" s="842"/>
      <c r="K49" s="842"/>
      <c r="L49" s="842"/>
      <c r="M49" s="842"/>
      <c r="N49" s="362"/>
      <c r="AM49" s="1014"/>
      <c r="AN49" s="845"/>
      <c r="AO49" s="845"/>
      <c r="AP49" s="845"/>
      <c r="AQ49" s="845"/>
      <c r="AR49" s="845"/>
      <c r="AS49" s="845"/>
      <c r="AT49" s="845"/>
      <c r="AU49" s="845"/>
      <c r="AV49" s="845"/>
      <c r="AW49" s="845"/>
      <c r="AX49" s="845"/>
      <c r="AY49" s="845"/>
      <c r="AZ49" s="845"/>
      <c r="BA49" s="845"/>
      <c r="BB49" s="845"/>
      <c r="BC49" s="845"/>
      <c r="BD49" s="845"/>
      <c r="BE49" s="845"/>
      <c r="BF49" s="845"/>
      <c r="BG49" s="845"/>
      <c r="BH49" s="845"/>
      <c r="BI49" s="845"/>
      <c r="BJ49" s="845"/>
      <c r="BK49" s="845"/>
      <c r="BL49" s="845"/>
      <c r="BM49" s="845"/>
      <c r="BN49" s="845"/>
      <c r="BO49" s="845"/>
      <c r="BP49" s="845"/>
      <c r="BQ49" s="845"/>
      <c r="BR49" s="845"/>
      <c r="BS49" s="846"/>
      <c r="CY49" s="81"/>
      <c r="CZ49" s="53"/>
      <c r="DB49" s="47"/>
    </row>
    <row r="50" spans="2:128" ht="20.100000000000001" customHeight="1" thickTop="1" thickBot="1" x14ac:dyDescent="0.3">
      <c r="B50" s="972"/>
      <c r="C50" s="987" t="s">
        <v>91</v>
      </c>
      <c r="D50" s="989" t="str">
        <f>IF(OR(SUM(T20:T31)&gt;0,SUM(T38:T45)&gt;0),"BASE
COTIZACIÓN
SUBVENCIO.","BASE
COTIZACIÓN")</f>
        <v>BASE
COTIZACIÓN</v>
      </c>
      <c r="E50" s="989" t="s">
        <v>291</v>
      </c>
      <c r="F50" s="989" t="s">
        <v>292</v>
      </c>
      <c r="G50" s="989" t="s">
        <v>293</v>
      </c>
      <c r="H50" s="989" t="s">
        <v>294</v>
      </c>
      <c r="I50" s="1043" t="s">
        <v>295</v>
      </c>
      <c r="J50" s="992" t="s">
        <v>204</v>
      </c>
      <c r="K50" s="993"/>
      <c r="L50" s="993"/>
      <c r="M50" s="994"/>
      <c r="N50" s="362"/>
      <c r="AM50" s="1014"/>
      <c r="AN50" s="853" t="s">
        <v>91</v>
      </c>
      <c r="AO50" s="1016" t="s">
        <v>296</v>
      </c>
      <c r="AP50" s="1017"/>
      <c r="AQ50" s="1018"/>
      <c r="AR50" s="923" t="s">
        <v>291</v>
      </c>
      <c r="AS50" s="855"/>
      <c r="AT50" s="856"/>
      <c r="AU50" s="834" t="s">
        <v>297</v>
      </c>
      <c r="AV50" s="835"/>
      <c r="AW50" s="836"/>
      <c r="AX50" s="834" t="s">
        <v>298</v>
      </c>
      <c r="AY50" s="835"/>
      <c r="AZ50" s="836"/>
      <c r="BA50" s="923" t="s">
        <v>294</v>
      </c>
      <c r="BB50" s="855"/>
      <c r="BC50" s="856"/>
      <c r="BD50" s="834" t="s">
        <v>299</v>
      </c>
      <c r="BE50" s="835"/>
      <c r="BF50" s="836"/>
      <c r="BG50" s="847" t="s">
        <v>212</v>
      </c>
      <c r="BH50" s="871" t="s">
        <v>213</v>
      </c>
      <c r="BI50" s="872"/>
      <c r="BJ50" s="872"/>
      <c r="BK50" s="872"/>
      <c r="BL50" s="872"/>
      <c r="BM50" s="872"/>
      <c r="BN50" s="872"/>
      <c r="BO50" s="872"/>
      <c r="BP50" s="872"/>
      <c r="BQ50" s="872"/>
      <c r="BR50" s="872"/>
      <c r="BS50" s="873"/>
      <c r="DA50" s="47"/>
      <c r="DB50" s="47"/>
      <c r="DC50" s="53"/>
    </row>
    <row r="51" spans="2:128" ht="50.1" customHeight="1" thickBot="1" x14ac:dyDescent="0.3">
      <c r="B51" s="972"/>
      <c r="C51" s="988"/>
      <c r="D51" s="899"/>
      <c r="E51" s="899"/>
      <c r="F51" s="899"/>
      <c r="G51" s="899"/>
      <c r="H51" s="899"/>
      <c r="I51" s="901"/>
      <c r="J51" s="995"/>
      <c r="K51" s="996"/>
      <c r="L51" s="996"/>
      <c r="M51" s="997"/>
      <c r="N51" s="357"/>
      <c r="AM51" s="1014"/>
      <c r="AN51" s="854"/>
      <c r="AO51" s="149" t="s">
        <v>161</v>
      </c>
      <c r="AP51" s="557" t="s">
        <v>68</v>
      </c>
      <c r="AQ51" s="150" t="s">
        <v>162</v>
      </c>
      <c r="AR51" s="924"/>
      <c r="AS51" s="855"/>
      <c r="AT51" s="856"/>
      <c r="AU51" s="276" t="s">
        <v>161</v>
      </c>
      <c r="AV51" s="561" t="s">
        <v>68</v>
      </c>
      <c r="AW51" s="277" t="s">
        <v>162</v>
      </c>
      <c r="AX51" s="276" t="s">
        <v>161</v>
      </c>
      <c r="AY51" s="562" t="s">
        <v>68</v>
      </c>
      <c r="AZ51" s="277" t="s">
        <v>162</v>
      </c>
      <c r="BA51" s="924"/>
      <c r="BB51" s="855"/>
      <c r="BC51" s="856"/>
      <c r="BD51" s="276" t="s">
        <v>161</v>
      </c>
      <c r="BE51" s="562" t="s">
        <v>68</v>
      </c>
      <c r="BF51" s="277" t="s">
        <v>162</v>
      </c>
      <c r="BG51" s="848"/>
      <c r="BH51" s="874"/>
      <c r="BI51" s="875"/>
      <c r="BJ51" s="875"/>
      <c r="BK51" s="875"/>
      <c r="BL51" s="875"/>
      <c r="BM51" s="875"/>
      <c r="BN51" s="875"/>
      <c r="BO51" s="875"/>
      <c r="BP51" s="875"/>
      <c r="BQ51" s="875"/>
      <c r="BR51" s="875"/>
      <c r="BS51" s="876"/>
      <c r="DA51" s="47"/>
      <c r="DB51" s="47"/>
      <c r="DD51" s="55" t="s">
        <v>164</v>
      </c>
      <c r="DE51" s="55" t="s">
        <v>300</v>
      </c>
      <c r="DF51" s="55" t="s">
        <v>166</v>
      </c>
      <c r="DG51" s="55" t="s">
        <v>167</v>
      </c>
      <c r="DH51" s="55" t="s">
        <v>169</v>
      </c>
      <c r="DU51" s="47"/>
    </row>
    <row r="52" spans="2:128" ht="30" customHeight="1" x14ac:dyDescent="0.25">
      <c r="B52" s="972"/>
      <c r="C52" s="389" t="s">
        <v>270</v>
      </c>
      <c r="D52" s="160"/>
      <c r="E52" s="203">
        <f>ROUND(D52*$F$15,2)</f>
        <v>0</v>
      </c>
      <c r="F52" s="160"/>
      <c r="G52" s="160"/>
      <c r="H52" s="699">
        <f>E52+F52-G52</f>
        <v>0</v>
      </c>
      <c r="I52" s="342"/>
      <c r="J52" s="1006"/>
      <c r="K52" s="1007"/>
      <c r="L52" s="1007"/>
      <c r="M52" s="1008"/>
      <c r="N52" s="357"/>
      <c r="P52" s="837" t="str">
        <f>IF(OR(SUM(T20:T31)&gt;0,SUM(T38:T45)&gt;0),"NOTA:
Se ha minorado el importe subvencionable de alguna de las nóminas del ejercicio.
En consecuencia, en la columna:
''BASE
COTIZACIÓN
SUBVENCIO.''
se deberá reflejar la base de cotización mensual restándole dicha minoración.","")</f>
        <v/>
      </c>
      <c r="Q52" s="837"/>
      <c r="AG52" s="53">
        <f>IF(AND(I52&lt;&gt;"",OR(I52&lt;EXPEDIENTE!$I$25,I52&gt;EXPEDIENTE!$I$29)),1,0)</f>
        <v>0</v>
      </c>
      <c r="AI52" s="53">
        <f>IF(DATE(YEAR(EXPEDIENTE!$I$25)+1,MONTH(DATEVALUE($C52&amp;"1")),1)&gt;=DATE(YEAR(EXPEDIENTE!$I$25),MONTH(EXPEDIENTE!$I$25),1),0,1)</f>
        <v>0</v>
      </c>
      <c r="AJ52" s="53" t="e">
        <f>IF(DATE(YEAR(EXPEDIENTE!$I$25)+1,MONTH(DATEVALUE($C52&amp;"1")),1)&lt;=DATE(YEAR(EXPEDIENTE!$I$27),MONTH(EXPEDIENTE!$I$27),1),0,1)</f>
        <v>#VALUE!</v>
      </c>
      <c r="AK52" s="53" t="e">
        <f>SUM(AI52:AJ52)</f>
        <v>#VALUE!</v>
      </c>
      <c r="AM52" s="1014"/>
      <c r="AN52" s="387" t="s">
        <v>270</v>
      </c>
      <c r="AO52" s="179">
        <f>IF(D52="",0,D52)</f>
        <v>0</v>
      </c>
      <c r="AP52" s="180"/>
      <c r="AQ52" s="181">
        <f>IF(AP52="",AO52,AP52)</f>
        <v>0</v>
      </c>
      <c r="AR52" s="183">
        <f t="shared" ref="AR52:AR63" si="142">IFERROR(ROUND(AQ52*$AT$15,2),0)</f>
        <v>0</v>
      </c>
      <c r="AS52" s="855"/>
      <c r="AT52" s="856"/>
      <c r="AU52" s="179">
        <f>IF(F52="",0,F52)</f>
        <v>0</v>
      </c>
      <c r="AV52" s="180"/>
      <c r="AW52" s="181">
        <f>IF(AV52="",AU52,AV52)</f>
        <v>0</v>
      </c>
      <c r="AX52" s="170">
        <f>IF(G52="",0,G52)</f>
        <v>0</v>
      </c>
      <c r="AY52" s="173"/>
      <c r="AZ52" s="262">
        <f>IF(AY52="",AX52,AY52)</f>
        <v>0</v>
      </c>
      <c r="BA52" s="278">
        <f t="shared" ref="BA52:BA63" si="143">IFERROR(AR52+AW52-AZ52,0)</f>
        <v>0</v>
      </c>
      <c r="BB52" s="855"/>
      <c r="BC52" s="856"/>
      <c r="BD52" s="252" t="str">
        <f>IF(I52="","",I52)</f>
        <v/>
      </c>
      <c r="BE52" s="259"/>
      <c r="BF52" s="254" t="str">
        <f>IF(BE52="",BD52,BE52)</f>
        <v/>
      </c>
      <c r="BG52" s="191" t="str">
        <f>IF(DD52=0,"",DD52)</f>
        <v/>
      </c>
      <c r="BH52" s="880"/>
      <c r="BI52" s="881"/>
      <c r="BJ52" s="881"/>
      <c r="BK52" s="881"/>
      <c r="BL52" s="881"/>
      <c r="BM52" s="881"/>
      <c r="BN52" s="881"/>
      <c r="BO52" s="881"/>
      <c r="BP52" s="881"/>
      <c r="BQ52" s="881"/>
      <c r="BR52" s="881"/>
      <c r="BS52" s="882"/>
      <c r="DA52" s="53">
        <f>IF(AND(BE52&lt;&gt;"",OR(BE52&lt;EXPEDIENTE!$I$25,BE52&gt;EXPEDIENTE!$I$29)),1,0)</f>
        <v>0</v>
      </c>
      <c r="DB52" s="47"/>
      <c r="DD52" s="55">
        <f t="shared" ref="DD52:DD63" si="144">SUM(DE52:DT52)</f>
        <v>0</v>
      </c>
      <c r="DE52" s="55">
        <f>IF(AP52="",0,1)</f>
        <v>0</v>
      </c>
      <c r="DF52" s="55">
        <f>IF(AV52="",0,1)</f>
        <v>0</v>
      </c>
      <c r="DG52" s="55">
        <f>IF(AY52="",0,1)</f>
        <v>0</v>
      </c>
      <c r="DH52" s="55">
        <f t="shared" ref="DH52:DH63" si="145">IF(BE52="",0,1)</f>
        <v>0</v>
      </c>
      <c r="DU52" s="47"/>
      <c r="DW52" s="55">
        <f>IF(BH52&lt;&gt;"",MAX($DW$9:DW51)+1,0)</f>
        <v>0</v>
      </c>
      <c r="DX52" s="130" t="str">
        <f>IF(DW52=0,"",BH52)</f>
        <v/>
      </c>
    </row>
    <row r="53" spans="2:128" ht="30" customHeight="1" x14ac:dyDescent="0.25">
      <c r="B53" s="972"/>
      <c r="C53" s="390" t="s">
        <v>271</v>
      </c>
      <c r="D53" s="195"/>
      <c r="E53" s="203">
        <f t="shared" ref="E53:E63" si="146">ROUND(D53*$F$15,2)</f>
        <v>0</v>
      </c>
      <c r="F53" s="195"/>
      <c r="G53" s="195"/>
      <c r="H53" s="692">
        <f t="shared" ref="H53:H63" si="147">E53+F53-G53</f>
        <v>0</v>
      </c>
      <c r="I53" s="343"/>
      <c r="J53" s="1001"/>
      <c r="K53" s="1002"/>
      <c r="L53" s="1002"/>
      <c r="M53" s="1003"/>
      <c r="N53" s="357"/>
      <c r="O53" s="633"/>
      <c r="P53" s="837"/>
      <c r="Q53" s="837"/>
      <c r="AG53" s="53">
        <f>IF(AND(I53&lt;&gt;"",OR(I53&lt;EXPEDIENTE!$I$25,I53&gt;EXPEDIENTE!$I$29)),1,0)</f>
        <v>0</v>
      </c>
      <c r="AI53" s="53">
        <f>IF(DATE(YEAR(EXPEDIENTE!$I$25)+1,MONTH(DATEVALUE($C53&amp;"1")),1)&gt;=DATE(YEAR(EXPEDIENTE!$I$25),MONTH(EXPEDIENTE!$I$25),1),0,1)</f>
        <v>0</v>
      </c>
      <c r="AJ53" s="53" t="e">
        <f>IF(DATE(YEAR(EXPEDIENTE!$I$25)+1,MONTH(DATEVALUE($C53&amp;"1")),1)&lt;=DATE(YEAR(EXPEDIENTE!$I$27),MONTH(EXPEDIENTE!$I$27),1),0,1)</f>
        <v>#VALUE!</v>
      </c>
      <c r="AK53" s="53" t="e">
        <f t="shared" ref="AK53:AK63" si="148">SUM(AI53:AJ53)</f>
        <v>#VALUE!</v>
      </c>
      <c r="AM53" s="1014"/>
      <c r="AN53" s="388" t="s">
        <v>271</v>
      </c>
      <c r="AO53" s="200">
        <f>IF(D53="",0,D53)</f>
        <v>0</v>
      </c>
      <c r="AP53" s="203"/>
      <c r="AQ53" s="207">
        <f t="shared" ref="AQ53:AQ63" si="149">IF(AP53="",AO53,AP53)</f>
        <v>0</v>
      </c>
      <c r="AR53" s="208">
        <f t="shared" si="142"/>
        <v>0</v>
      </c>
      <c r="AS53" s="855"/>
      <c r="AT53" s="856"/>
      <c r="AU53" s="200">
        <f>IF(F53="",0,F53)</f>
        <v>0</v>
      </c>
      <c r="AV53" s="203"/>
      <c r="AW53" s="207">
        <f t="shared" ref="AW53:AW63" si="150">IF(AV53="",AU53,AV53)</f>
        <v>0</v>
      </c>
      <c r="AX53" s="200">
        <f>IF(G53="",0,G53)</f>
        <v>0</v>
      </c>
      <c r="AY53" s="203"/>
      <c r="AZ53" s="207">
        <f t="shared" ref="AZ53:AZ63" si="151">IF(AY53="",AX53,AY53)</f>
        <v>0</v>
      </c>
      <c r="BA53" s="279">
        <f t="shared" si="143"/>
        <v>0</v>
      </c>
      <c r="BB53" s="855"/>
      <c r="BC53" s="856"/>
      <c r="BD53" s="185" t="str">
        <f>IF(I53="","",I53)</f>
        <v/>
      </c>
      <c r="BE53" s="253"/>
      <c r="BF53" s="187" t="str">
        <f t="shared" ref="BF53:BF63" si="152">IF(BE53="",BD53,BE53)</f>
        <v/>
      </c>
      <c r="BG53" s="280" t="str">
        <f t="shared" ref="BG53:BG63" si="153">IF(DD53=0,"",DD53)</f>
        <v/>
      </c>
      <c r="BH53" s="868"/>
      <c r="BI53" s="869"/>
      <c r="BJ53" s="869"/>
      <c r="BK53" s="869"/>
      <c r="BL53" s="869"/>
      <c r="BM53" s="869"/>
      <c r="BN53" s="869"/>
      <c r="BO53" s="869"/>
      <c r="BP53" s="869"/>
      <c r="BQ53" s="869"/>
      <c r="BR53" s="869"/>
      <c r="BS53" s="870"/>
      <c r="DA53" s="53">
        <f>IF(AND(BE53&lt;&gt;"",OR(BE53&lt;EXPEDIENTE!$I$25,BE53&gt;EXPEDIENTE!$I$29)),1,0)</f>
        <v>0</v>
      </c>
      <c r="DB53" s="47"/>
      <c r="DD53" s="55">
        <f t="shared" si="144"/>
        <v>0</v>
      </c>
      <c r="DE53" s="55">
        <f t="shared" ref="DE53:DE63" si="154">IF(AP53="",0,1)</f>
        <v>0</v>
      </c>
      <c r="DF53" s="55">
        <f t="shared" ref="DF53:DF63" si="155">IF(AV53="",0,1)</f>
        <v>0</v>
      </c>
      <c r="DG53" s="55">
        <f t="shared" ref="DG53:DG63" si="156">IF(AY53="",0,1)</f>
        <v>0</v>
      </c>
      <c r="DH53" s="55">
        <f t="shared" si="145"/>
        <v>0</v>
      </c>
      <c r="DU53" s="47"/>
      <c r="DW53" s="55">
        <f>IF(BH53&lt;&gt;"",MAX($DW$9:DW52)+1,0)</f>
        <v>0</v>
      </c>
      <c r="DX53" s="130" t="str">
        <f t="shared" ref="DX53:DX63" si="157">IF(DW53=0,"",BH53)</f>
        <v/>
      </c>
    </row>
    <row r="54" spans="2:128" ht="30" customHeight="1" x14ac:dyDescent="0.25">
      <c r="B54" s="972"/>
      <c r="C54" s="390" t="s">
        <v>272</v>
      </c>
      <c r="D54" s="195"/>
      <c r="E54" s="203">
        <f t="shared" si="146"/>
        <v>0</v>
      </c>
      <c r="F54" s="195"/>
      <c r="G54" s="195"/>
      <c r="H54" s="692">
        <f t="shared" si="147"/>
        <v>0</v>
      </c>
      <c r="I54" s="343"/>
      <c r="J54" s="1001"/>
      <c r="K54" s="1002"/>
      <c r="L54" s="1002"/>
      <c r="M54" s="1003"/>
      <c r="N54" s="364"/>
      <c r="O54" s="633"/>
      <c r="P54" s="837"/>
      <c r="Q54" s="837"/>
      <c r="AG54" s="53">
        <f>IF(AND(I54&lt;&gt;"",OR(I54&lt;EXPEDIENTE!$I$25,I54&gt;EXPEDIENTE!$I$29)),1,0)</f>
        <v>0</v>
      </c>
      <c r="AI54" s="53">
        <f>IF(DATE(YEAR(EXPEDIENTE!$I$25)+1,MONTH(DATEVALUE($C54&amp;"1")),1)&gt;=DATE(YEAR(EXPEDIENTE!$I$25),MONTH(EXPEDIENTE!$I$25),1),0,1)</f>
        <v>0</v>
      </c>
      <c r="AJ54" s="53" t="e">
        <f>IF(DATE(YEAR(EXPEDIENTE!$I$25)+1,MONTH(DATEVALUE($C54&amp;"1")),1)&lt;=DATE(YEAR(EXPEDIENTE!$I$27),MONTH(EXPEDIENTE!$I$27),1),0,1)</f>
        <v>#VALUE!</v>
      </c>
      <c r="AK54" s="53" t="e">
        <f t="shared" si="148"/>
        <v>#VALUE!</v>
      </c>
      <c r="AM54" s="1014"/>
      <c r="AN54" s="388" t="s">
        <v>272</v>
      </c>
      <c r="AO54" s="200">
        <f t="shared" ref="AO54:AO62" si="158">IF(D54="",0,D54)</f>
        <v>0</v>
      </c>
      <c r="AP54" s="203"/>
      <c r="AQ54" s="207">
        <f t="shared" si="149"/>
        <v>0</v>
      </c>
      <c r="AR54" s="208">
        <f t="shared" si="142"/>
        <v>0</v>
      </c>
      <c r="AS54" s="855"/>
      <c r="AT54" s="856"/>
      <c r="AU54" s="200">
        <f t="shared" ref="AU54:AU63" si="159">IF(F54="",0,F54)</f>
        <v>0</v>
      </c>
      <c r="AV54" s="203"/>
      <c r="AW54" s="207">
        <f t="shared" si="150"/>
        <v>0</v>
      </c>
      <c r="AX54" s="200">
        <f t="shared" ref="AX54:AX63" si="160">IF(G54="",0,G54)</f>
        <v>0</v>
      </c>
      <c r="AY54" s="203"/>
      <c r="AZ54" s="207">
        <f t="shared" si="151"/>
        <v>0</v>
      </c>
      <c r="BA54" s="279">
        <f t="shared" si="143"/>
        <v>0</v>
      </c>
      <c r="BB54" s="855"/>
      <c r="BC54" s="856"/>
      <c r="BD54" s="185" t="str">
        <f t="shared" ref="BD54:BD63" si="161">IF(I54="","",I54)</f>
        <v/>
      </c>
      <c r="BE54" s="253"/>
      <c r="BF54" s="187" t="str">
        <f t="shared" si="152"/>
        <v/>
      </c>
      <c r="BG54" s="280" t="str">
        <f t="shared" si="153"/>
        <v/>
      </c>
      <c r="BH54" s="868"/>
      <c r="BI54" s="869"/>
      <c r="BJ54" s="869"/>
      <c r="BK54" s="869"/>
      <c r="BL54" s="869"/>
      <c r="BM54" s="869"/>
      <c r="BN54" s="869"/>
      <c r="BO54" s="869"/>
      <c r="BP54" s="869"/>
      <c r="BQ54" s="869"/>
      <c r="BR54" s="869"/>
      <c r="BS54" s="870"/>
      <c r="DA54" s="53">
        <f>IF(AND(BE54&lt;&gt;"",OR(BE54&lt;EXPEDIENTE!$I$25,BE54&gt;EXPEDIENTE!$I$29)),1,0)</f>
        <v>0</v>
      </c>
      <c r="DB54" s="47"/>
      <c r="DD54" s="55">
        <f t="shared" si="144"/>
        <v>0</v>
      </c>
      <c r="DE54" s="55">
        <f t="shared" si="154"/>
        <v>0</v>
      </c>
      <c r="DF54" s="55">
        <f t="shared" si="155"/>
        <v>0</v>
      </c>
      <c r="DG54" s="55">
        <f t="shared" si="156"/>
        <v>0</v>
      </c>
      <c r="DH54" s="55">
        <f t="shared" si="145"/>
        <v>0</v>
      </c>
      <c r="DU54" s="47"/>
      <c r="DW54" s="55">
        <f>IF(BH54&lt;&gt;"",MAX($DW$9:DW53)+1,0)</f>
        <v>0</v>
      </c>
      <c r="DX54" s="130" t="str">
        <f t="shared" si="157"/>
        <v/>
      </c>
    </row>
    <row r="55" spans="2:128" ht="30" customHeight="1" x14ac:dyDescent="0.25">
      <c r="B55" s="972"/>
      <c r="C55" s="390" t="s">
        <v>273</v>
      </c>
      <c r="D55" s="195"/>
      <c r="E55" s="203">
        <f t="shared" si="146"/>
        <v>0</v>
      </c>
      <c r="F55" s="195"/>
      <c r="G55" s="195"/>
      <c r="H55" s="692">
        <f t="shared" si="147"/>
        <v>0</v>
      </c>
      <c r="I55" s="343"/>
      <c r="J55" s="1001"/>
      <c r="K55" s="1002"/>
      <c r="L55" s="1002"/>
      <c r="M55" s="1003"/>
      <c r="N55" s="364"/>
      <c r="O55" s="633"/>
      <c r="P55" s="837"/>
      <c r="Q55" s="837"/>
      <c r="AG55" s="53">
        <f>IF(AND(I55&lt;&gt;"",OR(I55&lt;EXPEDIENTE!$I$25,I55&gt;EXPEDIENTE!$I$29)),1,0)</f>
        <v>0</v>
      </c>
      <c r="AI55" s="53">
        <f>IF(DATE(YEAR(EXPEDIENTE!$I$25)+1,MONTH(DATEVALUE($C55&amp;"1")),1)&gt;=DATE(YEAR(EXPEDIENTE!$I$25),MONTH(EXPEDIENTE!$I$25),1),0,1)</f>
        <v>0</v>
      </c>
      <c r="AJ55" s="53" t="e">
        <f>IF(DATE(YEAR(EXPEDIENTE!$I$25)+1,MONTH(DATEVALUE($C55&amp;"1")),1)&lt;=DATE(YEAR(EXPEDIENTE!$I$27),MONTH(EXPEDIENTE!$I$27),1),0,1)</f>
        <v>#VALUE!</v>
      </c>
      <c r="AK55" s="53" t="e">
        <f t="shared" si="148"/>
        <v>#VALUE!</v>
      </c>
      <c r="AM55" s="1014"/>
      <c r="AN55" s="388" t="s">
        <v>273</v>
      </c>
      <c r="AO55" s="200">
        <f t="shared" si="158"/>
        <v>0</v>
      </c>
      <c r="AP55" s="203"/>
      <c r="AQ55" s="207">
        <f t="shared" si="149"/>
        <v>0</v>
      </c>
      <c r="AR55" s="208">
        <f t="shared" si="142"/>
        <v>0</v>
      </c>
      <c r="AS55" s="855"/>
      <c r="AT55" s="856"/>
      <c r="AU55" s="200">
        <f t="shared" si="159"/>
        <v>0</v>
      </c>
      <c r="AV55" s="203"/>
      <c r="AW55" s="207">
        <f t="shared" si="150"/>
        <v>0</v>
      </c>
      <c r="AX55" s="200">
        <f t="shared" si="160"/>
        <v>0</v>
      </c>
      <c r="AY55" s="203"/>
      <c r="AZ55" s="207">
        <f t="shared" si="151"/>
        <v>0</v>
      </c>
      <c r="BA55" s="279">
        <f t="shared" si="143"/>
        <v>0</v>
      </c>
      <c r="BB55" s="855"/>
      <c r="BC55" s="856"/>
      <c r="BD55" s="185" t="str">
        <f t="shared" si="161"/>
        <v/>
      </c>
      <c r="BE55" s="253"/>
      <c r="BF55" s="187" t="str">
        <f t="shared" si="152"/>
        <v/>
      </c>
      <c r="BG55" s="280" t="str">
        <f t="shared" si="153"/>
        <v/>
      </c>
      <c r="BH55" s="868"/>
      <c r="BI55" s="869"/>
      <c r="BJ55" s="869"/>
      <c r="BK55" s="869"/>
      <c r="BL55" s="869"/>
      <c r="BM55" s="869"/>
      <c r="BN55" s="869"/>
      <c r="BO55" s="869"/>
      <c r="BP55" s="869"/>
      <c r="BQ55" s="869"/>
      <c r="BR55" s="869"/>
      <c r="BS55" s="870"/>
      <c r="DA55" s="53">
        <f>IF(AND(BE55&lt;&gt;"",OR(BE55&lt;EXPEDIENTE!$I$25,BE55&gt;EXPEDIENTE!$I$29)),1,0)</f>
        <v>0</v>
      </c>
      <c r="DB55" s="47"/>
      <c r="DD55" s="55">
        <f t="shared" si="144"/>
        <v>0</v>
      </c>
      <c r="DE55" s="55">
        <f t="shared" si="154"/>
        <v>0</v>
      </c>
      <c r="DF55" s="55">
        <f t="shared" si="155"/>
        <v>0</v>
      </c>
      <c r="DG55" s="55">
        <f t="shared" si="156"/>
        <v>0</v>
      </c>
      <c r="DH55" s="55">
        <f t="shared" si="145"/>
        <v>0</v>
      </c>
      <c r="DU55" s="47"/>
      <c r="DW55" s="55">
        <f>IF(BH55&lt;&gt;"",MAX($DW$9:DW54)+1,0)</f>
        <v>0</v>
      </c>
      <c r="DX55" s="130" t="str">
        <f t="shared" si="157"/>
        <v/>
      </c>
    </row>
    <row r="56" spans="2:128" ht="30" customHeight="1" x14ac:dyDescent="0.25">
      <c r="B56" s="972"/>
      <c r="C56" s="390" t="s">
        <v>274</v>
      </c>
      <c r="D56" s="195"/>
      <c r="E56" s="203">
        <f t="shared" si="146"/>
        <v>0</v>
      </c>
      <c r="F56" s="195"/>
      <c r="G56" s="195"/>
      <c r="H56" s="692">
        <f t="shared" si="147"/>
        <v>0</v>
      </c>
      <c r="I56" s="343"/>
      <c r="J56" s="1001"/>
      <c r="K56" s="1002"/>
      <c r="L56" s="1002"/>
      <c r="M56" s="1003"/>
      <c r="N56" s="364"/>
      <c r="O56" s="633"/>
      <c r="P56" s="837"/>
      <c r="Q56" s="837"/>
      <c r="AG56" s="53">
        <f>IF(AND(I56&lt;&gt;"",OR(I56&lt;EXPEDIENTE!$I$25,I56&gt;EXPEDIENTE!$I$29)),1,0)</f>
        <v>0</v>
      </c>
      <c r="AI56" s="53">
        <f>IF(DATE(YEAR(EXPEDIENTE!$I$25)+1,MONTH(DATEVALUE($C56&amp;"1")),1)&gt;=DATE(YEAR(EXPEDIENTE!$I$25),MONTH(EXPEDIENTE!$I$25),1),0,1)</f>
        <v>0</v>
      </c>
      <c r="AJ56" s="53" t="e">
        <f>IF(DATE(YEAR(EXPEDIENTE!$I$25)+1,MONTH(DATEVALUE($C56&amp;"1")),1)&lt;=DATE(YEAR(EXPEDIENTE!$I$27),MONTH(EXPEDIENTE!$I$27),1),0,1)</f>
        <v>#VALUE!</v>
      </c>
      <c r="AK56" s="53" t="e">
        <f t="shared" si="148"/>
        <v>#VALUE!</v>
      </c>
      <c r="AM56" s="1014"/>
      <c r="AN56" s="388" t="s">
        <v>274</v>
      </c>
      <c r="AO56" s="200">
        <f t="shared" si="158"/>
        <v>0</v>
      </c>
      <c r="AP56" s="203"/>
      <c r="AQ56" s="207">
        <f t="shared" si="149"/>
        <v>0</v>
      </c>
      <c r="AR56" s="208">
        <f t="shared" si="142"/>
        <v>0</v>
      </c>
      <c r="AS56" s="855"/>
      <c r="AT56" s="856"/>
      <c r="AU56" s="200">
        <f t="shared" si="159"/>
        <v>0</v>
      </c>
      <c r="AV56" s="203"/>
      <c r="AW56" s="207">
        <f t="shared" si="150"/>
        <v>0</v>
      </c>
      <c r="AX56" s="200">
        <f t="shared" si="160"/>
        <v>0</v>
      </c>
      <c r="AY56" s="203"/>
      <c r="AZ56" s="207">
        <f t="shared" si="151"/>
        <v>0</v>
      </c>
      <c r="BA56" s="279">
        <f t="shared" si="143"/>
        <v>0</v>
      </c>
      <c r="BB56" s="855"/>
      <c r="BC56" s="856"/>
      <c r="BD56" s="185" t="str">
        <f t="shared" si="161"/>
        <v/>
      </c>
      <c r="BE56" s="253"/>
      <c r="BF56" s="187" t="str">
        <f t="shared" si="152"/>
        <v/>
      </c>
      <c r="BG56" s="280" t="str">
        <f t="shared" si="153"/>
        <v/>
      </c>
      <c r="BH56" s="868"/>
      <c r="BI56" s="869"/>
      <c r="BJ56" s="869"/>
      <c r="BK56" s="869"/>
      <c r="BL56" s="869"/>
      <c r="BM56" s="869"/>
      <c r="BN56" s="869"/>
      <c r="BO56" s="869"/>
      <c r="BP56" s="869"/>
      <c r="BQ56" s="869"/>
      <c r="BR56" s="869"/>
      <c r="BS56" s="870"/>
      <c r="DA56" s="53">
        <f>IF(AND(BE56&lt;&gt;"",OR(BE56&lt;EXPEDIENTE!$I$25,BE56&gt;EXPEDIENTE!$I$29)),1,0)</f>
        <v>0</v>
      </c>
      <c r="DB56" s="47"/>
      <c r="DD56" s="55">
        <f t="shared" si="144"/>
        <v>0</v>
      </c>
      <c r="DE56" s="55">
        <f t="shared" si="154"/>
        <v>0</v>
      </c>
      <c r="DF56" s="55">
        <f t="shared" si="155"/>
        <v>0</v>
      </c>
      <c r="DG56" s="55">
        <f t="shared" si="156"/>
        <v>0</v>
      </c>
      <c r="DH56" s="55">
        <f t="shared" si="145"/>
        <v>0</v>
      </c>
      <c r="DU56" s="47"/>
      <c r="DW56" s="55">
        <f>IF(BH56&lt;&gt;"",MAX($DW$9:DW55)+1,0)</f>
        <v>0</v>
      </c>
      <c r="DX56" s="130" t="str">
        <f t="shared" si="157"/>
        <v/>
      </c>
    </row>
    <row r="57" spans="2:128" ht="30" customHeight="1" x14ac:dyDescent="0.25">
      <c r="B57" s="972"/>
      <c r="C57" s="390" t="s">
        <v>275</v>
      </c>
      <c r="D57" s="195"/>
      <c r="E57" s="203">
        <f t="shared" si="146"/>
        <v>0</v>
      </c>
      <c r="F57" s="195"/>
      <c r="G57" s="195"/>
      <c r="H57" s="692">
        <f t="shared" si="147"/>
        <v>0</v>
      </c>
      <c r="I57" s="343"/>
      <c r="J57" s="1001"/>
      <c r="K57" s="1002"/>
      <c r="L57" s="1002"/>
      <c r="M57" s="1003"/>
      <c r="N57" s="364"/>
      <c r="O57" s="633"/>
      <c r="P57" s="837"/>
      <c r="Q57" s="837"/>
      <c r="AG57" s="53">
        <f>IF(AND(I57&lt;&gt;"",OR(I57&lt;EXPEDIENTE!$I$25,I57&gt;EXPEDIENTE!$I$29)),1,0)</f>
        <v>0</v>
      </c>
      <c r="AI57" s="53">
        <f>IF(DATE(YEAR(EXPEDIENTE!$I$25)+1,MONTH(DATEVALUE($C57&amp;"1")),1)&gt;=DATE(YEAR(EXPEDIENTE!$I$25),MONTH(EXPEDIENTE!$I$25),1),0,1)</f>
        <v>0</v>
      </c>
      <c r="AJ57" s="53" t="e">
        <f>IF(DATE(YEAR(EXPEDIENTE!$I$25)+1,MONTH(DATEVALUE($C57&amp;"1")),1)&lt;=DATE(YEAR(EXPEDIENTE!$I$27),MONTH(EXPEDIENTE!$I$27),1),0,1)</f>
        <v>#VALUE!</v>
      </c>
      <c r="AK57" s="53" t="e">
        <f t="shared" si="148"/>
        <v>#VALUE!</v>
      </c>
      <c r="AM57" s="1014"/>
      <c r="AN57" s="388" t="s">
        <v>275</v>
      </c>
      <c r="AO57" s="200">
        <f t="shared" si="158"/>
        <v>0</v>
      </c>
      <c r="AP57" s="203"/>
      <c r="AQ57" s="207">
        <f t="shared" si="149"/>
        <v>0</v>
      </c>
      <c r="AR57" s="208">
        <f t="shared" si="142"/>
        <v>0</v>
      </c>
      <c r="AS57" s="855"/>
      <c r="AT57" s="856"/>
      <c r="AU57" s="200">
        <f t="shared" si="159"/>
        <v>0</v>
      </c>
      <c r="AV57" s="203"/>
      <c r="AW57" s="207">
        <f t="shared" si="150"/>
        <v>0</v>
      </c>
      <c r="AX57" s="200">
        <f t="shared" si="160"/>
        <v>0</v>
      </c>
      <c r="AY57" s="203"/>
      <c r="AZ57" s="207">
        <f t="shared" si="151"/>
        <v>0</v>
      </c>
      <c r="BA57" s="279">
        <f t="shared" si="143"/>
        <v>0</v>
      </c>
      <c r="BB57" s="855"/>
      <c r="BC57" s="856"/>
      <c r="BD57" s="185" t="str">
        <f t="shared" si="161"/>
        <v/>
      </c>
      <c r="BE57" s="253"/>
      <c r="BF57" s="187" t="str">
        <f t="shared" si="152"/>
        <v/>
      </c>
      <c r="BG57" s="280" t="str">
        <f t="shared" si="153"/>
        <v/>
      </c>
      <c r="BH57" s="868"/>
      <c r="BI57" s="869"/>
      <c r="BJ57" s="869"/>
      <c r="BK57" s="869"/>
      <c r="BL57" s="869"/>
      <c r="BM57" s="869"/>
      <c r="BN57" s="869"/>
      <c r="BO57" s="869"/>
      <c r="BP57" s="869"/>
      <c r="BQ57" s="869"/>
      <c r="BR57" s="869"/>
      <c r="BS57" s="870"/>
      <c r="DA57" s="53">
        <f>IF(AND(BE57&lt;&gt;"",OR(BE57&lt;EXPEDIENTE!$I$25,BE57&gt;EXPEDIENTE!$I$29)),1,0)</f>
        <v>0</v>
      </c>
      <c r="DB57" s="47"/>
      <c r="DD57" s="55">
        <f t="shared" si="144"/>
        <v>0</v>
      </c>
      <c r="DE57" s="55">
        <f t="shared" si="154"/>
        <v>0</v>
      </c>
      <c r="DF57" s="55">
        <f t="shared" si="155"/>
        <v>0</v>
      </c>
      <c r="DG57" s="55">
        <f t="shared" si="156"/>
        <v>0</v>
      </c>
      <c r="DH57" s="55">
        <f t="shared" si="145"/>
        <v>0</v>
      </c>
      <c r="DU57" s="47"/>
      <c r="DW57" s="55">
        <f>IF(BH57&lt;&gt;"",MAX($DW$9:DW56)+1,0)</f>
        <v>0</v>
      </c>
      <c r="DX57" s="130" t="str">
        <f t="shared" si="157"/>
        <v/>
      </c>
    </row>
    <row r="58" spans="2:128" ht="30" customHeight="1" x14ac:dyDescent="0.25">
      <c r="B58" s="972"/>
      <c r="C58" s="390" t="s">
        <v>276</v>
      </c>
      <c r="D58" s="195"/>
      <c r="E58" s="203">
        <f t="shared" si="146"/>
        <v>0</v>
      </c>
      <c r="F58" s="195"/>
      <c r="G58" s="195"/>
      <c r="H58" s="692">
        <f t="shared" si="147"/>
        <v>0</v>
      </c>
      <c r="I58" s="343"/>
      <c r="J58" s="1001"/>
      <c r="K58" s="1002"/>
      <c r="L58" s="1002"/>
      <c r="M58" s="1003"/>
      <c r="N58" s="364"/>
      <c r="O58" s="633"/>
      <c r="P58" s="837"/>
      <c r="Q58" s="837"/>
      <c r="AG58" s="53">
        <f>IF(AND(I58&lt;&gt;"",OR(I58&lt;EXPEDIENTE!$I$25,I58&gt;EXPEDIENTE!$I$29)),1,0)</f>
        <v>0</v>
      </c>
      <c r="AI58" s="53">
        <f>IF(DATE(YEAR(EXPEDIENTE!$I$25)+1,MONTH(DATEVALUE($C58&amp;"1")),1)&gt;=DATE(YEAR(EXPEDIENTE!$I$25),MONTH(EXPEDIENTE!$I$25),1),0,1)</f>
        <v>0</v>
      </c>
      <c r="AJ58" s="53" t="e">
        <f>IF(DATE(YEAR(EXPEDIENTE!$I$25)+1,MONTH(DATEVALUE($C58&amp;"1")),1)&lt;=DATE(YEAR(EXPEDIENTE!$I$27),MONTH(EXPEDIENTE!$I$27),1),0,1)</f>
        <v>#VALUE!</v>
      </c>
      <c r="AK58" s="53" t="e">
        <f t="shared" si="148"/>
        <v>#VALUE!</v>
      </c>
      <c r="AM58" s="1014"/>
      <c r="AN58" s="388" t="s">
        <v>276</v>
      </c>
      <c r="AO58" s="200">
        <f t="shared" si="158"/>
        <v>0</v>
      </c>
      <c r="AP58" s="203"/>
      <c r="AQ58" s="207">
        <f t="shared" si="149"/>
        <v>0</v>
      </c>
      <c r="AR58" s="208">
        <f t="shared" si="142"/>
        <v>0</v>
      </c>
      <c r="AS58" s="855"/>
      <c r="AT58" s="856"/>
      <c r="AU58" s="200">
        <f t="shared" si="159"/>
        <v>0</v>
      </c>
      <c r="AV58" s="203"/>
      <c r="AW58" s="207">
        <f t="shared" si="150"/>
        <v>0</v>
      </c>
      <c r="AX58" s="200">
        <f t="shared" si="160"/>
        <v>0</v>
      </c>
      <c r="AY58" s="203"/>
      <c r="AZ58" s="207">
        <f t="shared" si="151"/>
        <v>0</v>
      </c>
      <c r="BA58" s="279">
        <f t="shared" si="143"/>
        <v>0</v>
      </c>
      <c r="BB58" s="855"/>
      <c r="BC58" s="856"/>
      <c r="BD58" s="185" t="str">
        <f t="shared" si="161"/>
        <v/>
      </c>
      <c r="BE58" s="253"/>
      <c r="BF58" s="187" t="str">
        <f t="shared" si="152"/>
        <v/>
      </c>
      <c r="BG58" s="280" t="str">
        <f t="shared" si="153"/>
        <v/>
      </c>
      <c r="BH58" s="868"/>
      <c r="BI58" s="869"/>
      <c r="BJ58" s="869"/>
      <c r="BK58" s="869"/>
      <c r="BL58" s="869"/>
      <c r="BM58" s="869"/>
      <c r="BN58" s="869"/>
      <c r="BO58" s="869"/>
      <c r="BP58" s="869"/>
      <c r="BQ58" s="869"/>
      <c r="BR58" s="869"/>
      <c r="BS58" s="870"/>
      <c r="DA58" s="53">
        <f>IF(AND(BE58&lt;&gt;"",OR(BE58&lt;EXPEDIENTE!$I$25,BE58&gt;EXPEDIENTE!$I$29)),1,0)</f>
        <v>0</v>
      </c>
      <c r="DB58" s="47"/>
      <c r="DD58" s="55">
        <f t="shared" si="144"/>
        <v>0</v>
      </c>
      <c r="DE58" s="55">
        <f t="shared" si="154"/>
        <v>0</v>
      </c>
      <c r="DF58" s="55">
        <f t="shared" si="155"/>
        <v>0</v>
      </c>
      <c r="DG58" s="55">
        <f t="shared" si="156"/>
        <v>0</v>
      </c>
      <c r="DH58" s="55">
        <f t="shared" si="145"/>
        <v>0</v>
      </c>
      <c r="DU58" s="47"/>
      <c r="DW58" s="55">
        <f>IF(BH58&lt;&gt;"",MAX($DW$9:DW57)+1,0)</f>
        <v>0</v>
      </c>
      <c r="DX58" s="130" t="str">
        <f t="shared" si="157"/>
        <v/>
      </c>
    </row>
    <row r="59" spans="2:128" ht="30" customHeight="1" x14ac:dyDescent="0.25">
      <c r="B59" s="972"/>
      <c r="C59" s="390" t="s">
        <v>277</v>
      </c>
      <c r="D59" s="195"/>
      <c r="E59" s="203">
        <f t="shared" si="146"/>
        <v>0</v>
      </c>
      <c r="F59" s="195"/>
      <c r="G59" s="195"/>
      <c r="H59" s="692">
        <f t="shared" si="147"/>
        <v>0</v>
      </c>
      <c r="I59" s="343"/>
      <c r="J59" s="1001"/>
      <c r="K59" s="1002"/>
      <c r="L59" s="1002"/>
      <c r="M59" s="1003"/>
      <c r="N59" s="364"/>
      <c r="O59" s="633"/>
      <c r="P59" s="837"/>
      <c r="Q59" s="837"/>
      <c r="AG59" s="53">
        <f>IF(AND(I59&lt;&gt;"",OR(I59&lt;EXPEDIENTE!$I$25,I59&gt;EXPEDIENTE!$I$29)),1,0)</f>
        <v>0</v>
      </c>
      <c r="AI59" s="53">
        <f>IF(DATE(YEAR(EXPEDIENTE!$I$25)+1,MONTH(DATEVALUE($C59&amp;"1")),1)&gt;=DATE(YEAR(EXPEDIENTE!$I$25),MONTH(EXPEDIENTE!$I$25),1),0,1)</f>
        <v>0</v>
      </c>
      <c r="AJ59" s="53" t="e">
        <f>IF(DATE(YEAR(EXPEDIENTE!$I$25)+1,MONTH(DATEVALUE($C59&amp;"1")),1)&lt;=DATE(YEAR(EXPEDIENTE!$I$27),MONTH(EXPEDIENTE!$I$27),1),0,1)</f>
        <v>#VALUE!</v>
      </c>
      <c r="AK59" s="53" t="e">
        <f t="shared" si="148"/>
        <v>#VALUE!</v>
      </c>
      <c r="AM59" s="1014"/>
      <c r="AN59" s="388" t="s">
        <v>277</v>
      </c>
      <c r="AO59" s="200">
        <f t="shared" si="158"/>
        <v>0</v>
      </c>
      <c r="AP59" s="203"/>
      <c r="AQ59" s="207">
        <f t="shared" si="149"/>
        <v>0</v>
      </c>
      <c r="AR59" s="208">
        <f t="shared" si="142"/>
        <v>0</v>
      </c>
      <c r="AS59" s="855"/>
      <c r="AT59" s="856"/>
      <c r="AU59" s="200">
        <f t="shared" si="159"/>
        <v>0</v>
      </c>
      <c r="AV59" s="203"/>
      <c r="AW59" s="207">
        <f t="shared" si="150"/>
        <v>0</v>
      </c>
      <c r="AX59" s="200">
        <f t="shared" si="160"/>
        <v>0</v>
      </c>
      <c r="AY59" s="203"/>
      <c r="AZ59" s="207">
        <f t="shared" si="151"/>
        <v>0</v>
      </c>
      <c r="BA59" s="279">
        <f t="shared" si="143"/>
        <v>0</v>
      </c>
      <c r="BB59" s="855"/>
      <c r="BC59" s="856"/>
      <c r="BD59" s="185" t="str">
        <f t="shared" si="161"/>
        <v/>
      </c>
      <c r="BE59" s="253"/>
      <c r="BF59" s="187" t="str">
        <f t="shared" si="152"/>
        <v/>
      </c>
      <c r="BG59" s="280" t="str">
        <f t="shared" si="153"/>
        <v/>
      </c>
      <c r="BH59" s="868"/>
      <c r="BI59" s="869"/>
      <c r="BJ59" s="869"/>
      <c r="BK59" s="869"/>
      <c r="BL59" s="869"/>
      <c r="BM59" s="869"/>
      <c r="BN59" s="869"/>
      <c r="BO59" s="869"/>
      <c r="BP59" s="869"/>
      <c r="BQ59" s="869"/>
      <c r="BR59" s="869"/>
      <c r="BS59" s="870"/>
      <c r="DA59" s="53">
        <f>IF(AND(BE59&lt;&gt;"",OR(BE59&lt;EXPEDIENTE!$I$25,BE59&gt;EXPEDIENTE!$I$29)),1,0)</f>
        <v>0</v>
      </c>
      <c r="DB59" s="47"/>
      <c r="DD59" s="55">
        <f t="shared" si="144"/>
        <v>0</v>
      </c>
      <c r="DE59" s="55">
        <f t="shared" si="154"/>
        <v>0</v>
      </c>
      <c r="DF59" s="55">
        <f t="shared" si="155"/>
        <v>0</v>
      </c>
      <c r="DG59" s="55">
        <f t="shared" si="156"/>
        <v>0</v>
      </c>
      <c r="DH59" s="55">
        <f t="shared" si="145"/>
        <v>0</v>
      </c>
      <c r="DU59" s="47"/>
      <c r="DW59" s="55">
        <f>IF(BH59&lt;&gt;"",MAX($DW$9:DW58)+1,0)</f>
        <v>0</v>
      </c>
      <c r="DX59" s="130" t="str">
        <f t="shared" si="157"/>
        <v/>
      </c>
    </row>
    <row r="60" spans="2:128" ht="30" customHeight="1" x14ac:dyDescent="0.25">
      <c r="B60" s="972"/>
      <c r="C60" s="390" t="s">
        <v>278</v>
      </c>
      <c r="D60" s="195"/>
      <c r="E60" s="203">
        <f t="shared" si="146"/>
        <v>0</v>
      </c>
      <c r="F60" s="195"/>
      <c r="G60" s="195"/>
      <c r="H60" s="692">
        <f t="shared" si="147"/>
        <v>0</v>
      </c>
      <c r="I60" s="343"/>
      <c r="J60" s="1001"/>
      <c r="K60" s="1002"/>
      <c r="L60" s="1002"/>
      <c r="M60" s="1003"/>
      <c r="N60" s="364"/>
      <c r="O60" s="633"/>
      <c r="P60" s="837"/>
      <c r="Q60" s="837"/>
      <c r="AG60" s="53">
        <f>IF(AND(I60&lt;&gt;"",OR(I60&lt;EXPEDIENTE!$I$25,I60&gt;EXPEDIENTE!$I$29)),1,0)</f>
        <v>0</v>
      </c>
      <c r="AI60" s="53">
        <f>IF(DATE(YEAR(EXPEDIENTE!$I$25)+1,MONTH(DATEVALUE($C60&amp;"1")),1)&gt;=DATE(YEAR(EXPEDIENTE!$I$25),MONTH(EXPEDIENTE!$I$25),1),0,1)</f>
        <v>0</v>
      </c>
      <c r="AJ60" s="53" t="e">
        <f>IF(DATE(YEAR(EXPEDIENTE!$I$25)+1,MONTH(DATEVALUE($C60&amp;"1")),1)&lt;=DATE(YEAR(EXPEDIENTE!$I$27),MONTH(EXPEDIENTE!$I$27),1),0,1)</f>
        <v>#VALUE!</v>
      </c>
      <c r="AK60" s="53" t="e">
        <f t="shared" si="148"/>
        <v>#VALUE!</v>
      </c>
      <c r="AM60" s="1014"/>
      <c r="AN60" s="388" t="s">
        <v>278</v>
      </c>
      <c r="AO60" s="200">
        <f t="shared" si="158"/>
        <v>0</v>
      </c>
      <c r="AP60" s="203"/>
      <c r="AQ60" s="207">
        <f t="shared" si="149"/>
        <v>0</v>
      </c>
      <c r="AR60" s="208">
        <f t="shared" si="142"/>
        <v>0</v>
      </c>
      <c r="AS60" s="855"/>
      <c r="AT60" s="856"/>
      <c r="AU60" s="200">
        <f t="shared" si="159"/>
        <v>0</v>
      </c>
      <c r="AV60" s="203"/>
      <c r="AW60" s="207">
        <f t="shared" si="150"/>
        <v>0</v>
      </c>
      <c r="AX60" s="200">
        <f t="shared" si="160"/>
        <v>0</v>
      </c>
      <c r="AY60" s="203"/>
      <c r="AZ60" s="207">
        <f t="shared" si="151"/>
        <v>0</v>
      </c>
      <c r="BA60" s="279">
        <f t="shared" si="143"/>
        <v>0</v>
      </c>
      <c r="BB60" s="855"/>
      <c r="BC60" s="856"/>
      <c r="BD60" s="185" t="str">
        <f t="shared" si="161"/>
        <v/>
      </c>
      <c r="BE60" s="253"/>
      <c r="BF60" s="187" t="str">
        <f t="shared" si="152"/>
        <v/>
      </c>
      <c r="BG60" s="280" t="str">
        <f t="shared" si="153"/>
        <v/>
      </c>
      <c r="BH60" s="868"/>
      <c r="BI60" s="869"/>
      <c r="BJ60" s="869"/>
      <c r="BK60" s="869"/>
      <c r="BL60" s="869"/>
      <c r="BM60" s="869"/>
      <c r="BN60" s="869"/>
      <c r="BO60" s="869"/>
      <c r="BP60" s="869"/>
      <c r="BQ60" s="869"/>
      <c r="BR60" s="869"/>
      <c r="BS60" s="870"/>
      <c r="DA60" s="53">
        <f>IF(AND(BE60&lt;&gt;"",OR(BE60&lt;EXPEDIENTE!$I$25,BE60&gt;EXPEDIENTE!$I$29)),1,0)</f>
        <v>0</v>
      </c>
      <c r="DB60" s="47"/>
      <c r="DD60" s="55">
        <f t="shared" si="144"/>
        <v>0</v>
      </c>
      <c r="DE60" s="55">
        <f t="shared" si="154"/>
        <v>0</v>
      </c>
      <c r="DF60" s="55">
        <f t="shared" si="155"/>
        <v>0</v>
      </c>
      <c r="DG60" s="55">
        <f t="shared" si="156"/>
        <v>0</v>
      </c>
      <c r="DH60" s="55">
        <f t="shared" si="145"/>
        <v>0</v>
      </c>
      <c r="DU60" s="47"/>
      <c r="DW60" s="55">
        <f>IF(BH60&lt;&gt;"",MAX($DW$9:DW59)+1,0)</f>
        <v>0</v>
      </c>
      <c r="DX60" s="130" t="str">
        <f t="shared" si="157"/>
        <v/>
      </c>
    </row>
    <row r="61" spans="2:128" ht="30" customHeight="1" x14ac:dyDescent="0.25">
      <c r="B61" s="972"/>
      <c r="C61" s="390" t="s">
        <v>279</v>
      </c>
      <c r="D61" s="195"/>
      <c r="E61" s="203">
        <f t="shared" si="146"/>
        <v>0</v>
      </c>
      <c r="F61" s="195"/>
      <c r="G61" s="195"/>
      <c r="H61" s="692">
        <f t="shared" si="147"/>
        <v>0</v>
      </c>
      <c r="I61" s="343"/>
      <c r="J61" s="1001"/>
      <c r="K61" s="1002"/>
      <c r="L61" s="1002"/>
      <c r="M61" s="1003"/>
      <c r="N61" s="364"/>
      <c r="O61" s="633"/>
      <c r="P61" s="837"/>
      <c r="Q61" s="837"/>
      <c r="AG61" s="53">
        <f>IF(AND(I61&lt;&gt;"",OR(I61&lt;EXPEDIENTE!$I$25,I61&gt;EXPEDIENTE!$I$29)),1,0)</f>
        <v>0</v>
      </c>
      <c r="AI61" s="53">
        <f>IF(DATE(YEAR(EXPEDIENTE!$I$25)+1,MONTH(DATEVALUE($C61&amp;"1")),1)&gt;=DATE(YEAR(EXPEDIENTE!$I$25),MONTH(EXPEDIENTE!$I$25),1),0,1)</f>
        <v>0</v>
      </c>
      <c r="AJ61" s="53" t="e">
        <f>IF(DATE(YEAR(EXPEDIENTE!$I$25)+1,MONTH(DATEVALUE($C61&amp;"1")),1)&lt;=DATE(YEAR(EXPEDIENTE!$I$27),MONTH(EXPEDIENTE!$I$27),1),0,1)</f>
        <v>#VALUE!</v>
      </c>
      <c r="AK61" s="53" t="e">
        <f t="shared" si="148"/>
        <v>#VALUE!</v>
      </c>
      <c r="AM61" s="1014"/>
      <c r="AN61" s="388" t="s">
        <v>279</v>
      </c>
      <c r="AO61" s="200">
        <f t="shared" si="158"/>
        <v>0</v>
      </c>
      <c r="AP61" s="203"/>
      <c r="AQ61" s="207">
        <f t="shared" si="149"/>
        <v>0</v>
      </c>
      <c r="AR61" s="208">
        <f t="shared" si="142"/>
        <v>0</v>
      </c>
      <c r="AS61" s="855"/>
      <c r="AT61" s="856"/>
      <c r="AU61" s="200">
        <f t="shared" si="159"/>
        <v>0</v>
      </c>
      <c r="AV61" s="203"/>
      <c r="AW61" s="207">
        <f t="shared" si="150"/>
        <v>0</v>
      </c>
      <c r="AX61" s="200">
        <f t="shared" si="160"/>
        <v>0</v>
      </c>
      <c r="AY61" s="203"/>
      <c r="AZ61" s="207">
        <f t="shared" si="151"/>
        <v>0</v>
      </c>
      <c r="BA61" s="279">
        <f t="shared" si="143"/>
        <v>0</v>
      </c>
      <c r="BB61" s="855"/>
      <c r="BC61" s="856"/>
      <c r="BD61" s="185" t="str">
        <f t="shared" si="161"/>
        <v/>
      </c>
      <c r="BE61" s="253"/>
      <c r="BF61" s="187" t="str">
        <f t="shared" si="152"/>
        <v/>
      </c>
      <c r="BG61" s="280" t="str">
        <f t="shared" si="153"/>
        <v/>
      </c>
      <c r="BH61" s="868"/>
      <c r="BI61" s="869"/>
      <c r="BJ61" s="869"/>
      <c r="BK61" s="869"/>
      <c r="BL61" s="869"/>
      <c r="BM61" s="869"/>
      <c r="BN61" s="869"/>
      <c r="BO61" s="869"/>
      <c r="BP61" s="869"/>
      <c r="BQ61" s="869"/>
      <c r="BR61" s="869"/>
      <c r="BS61" s="870"/>
      <c r="DA61" s="53">
        <f>IF(AND(BE61&lt;&gt;"",OR(BE61&lt;EXPEDIENTE!$I$25,BE61&gt;EXPEDIENTE!$I$29)),1,0)</f>
        <v>0</v>
      </c>
      <c r="DB61" s="47"/>
      <c r="DD61" s="55">
        <f t="shared" si="144"/>
        <v>0</v>
      </c>
      <c r="DE61" s="55">
        <f t="shared" si="154"/>
        <v>0</v>
      </c>
      <c r="DF61" s="55">
        <f t="shared" si="155"/>
        <v>0</v>
      </c>
      <c r="DG61" s="55">
        <f t="shared" si="156"/>
        <v>0</v>
      </c>
      <c r="DH61" s="55">
        <f t="shared" si="145"/>
        <v>0</v>
      </c>
      <c r="DU61" s="47"/>
      <c r="DW61" s="55">
        <f>IF(BH61&lt;&gt;"",MAX($DW$9:DW60)+1,0)</f>
        <v>0</v>
      </c>
      <c r="DX61" s="130" t="str">
        <f t="shared" si="157"/>
        <v/>
      </c>
    </row>
    <row r="62" spans="2:128" ht="30" customHeight="1" x14ac:dyDescent="0.25">
      <c r="B62" s="972"/>
      <c r="C62" s="390" t="s">
        <v>280</v>
      </c>
      <c r="D62" s="195"/>
      <c r="E62" s="203">
        <f t="shared" si="146"/>
        <v>0</v>
      </c>
      <c r="F62" s="195"/>
      <c r="G62" s="195"/>
      <c r="H62" s="692">
        <f t="shared" si="147"/>
        <v>0</v>
      </c>
      <c r="I62" s="343"/>
      <c r="J62" s="1001"/>
      <c r="K62" s="1002"/>
      <c r="L62" s="1002"/>
      <c r="M62" s="1003"/>
      <c r="N62" s="364"/>
      <c r="O62" s="633"/>
      <c r="P62" s="837"/>
      <c r="Q62" s="837"/>
      <c r="AG62" s="53">
        <f>IF(AND(I62&lt;&gt;"",OR(I62&lt;EXPEDIENTE!$I$25,I62&gt;EXPEDIENTE!$I$29)),1,0)</f>
        <v>0</v>
      </c>
      <c r="AI62" s="53">
        <f>IF(DATE(YEAR(EXPEDIENTE!$I$25)+1,MONTH(DATEVALUE($C62&amp;"1")),1)&gt;=DATE(YEAR(EXPEDIENTE!$I$25),MONTH(EXPEDIENTE!$I$25),1),0,1)</f>
        <v>0</v>
      </c>
      <c r="AJ62" s="53" t="e">
        <f>IF(DATE(YEAR(EXPEDIENTE!$I$25)+1,MONTH(DATEVALUE($C62&amp;"1")),1)&lt;=DATE(YEAR(EXPEDIENTE!$I$27),MONTH(EXPEDIENTE!$I$27),1),0,1)</f>
        <v>#VALUE!</v>
      </c>
      <c r="AK62" s="53" t="e">
        <f t="shared" si="148"/>
        <v>#VALUE!</v>
      </c>
      <c r="AM62" s="1014"/>
      <c r="AN62" s="388" t="s">
        <v>280</v>
      </c>
      <c r="AO62" s="200">
        <f t="shared" si="158"/>
        <v>0</v>
      </c>
      <c r="AP62" s="203"/>
      <c r="AQ62" s="207">
        <f t="shared" si="149"/>
        <v>0</v>
      </c>
      <c r="AR62" s="208">
        <f t="shared" si="142"/>
        <v>0</v>
      </c>
      <c r="AS62" s="855"/>
      <c r="AT62" s="856"/>
      <c r="AU62" s="200">
        <f t="shared" si="159"/>
        <v>0</v>
      </c>
      <c r="AV62" s="203"/>
      <c r="AW62" s="207">
        <f t="shared" si="150"/>
        <v>0</v>
      </c>
      <c r="AX62" s="200">
        <f t="shared" si="160"/>
        <v>0</v>
      </c>
      <c r="AY62" s="203"/>
      <c r="AZ62" s="207">
        <f t="shared" si="151"/>
        <v>0</v>
      </c>
      <c r="BA62" s="279">
        <f t="shared" si="143"/>
        <v>0</v>
      </c>
      <c r="BB62" s="855"/>
      <c r="BC62" s="856"/>
      <c r="BD62" s="185" t="str">
        <f t="shared" si="161"/>
        <v/>
      </c>
      <c r="BE62" s="253"/>
      <c r="BF62" s="187" t="str">
        <f t="shared" si="152"/>
        <v/>
      </c>
      <c r="BG62" s="280" t="str">
        <f t="shared" si="153"/>
        <v/>
      </c>
      <c r="BH62" s="868"/>
      <c r="BI62" s="869"/>
      <c r="BJ62" s="869"/>
      <c r="BK62" s="869"/>
      <c r="BL62" s="869"/>
      <c r="BM62" s="869"/>
      <c r="BN62" s="869"/>
      <c r="BO62" s="869"/>
      <c r="BP62" s="869"/>
      <c r="BQ62" s="869"/>
      <c r="BR62" s="869"/>
      <c r="BS62" s="870"/>
      <c r="DA62" s="53">
        <f>IF(AND(BE62&lt;&gt;"",OR(BE62&lt;EXPEDIENTE!$I$25,BE62&gt;EXPEDIENTE!$I$29)),1,0)</f>
        <v>0</v>
      </c>
      <c r="DB62" s="47"/>
      <c r="DD62" s="55">
        <f t="shared" si="144"/>
        <v>0</v>
      </c>
      <c r="DE62" s="55">
        <f t="shared" si="154"/>
        <v>0</v>
      </c>
      <c r="DF62" s="55">
        <f t="shared" si="155"/>
        <v>0</v>
      </c>
      <c r="DG62" s="55">
        <f t="shared" si="156"/>
        <v>0</v>
      </c>
      <c r="DH62" s="55">
        <f t="shared" si="145"/>
        <v>0</v>
      </c>
      <c r="DU62" s="47"/>
      <c r="DW62" s="55">
        <f>IF(BH62&lt;&gt;"",MAX($DW$9:DW61)+1,0)</f>
        <v>0</v>
      </c>
      <c r="DX62" s="130" t="str">
        <f t="shared" si="157"/>
        <v/>
      </c>
    </row>
    <row r="63" spans="2:128" ht="30" customHeight="1" thickBot="1" x14ac:dyDescent="0.3">
      <c r="B63" s="972"/>
      <c r="C63" s="391" t="s">
        <v>281</v>
      </c>
      <c r="D63" s="303"/>
      <c r="E63" s="268">
        <f t="shared" si="146"/>
        <v>0</v>
      </c>
      <c r="F63" s="213"/>
      <c r="G63" s="213"/>
      <c r="H63" s="693">
        <f t="shared" si="147"/>
        <v>0</v>
      </c>
      <c r="I63" s="344"/>
      <c r="J63" s="998"/>
      <c r="K63" s="999"/>
      <c r="L63" s="999"/>
      <c r="M63" s="1000"/>
      <c r="N63" s="364"/>
      <c r="O63" s="633"/>
      <c r="P63" s="837"/>
      <c r="Q63" s="837"/>
      <c r="AG63" s="53">
        <f>IF(AND(I63&lt;&gt;"",OR(I63&lt;EXPEDIENTE!$I$25,I63&gt;EXPEDIENTE!$I$29)),1,0)</f>
        <v>0</v>
      </c>
      <c r="AI63" s="53">
        <f>IF(DATE(YEAR(EXPEDIENTE!$I$25)+1,MONTH(DATEVALUE($C63&amp;"1")),1)&gt;=DATE(YEAR(EXPEDIENTE!$I$25),MONTH(EXPEDIENTE!$I$25),1),0,1)</f>
        <v>0</v>
      </c>
      <c r="AJ63" s="53" t="e">
        <f>IF(DATE(YEAR(EXPEDIENTE!$I$25)+1,MONTH(DATEVALUE($C63&amp;"1")),1)&lt;=DATE(YEAR(EXPEDIENTE!$I$27),MONTH(EXPEDIENTE!$I$27),1),0,1)</f>
        <v>#VALUE!</v>
      </c>
      <c r="AK63" s="53" t="e">
        <f t="shared" si="148"/>
        <v>#VALUE!</v>
      </c>
      <c r="AM63" s="1014"/>
      <c r="AN63" s="392" t="s">
        <v>281</v>
      </c>
      <c r="AO63" s="281">
        <f>IF(D63="",0,D63)</f>
        <v>0</v>
      </c>
      <c r="AP63" s="282"/>
      <c r="AQ63" s="283">
        <f t="shared" si="149"/>
        <v>0</v>
      </c>
      <c r="AR63" s="230">
        <f t="shared" si="142"/>
        <v>0</v>
      </c>
      <c r="AS63" s="857"/>
      <c r="AT63" s="858"/>
      <c r="AU63" s="224">
        <f t="shared" si="159"/>
        <v>0</v>
      </c>
      <c r="AV63" s="227"/>
      <c r="AW63" s="232">
        <f t="shared" si="150"/>
        <v>0</v>
      </c>
      <c r="AX63" s="224">
        <f t="shared" si="160"/>
        <v>0</v>
      </c>
      <c r="AY63" s="227"/>
      <c r="AZ63" s="232">
        <f t="shared" si="151"/>
        <v>0</v>
      </c>
      <c r="BA63" s="284">
        <f t="shared" si="143"/>
        <v>0</v>
      </c>
      <c r="BB63" s="857"/>
      <c r="BC63" s="858"/>
      <c r="BD63" s="233" t="str">
        <f t="shared" si="161"/>
        <v/>
      </c>
      <c r="BE63" s="285"/>
      <c r="BF63" s="235" t="str">
        <f t="shared" si="152"/>
        <v/>
      </c>
      <c r="BG63" s="286" t="str">
        <f t="shared" si="153"/>
        <v/>
      </c>
      <c r="BH63" s="877"/>
      <c r="BI63" s="878"/>
      <c r="BJ63" s="878"/>
      <c r="BK63" s="878"/>
      <c r="BL63" s="878"/>
      <c r="BM63" s="878"/>
      <c r="BN63" s="878"/>
      <c r="BO63" s="878"/>
      <c r="BP63" s="878"/>
      <c r="BQ63" s="878"/>
      <c r="BR63" s="878"/>
      <c r="BS63" s="879"/>
      <c r="DA63" s="53">
        <f>IF(AND(BE63&lt;&gt;"",OR(BE63&lt;EXPEDIENTE!$I$25,BE63&gt;EXPEDIENTE!$I$29)),1,0)</f>
        <v>0</v>
      </c>
      <c r="DB63" s="47"/>
      <c r="DD63" s="55">
        <f t="shared" si="144"/>
        <v>0</v>
      </c>
      <c r="DE63" s="55">
        <f t="shared" si="154"/>
        <v>0</v>
      </c>
      <c r="DF63" s="55">
        <f t="shared" si="155"/>
        <v>0</v>
      </c>
      <c r="DG63" s="55">
        <f t="shared" si="156"/>
        <v>0</v>
      </c>
      <c r="DH63" s="55">
        <f t="shared" si="145"/>
        <v>0</v>
      </c>
      <c r="DU63" s="47"/>
      <c r="DW63" s="55">
        <f>IF(BH63&lt;&gt;"",MAX($DW$9:DW62)+1,0)</f>
        <v>0</v>
      </c>
      <c r="DX63" s="130" t="str">
        <f t="shared" si="157"/>
        <v/>
      </c>
    </row>
    <row r="64" spans="2:128" ht="9.9499999999999993" customHeight="1" thickBot="1" x14ac:dyDescent="0.3">
      <c r="B64" s="973"/>
      <c r="C64" s="345"/>
      <c r="D64" s="345"/>
      <c r="E64" s="345"/>
      <c r="F64" s="345"/>
      <c r="G64" s="345"/>
      <c r="H64" s="345"/>
      <c r="I64" s="345"/>
      <c r="J64" s="345"/>
      <c r="K64" s="345"/>
      <c r="L64" s="345"/>
      <c r="M64" s="345"/>
      <c r="N64" s="363"/>
      <c r="AM64" s="1015"/>
      <c r="AN64" s="395"/>
      <c r="AO64" s="396"/>
      <c r="AP64" s="396"/>
      <c r="AQ64" s="396"/>
      <c r="AR64" s="396"/>
      <c r="AS64" s="396"/>
      <c r="AT64" s="396"/>
      <c r="AU64" s="396"/>
      <c r="AV64" s="396"/>
      <c r="AW64" s="396"/>
      <c r="AX64" s="396"/>
      <c r="AY64" s="396"/>
      <c r="AZ64" s="396"/>
      <c r="BA64" s="396"/>
      <c r="BB64" s="396"/>
      <c r="BC64" s="396"/>
      <c r="BD64" s="396"/>
      <c r="BE64" s="396"/>
      <c r="BF64" s="396"/>
      <c r="BG64" s="396"/>
      <c r="BH64" s="396"/>
      <c r="BI64" s="396"/>
      <c r="BJ64" s="396"/>
      <c r="BK64" s="396"/>
      <c r="BL64" s="396"/>
      <c r="BM64" s="396"/>
      <c r="BN64" s="396"/>
      <c r="BO64" s="396"/>
      <c r="BP64" s="396"/>
      <c r="BQ64" s="396"/>
      <c r="BR64" s="396"/>
      <c r="BS64" s="397"/>
      <c r="DA64" s="47"/>
    </row>
    <row r="65" ht="15.75" thickTop="1" x14ac:dyDescent="0.25"/>
  </sheetData>
  <sheetProtection algorithmName="SHA-512" hashValue="p3h7oXP1m1FRQYKD63UQY9kchpiOIpS/kOQzWhkZEnUzj4rCmUl6RcT3wxQ4otcFbIBFShggU8QF5Lgv5ZS9BA==" saltValue="vDdv03dMj2JV5982DUgfeg==" spinCount="100000" sheet="1" formatColumns="0"/>
  <protectedRanges>
    <protectedRange algorithmName="SHA-512" hashValue="e4jCzgrpmuYj0DZgQmRmczAvYGCwxJkR2rlIu4m9eQFUIkFnIhTwlptWewt9P3V3a3vwiLmSWrnOiCsvTTnLcw==" saltValue="UY1iiW9JFziCgS/vfybDlg==" spinCount="100000" sqref="CY38:CY45" name="Rango6"/>
    <protectedRange algorithmName="SHA-512" hashValue="Z+QpQ7NUSD8pQfT5bGoJH1DnC33gtqTKGO9oVjInDoS/ki1jPLgzLBzGqDoAfRjFRLYRwx+/XrVzmRYQSeTqvA==" saltValue="ODub7niNSrCZHLDtMC4hbg==" spinCount="100000" sqref="AS9:AS14 AU9:BG15" name="Rango1"/>
    <protectedRange algorithmName="SHA-512" hashValue="Qv7PaqSMuIIVP5k1DCDW+VMW3yE6EEUl6tHyjm/weBZ5p9g/iNh1bXZuhNdztV26r+6wOdgBwAumeJuQsMCqng==" saltValue="EoWYHCCw3fTtbTMFHWkUtw==" spinCount="100000" sqref="AS20:AS31 AV20:AV31 AY20:AY31 BB20:BB31 BE20:BE31 BH20:BH31 BK20:BK31 BQ20:BQ31 BT20:BT31 BW20:BW31 BZ20:BZ31 CC20:CC31 CG20:CG31 CL20:CL31 CO20:CO31 CS20:CS31 CV20:CV31" name="Rango2"/>
    <protectedRange algorithmName="SHA-512" hashValue="BoDjrAje4MiN1BogtHw2Zq1pNLQ2cNwqwLSZtr5CmHaW/OFC37bf+A+YW2abtq1Dlg+1pw9wPRYppFpbO0T13g==" saltValue="oLJU2i0YdLoZ9GA+E10Uvg==" spinCount="100000" sqref="CY20:CY31" name="Rango3"/>
    <protectedRange algorithmName="SHA-512" hashValue="gj6BpnjC3lZz485Kr4Z4fRRZK2L9BgkxzOb0I383kCe5fX88yR/yu88ByTBw3lt0BUxAp6j+q0uttwy7DAmUlg==" saltValue="XUgbJroCfMNNylWmcqpqSQ==" spinCount="100000" sqref="AP38:AP45 AS38:AS45 AV38:AV45 AY38:AY45 BB38:BB45 BE38:BE45 BH38:BH45 BK38:BK45 BQ38:BQ45 BT38:BT45 BW38:BW45 BZ38:BZ45 CC38:CC45 CG38:CG45 CL38:CL45 CO38:CO45 CS38:CS45 CV38:CV45" name="Rango4"/>
    <protectedRange algorithmName="SHA-512" hashValue="FQB2XXdwFFvvTK5gOa/Nek0MuJLL5maSt3bMhRF4tlvvUKaCVBC2QKcfbeuzmE8RNcPblIfa52xZpm4iXgS/2A==" saltValue="TpSkvUQ80mlmylvH1UxtXA==" spinCount="100000" sqref="AV52:AV63 AY52:AY63 BE52:BE63 BH52:BS63 AP52:AP63" name="Rango5"/>
  </protectedRanges>
  <mergeCells count="209">
    <mergeCell ref="B8:B64"/>
    <mergeCell ref="BH61:BS61"/>
    <mergeCell ref="BH62:BS62"/>
    <mergeCell ref="BH63:BS63"/>
    <mergeCell ref="C50:C51"/>
    <mergeCell ref="D50:D51"/>
    <mergeCell ref="E50:E51"/>
    <mergeCell ref="F50:F51"/>
    <mergeCell ref="G50:G51"/>
    <mergeCell ref="H50:H51"/>
    <mergeCell ref="I50:I51"/>
    <mergeCell ref="J50:M51"/>
    <mergeCell ref="BH55:BS55"/>
    <mergeCell ref="BH56:BS56"/>
    <mergeCell ref="BH57:BS57"/>
    <mergeCell ref="BH58:BS58"/>
    <mergeCell ref="AG16:AH16"/>
    <mergeCell ref="AG17:AG18"/>
    <mergeCell ref="AH17:AH18"/>
    <mergeCell ref="N17:V17"/>
    <mergeCell ref="W17:W19"/>
    <mergeCell ref="G36:L36"/>
    <mergeCell ref="M36:M37"/>
    <mergeCell ref="O36:T36"/>
    <mergeCell ref="U36:U37"/>
    <mergeCell ref="X17:X19"/>
    <mergeCell ref="Z17:Z19"/>
    <mergeCell ref="U18:U19"/>
    <mergeCell ref="C34:AE34"/>
    <mergeCell ref="C35:E35"/>
    <mergeCell ref="F35:M35"/>
    <mergeCell ref="CP36:CP37"/>
    <mergeCell ref="CK36:CK37"/>
    <mergeCell ref="AN50:AN51"/>
    <mergeCell ref="AO50:AQ50"/>
    <mergeCell ref="AR50:AR51"/>
    <mergeCell ref="AS50:AT63"/>
    <mergeCell ref="AU50:AW50"/>
    <mergeCell ref="AU10:BG10"/>
    <mergeCell ref="AN10:AP10"/>
    <mergeCell ref="AX36:BM36"/>
    <mergeCell ref="AX50:AZ50"/>
    <mergeCell ref="BA50:BA51"/>
    <mergeCell ref="BB50:BC63"/>
    <mergeCell ref="CF36:CH36"/>
    <mergeCell ref="BO35:CI35"/>
    <mergeCell ref="BH52:BS52"/>
    <mergeCell ref="BH53:BS53"/>
    <mergeCell ref="BH54:BS54"/>
    <mergeCell ref="AN28:AO28"/>
    <mergeCell ref="AN29:AO29"/>
    <mergeCell ref="AN30:AO30"/>
    <mergeCell ref="BN36:BN37"/>
    <mergeCell ref="BP36:CE36"/>
    <mergeCell ref="BH59:BS59"/>
    <mergeCell ref="AN31:AO31"/>
    <mergeCell ref="AN34:CY34"/>
    <mergeCell ref="AN35:AT35"/>
    <mergeCell ref="AU35:BN35"/>
    <mergeCell ref="CJ35:CJ37"/>
    <mergeCell ref="CK35:CM35"/>
    <mergeCell ref="CN35:CP35"/>
    <mergeCell ref="CQ35:CQ37"/>
    <mergeCell ref="CR35:CT35"/>
    <mergeCell ref="AR36:AT36"/>
    <mergeCell ref="AN36:AN37"/>
    <mergeCell ref="AO36:AQ36"/>
    <mergeCell ref="CU35:CW35"/>
    <mergeCell ref="BD50:BF50"/>
    <mergeCell ref="AU36:AW36"/>
    <mergeCell ref="CN36:CN37"/>
    <mergeCell ref="CO36:CO37"/>
    <mergeCell ref="CW36:CW37"/>
    <mergeCell ref="CU36:CU37"/>
    <mergeCell ref="CV36:CV37"/>
    <mergeCell ref="CL36:CL37"/>
    <mergeCell ref="CM36:CM37"/>
    <mergeCell ref="DB17:DB18"/>
    <mergeCell ref="AN18:AO19"/>
    <mergeCell ref="AP18:AQ31"/>
    <mergeCell ref="AT18:AT19"/>
    <mergeCell ref="AU18:AW18"/>
    <mergeCell ref="AX18:BM18"/>
    <mergeCell ref="BN18:BN19"/>
    <mergeCell ref="BP18:CE18"/>
    <mergeCell ref="CF18:CH18"/>
    <mergeCell ref="CP18:CP19"/>
    <mergeCell ref="CW18:CW19"/>
    <mergeCell ref="AN20:AO20"/>
    <mergeCell ref="AN21:AO21"/>
    <mergeCell ref="AN22:AO22"/>
    <mergeCell ref="AN23:AO23"/>
    <mergeCell ref="AN24:AO24"/>
    <mergeCell ref="AN25:AO25"/>
    <mergeCell ref="DA17:DA18"/>
    <mergeCell ref="AN26:AO26"/>
    <mergeCell ref="AN27:AO27"/>
    <mergeCell ref="CK18:CK19"/>
    <mergeCell ref="CL18:CL19"/>
    <mergeCell ref="CM18:CM19"/>
    <mergeCell ref="CN18:CN19"/>
    <mergeCell ref="DW7:DX7"/>
    <mergeCell ref="AM8:AM64"/>
    <mergeCell ref="AN8:AP8"/>
    <mergeCell ref="AU8:BG8"/>
    <mergeCell ref="AN9:AP9"/>
    <mergeCell ref="AU9:BG9"/>
    <mergeCell ref="AN11:AP11"/>
    <mergeCell ref="AU11:BG11"/>
    <mergeCell ref="AN12:AP12"/>
    <mergeCell ref="AU12:BG12"/>
    <mergeCell ref="AN13:AP13"/>
    <mergeCell ref="AU13:BG13"/>
    <mergeCell ref="AN14:AP14"/>
    <mergeCell ref="AU14:BG14"/>
    <mergeCell ref="AN15:AP15"/>
    <mergeCell ref="DA16:DB16"/>
    <mergeCell ref="BH60:BS60"/>
    <mergeCell ref="CR36:CR37"/>
    <mergeCell ref="CS36:CS37"/>
    <mergeCell ref="CT36:CT37"/>
    <mergeCell ref="AB35:AB37"/>
    <mergeCell ref="AD35:AD37"/>
    <mergeCell ref="AE35:AE37"/>
    <mergeCell ref="AC35:AC37"/>
    <mergeCell ref="DD7:DU7"/>
    <mergeCell ref="AN16:CY16"/>
    <mergeCell ref="AN17:AQ17"/>
    <mergeCell ref="AR17:AT17"/>
    <mergeCell ref="AU17:BN17"/>
    <mergeCell ref="BO17:CI17"/>
    <mergeCell ref="CJ17:CJ19"/>
    <mergeCell ref="CK17:CM17"/>
    <mergeCell ref="CN17:CP17"/>
    <mergeCell ref="CQ17:CQ19"/>
    <mergeCell ref="CR17:CT17"/>
    <mergeCell ref="CU17:CW17"/>
    <mergeCell ref="AR18:AR19"/>
    <mergeCell ref="AS18:AS19"/>
    <mergeCell ref="CU18:CU19"/>
    <mergeCell ref="CV18:CV19"/>
    <mergeCell ref="CO18:CO19"/>
    <mergeCell ref="CR18:CR19"/>
    <mergeCell ref="CS18:CS19"/>
    <mergeCell ref="CT18:CT19"/>
    <mergeCell ref="C36:C37"/>
    <mergeCell ref="D36:E36"/>
    <mergeCell ref="F36:F37"/>
    <mergeCell ref="AA17:AA19"/>
    <mergeCell ref="C31:D31"/>
    <mergeCell ref="C20:D20"/>
    <mergeCell ref="C21:D21"/>
    <mergeCell ref="C22:D22"/>
    <mergeCell ref="C23:D23"/>
    <mergeCell ref="C24:D24"/>
    <mergeCell ref="C25:D25"/>
    <mergeCell ref="C26:D26"/>
    <mergeCell ref="C27:D27"/>
    <mergeCell ref="C28:D28"/>
    <mergeCell ref="C29:D29"/>
    <mergeCell ref="C30:D30"/>
    <mergeCell ref="M18:M19"/>
    <mergeCell ref="O18:T18"/>
    <mergeCell ref="N35:V35"/>
    <mergeCell ref="W35:W37"/>
    <mergeCell ref="X35:X37"/>
    <mergeCell ref="Y35:Y37"/>
    <mergeCell ref="Z35:Z37"/>
    <mergeCell ref="AA35:AA37"/>
    <mergeCell ref="C8:F8"/>
    <mergeCell ref="I8:T8"/>
    <mergeCell ref="I9:T9"/>
    <mergeCell ref="I11:T11"/>
    <mergeCell ref="C16:AE16"/>
    <mergeCell ref="C17:E17"/>
    <mergeCell ref="F17:M17"/>
    <mergeCell ref="AB17:AB19"/>
    <mergeCell ref="AC17:AC19"/>
    <mergeCell ref="AD17:AD19"/>
    <mergeCell ref="AE17:AE19"/>
    <mergeCell ref="C18:D19"/>
    <mergeCell ref="Y17:Y19"/>
    <mergeCell ref="I12:T13"/>
    <mergeCell ref="H12:H13"/>
    <mergeCell ref="C10:E10"/>
    <mergeCell ref="C48:M49"/>
    <mergeCell ref="P52:Q63"/>
    <mergeCell ref="CX17:CX19"/>
    <mergeCell ref="CY17:CY19"/>
    <mergeCell ref="CX35:CX37"/>
    <mergeCell ref="CY35:CY37"/>
    <mergeCell ref="AN48:BS49"/>
    <mergeCell ref="BG50:BG51"/>
    <mergeCell ref="BH50:BS51"/>
    <mergeCell ref="J61:M61"/>
    <mergeCell ref="J62:M62"/>
    <mergeCell ref="J63:M63"/>
    <mergeCell ref="J56:M56"/>
    <mergeCell ref="J57:M57"/>
    <mergeCell ref="J58:M58"/>
    <mergeCell ref="J59:M59"/>
    <mergeCell ref="J60:M60"/>
    <mergeCell ref="J52:M52"/>
    <mergeCell ref="J53:M53"/>
    <mergeCell ref="J54:M54"/>
    <mergeCell ref="J55:M55"/>
    <mergeCell ref="E18:E19"/>
    <mergeCell ref="F18:F19"/>
    <mergeCell ref="G18:L18"/>
  </mergeCells>
  <phoneticPr fontId="3" type="noConversion"/>
  <conditionalFormatting sqref="C52:I63">
    <cfRule type="expression" dxfId="385" priority="4">
      <formula>$AK20=1</formula>
    </cfRule>
  </conditionalFormatting>
  <conditionalFormatting sqref="D50:D51">
    <cfRule type="expression" dxfId="384" priority="274">
      <formula>OR(SUM(T20:T31)&gt;0,SUM(T38:T45)&gt;0)</formula>
    </cfRule>
  </conditionalFormatting>
  <conditionalFormatting sqref="H12:I12 H14:T14">
    <cfRule type="expression" dxfId="371" priority="17">
      <formula>OR($AG$19&gt;0,$AH$19&gt;0)</formula>
    </cfRule>
  </conditionalFormatting>
  <conditionalFormatting sqref="I52:I63 AA20:AA31 AA38:AA45 BD52:BD63">
    <cfRule type="expression" dxfId="370" priority="18" stopIfTrue="1">
      <formula>$AG20&lt;&gt;0</formula>
    </cfRule>
  </conditionalFormatting>
  <conditionalFormatting sqref="P52">
    <cfRule type="cellIs" dxfId="369" priority="273" operator="notEqual">
      <formula>""</formula>
    </cfRule>
  </conditionalFormatting>
  <conditionalFormatting sqref="AB20:AB31 AB38:AB45">
    <cfRule type="expression" dxfId="356" priority="38" stopIfTrue="1">
      <formula>$AH20&lt;&gt;0</formula>
    </cfRule>
  </conditionalFormatting>
  <conditionalFormatting sqref="AP52:AP63 AP38:AP45">
    <cfRule type="expression" dxfId="353" priority="87">
      <formula>AND($AP38&lt;&gt;"",$AO38&lt;&gt;$AP38)</formula>
    </cfRule>
  </conditionalFormatting>
  <conditionalFormatting sqref="AS9:AS14">
    <cfRule type="expression" dxfId="352" priority="45">
      <formula>AND($AS9&lt;&gt;"",$AR9&lt;&gt;$AS9)</formula>
    </cfRule>
  </conditionalFormatting>
  <conditionalFormatting sqref="AS20:AS31">
    <cfRule type="expression" dxfId="351" priority="50">
      <formula>AND($AS20&lt;&gt;"",$AR20&lt;&gt;$AS20)</formula>
    </cfRule>
  </conditionalFormatting>
  <conditionalFormatting sqref="AS38:AS45">
    <cfRule type="expression" dxfId="350" priority="88">
      <formula>AND($AS38&lt;&gt;"",$AR38&lt;&gt;$AS38)</formula>
    </cfRule>
  </conditionalFormatting>
  <conditionalFormatting sqref="AT15">
    <cfRule type="cellIs" dxfId="349" priority="49" operator="notEqual">
      <formula>$AR$15</formula>
    </cfRule>
  </conditionalFormatting>
  <conditionalFormatting sqref="AU9:AU14">
    <cfRule type="expression" dxfId="348" priority="46" stopIfTrue="1">
      <formula>AND($AR9&lt;&gt;$AT9,$AU9="")</formula>
    </cfRule>
    <cfRule type="expression" dxfId="347" priority="47">
      <formula>AND($AR9=$AT9,$AU9&lt;&gt;"")</formula>
    </cfRule>
    <cfRule type="expression" dxfId="346" priority="48">
      <formula>AND($AR9&lt;&gt;$AS9,$AU9&lt;&gt;"")</formula>
    </cfRule>
  </conditionalFormatting>
  <conditionalFormatting sqref="AV20:AV31 AV52:AV63">
    <cfRule type="expression" dxfId="345" priority="51">
      <formula>AND($AV20&lt;&gt;"",$AU20&lt;&gt;$AV20)</formula>
    </cfRule>
  </conditionalFormatting>
  <conditionalFormatting sqref="AV38:AV45">
    <cfRule type="expression" dxfId="344" priority="89">
      <formula>AND($AV38&lt;&gt;"",$AU38&lt;&gt;$AV38)</formula>
    </cfRule>
  </conditionalFormatting>
  <conditionalFormatting sqref="AY20:AY31 AY52:AY63">
    <cfRule type="expression" dxfId="343" priority="64">
      <formula>AND($AY20&lt;&gt;"",$AX20&lt;&gt;$AY20)</formula>
    </cfRule>
  </conditionalFormatting>
  <conditionalFormatting sqref="AY38:AY45">
    <cfRule type="expression" dxfId="342" priority="90">
      <formula>AND($AY38&lt;&gt;"",$AX38&lt;&gt;$AY38)</formula>
    </cfRule>
  </conditionalFormatting>
  <conditionalFormatting sqref="BB20:BB31">
    <cfRule type="expression" dxfId="341" priority="65">
      <formula>AND($BB20&lt;&gt;"",$BA20&lt;&gt;$BB20)</formula>
    </cfRule>
  </conditionalFormatting>
  <conditionalFormatting sqref="BB38:BB45">
    <cfRule type="expression" dxfId="340" priority="91">
      <formula>AND($BB38&lt;&gt;"",$BA38&lt;&gt;$BB38)</formula>
    </cfRule>
  </conditionalFormatting>
  <conditionalFormatting sqref="BD52:BF63 AN52:AR63 AU52:BA63 W20:AD31 C20:M31 O20:U31">
    <cfRule type="expression" dxfId="338" priority="125">
      <formula>$AK20=1</formula>
    </cfRule>
  </conditionalFormatting>
  <conditionalFormatting sqref="BE20:BE31">
    <cfRule type="expression" dxfId="326" priority="67">
      <formula>AND($BE20&lt;&gt;"",$BD20&lt;&gt;$BE20)</formula>
    </cfRule>
  </conditionalFormatting>
  <conditionalFormatting sqref="BE38:BE45">
    <cfRule type="expression" dxfId="325" priority="92">
      <formula>AND($BE38&lt;&gt;"",$BD38&lt;&gt;$BE38)</formula>
    </cfRule>
  </conditionalFormatting>
  <conditionalFormatting sqref="BE52:BE63">
    <cfRule type="expression" dxfId="324" priority="117" stopIfTrue="1">
      <formula>AND($DA52&lt;&gt;0,$BE52&lt;&gt;"")</formula>
    </cfRule>
    <cfRule type="expression" dxfId="323" priority="110">
      <formula>AND($BE52&lt;&gt;"",$BD52&lt;&gt;$BE52)</formula>
    </cfRule>
  </conditionalFormatting>
  <conditionalFormatting sqref="BF52:BF63">
    <cfRule type="expression" dxfId="322" priority="121" stopIfTrue="1">
      <formula>AND($DA52&lt;&gt;0,$BF52&lt;&gt;"")</formula>
    </cfRule>
  </conditionalFormatting>
  <conditionalFormatting sqref="BH20:BH31">
    <cfRule type="expression" dxfId="321" priority="68">
      <formula>AND($BH20&lt;&gt;"",$BG20&lt;&gt;$BH20)</formula>
    </cfRule>
  </conditionalFormatting>
  <conditionalFormatting sqref="BH38:BH45">
    <cfRule type="expression" dxfId="320" priority="93">
      <formula>AND($BH38&lt;&gt;"",$BG38&lt;&gt;$BH38)</formula>
    </cfRule>
  </conditionalFormatting>
  <conditionalFormatting sqref="BH52:BS63">
    <cfRule type="expression" dxfId="319" priority="113">
      <formula>IF($BG52&lt;&gt;"",$BH52&lt;&gt;"")</formula>
    </cfRule>
    <cfRule type="expression" dxfId="318" priority="112">
      <formula>IF($BG52="",$BH52&lt;&gt;"")</formula>
    </cfRule>
    <cfRule type="expression" dxfId="317" priority="111" stopIfTrue="1">
      <formula>IF($BG52&lt;&gt;"",$BH52="")</formula>
    </cfRule>
  </conditionalFormatting>
  <conditionalFormatting sqref="BK20:BK31">
    <cfRule type="expression" dxfId="316" priority="71">
      <formula>AND($BK20&lt;&gt;"",$BJ20&lt;&gt;$BK20)</formula>
    </cfRule>
  </conditionalFormatting>
  <conditionalFormatting sqref="BK38:BK45">
    <cfRule type="expression" dxfId="315" priority="94">
      <formula>IF($BK38&lt;&gt;"",$BJ38&lt;&gt;$BK38)</formula>
    </cfRule>
  </conditionalFormatting>
  <conditionalFormatting sqref="BQ20:BQ31">
    <cfRule type="expression" dxfId="314" priority="72">
      <formula>AND($BQ20&lt;&gt;"",$BP20&lt;&gt;$BQ20)</formula>
    </cfRule>
  </conditionalFormatting>
  <conditionalFormatting sqref="BQ38:BQ45">
    <cfRule type="expression" dxfId="313" priority="95">
      <formula>AND($BQ38&lt;&gt;"",$BP38&lt;&gt;$BQ38)</formula>
    </cfRule>
  </conditionalFormatting>
  <conditionalFormatting sqref="BT20:BT31">
    <cfRule type="expression" dxfId="312" priority="74">
      <formula>AND($BT20&lt;&gt;"",$BS20&lt;&gt;$BT20)</formula>
    </cfRule>
  </conditionalFormatting>
  <conditionalFormatting sqref="BT38:BT45">
    <cfRule type="expression" dxfId="311" priority="96">
      <formula>AND($BT38&lt;&gt;"",$BS38&lt;&gt;$BT38)</formula>
    </cfRule>
  </conditionalFormatting>
  <conditionalFormatting sqref="BW20:BW31">
    <cfRule type="expression" dxfId="310" priority="75">
      <formula>AND($BW20&lt;&gt;"",$BV20&lt;&gt;$BW20)</formula>
    </cfRule>
  </conditionalFormatting>
  <conditionalFormatting sqref="BW38:BW45">
    <cfRule type="expression" dxfId="309" priority="97">
      <formula>AND($BW38&lt;&gt;"",$BV38&lt;&gt;$BW$38)</formula>
    </cfRule>
  </conditionalFormatting>
  <conditionalFormatting sqref="BZ20:BZ31">
    <cfRule type="expression" dxfId="308" priority="76">
      <formula>AND($BZ20&lt;&gt;"",$BY20&lt;&gt;$BZ20)</formula>
    </cfRule>
  </conditionalFormatting>
  <conditionalFormatting sqref="BZ38:BZ45">
    <cfRule type="expression" dxfId="307" priority="98">
      <formula>AND($BZ38&lt;&gt;"",$BY38&lt;&gt;$BZ38)</formula>
    </cfRule>
  </conditionalFormatting>
  <conditionalFormatting sqref="CC20:CC31">
    <cfRule type="expression" dxfId="306" priority="77">
      <formula>AND($CC20&lt;&gt;"",$CB20&lt;&gt;$CC20)</formula>
    </cfRule>
  </conditionalFormatting>
  <conditionalFormatting sqref="CC38:CC45">
    <cfRule type="expression" dxfId="305" priority="99">
      <formula>AND($CC38&lt;&gt;"",$CB38&lt;&gt;$CC38)</formula>
    </cfRule>
  </conditionalFormatting>
  <conditionalFormatting sqref="CG20:CG31">
    <cfRule type="expression" dxfId="304" priority="78">
      <formula>AND($CG20&lt;&gt;"",$CF20&lt;&gt;$CG20)</formula>
    </cfRule>
  </conditionalFormatting>
  <conditionalFormatting sqref="CG38:CG45">
    <cfRule type="expression" dxfId="303" priority="101">
      <formula>AND($CG38&lt;&gt;"",$CF38&lt;&gt;$CG38)</formula>
    </cfRule>
  </conditionalFormatting>
  <conditionalFormatting sqref="CJ20:CW31 BP20:CH31 AR20:BN31 AN20:AO31">
    <cfRule type="expression" dxfId="301" priority="139">
      <formula>$AK20=1</formula>
    </cfRule>
  </conditionalFormatting>
  <conditionalFormatting sqref="CL20:CL31">
    <cfRule type="expression" dxfId="289" priority="80">
      <formula>AND($CL20&lt;&gt;"",$CK20&lt;&gt;$CL20)</formula>
    </cfRule>
  </conditionalFormatting>
  <conditionalFormatting sqref="CL38:CL45">
    <cfRule type="expression" dxfId="288" priority="102">
      <formula>AND($CL38&lt;&gt;"",$CK38&lt;&gt;$CL38)</formula>
    </cfRule>
  </conditionalFormatting>
  <conditionalFormatting sqref="CO20:CO31">
    <cfRule type="expression" dxfId="287" priority="81">
      <formula>AND($CO20&lt;&gt;"",$CN20&lt;&gt;$CO20)</formula>
    </cfRule>
  </conditionalFormatting>
  <conditionalFormatting sqref="CO38:CO45">
    <cfRule type="expression" dxfId="286" priority="104">
      <formula>AND($CO38&lt;&gt;"",$CN38&lt;&gt;$CO38)</formula>
    </cfRule>
  </conditionalFormatting>
  <conditionalFormatting sqref="CR20:CR31 CR38:CR45">
    <cfRule type="expression" dxfId="285" priority="114" stopIfTrue="1">
      <formula>$AG20&lt;&gt;0</formula>
    </cfRule>
  </conditionalFormatting>
  <conditionalFormatting sqref="CS20:CS31">
    <cfRule type="expression" dxfId="284" priority="82">
      <formula>AND($CS20&lt;&gt;"",$CR20&lt;&gt;$CS20)</formula>
    </cfRule>
  </conditionalFormatting>
  <conditionalFormatting sqref="CS38:CS45 CS20:CS31">
    <cfRule type="expression" dxfId="283" priority="115" stopIfTrue="1">
      <formula>AND($DA20&lt;&gt;0,$CS20&lt;&gt;"")</formula>
    </cfRule>
  </conditionalFormatting>
  <conditionalFormatting sqref="CS38:CS45">
    <cfRule type="expression" dxfId="282" priority="105">
      <formula>AND($CS38&lt;&gt;"",$CR38&lt;&gt;$CT38)</formula>
    </cfRule>
  </conditionalFormatting>
  <conditionalFormatting sqref="CT20:CT31 CT38:CT45">
    <cfRule type="expression" dxfId="281" priority="116" stopIfTrue="1">
      <formula>AND($DA20&lt;&gt;0,$CT20&lt;&gt;"")</formula>
    </cfRule>
  </conditionalFormatting>
  <conditionalFormatting sqref="CU20:CU31 CU38:CU45">
    <cfRule type="expression" dxfId="280" priority="122" stopIfTrue="1">
      <formula>$AG20&lt;&gt;0</formula>
    </cfRule>
  </conditionalFormatting>
  <conditionalFormatting sqref="CV20:CV31">
    <cfRule type="expression" dxfId="279" priority="83">
      <formula>AND($CV20&lt;&gt;"",$CU20&lt;&gt;$CV20)</formula>
    </cfRule>
  </conditionalFormatting>
  <conditionalFormatting sqref="CV38:CV45 CV20:CV31">
    <cfRule type="expression" dxfId="278" priority="123" stopIfTrue="1">
      <formula>AND($DB20&lt;&gt;0,$CV20&lt;&gt;"")</formula>
    </cfRule>
  </conditionalFormatting>
  <conditionalFormatting sqref="CV38:CV45">
    <cfRule type="expression" dxfId="277" priority="106">
      <formula>AND($CV38&lt;&gt;"",$CU38&lt;&gt;$CW38)</formula>
    </cfRule>
  </conditionalFormatting>
  <conditionalFormatting sqref="CW20:CW31 CW38:CW45">
    <cfRule type="expression" dxfId="276" priority="124" stopIfTrue="1">
      <formula>AND($DB20&lt;&gt;0,$CW20&lt;&gt;"")</formula>
    </cfRule>
  </conditionalFormatting>
  <conditionalFormatting sqref="CY20:CY31">
    <cfRule type="expression" dxfId="275" priority="86">
      <formula>IF($CX20&lt;&gt;"",$CY20&lt;&gt;"")</formula>
    </cfRule>
    <cfRule type="expression" dxfId="274" priority="85">
      <formula>IF($CX20="",$CY20&lt;&gt;"")</formula>
    </cfRule>
    <cfRule type="expression" dxfId="273" priority="84" stopIfTrue="1">
      <formula>IF($CX20&lt;&gt;"",$CY20="")</formula>
    </cfRule>
  </conditionalFormatting>
  <conditionalFormatting sqref="CY38:CY45">
    <cfRule type="expression" dxfId="272" priority="108">
      <formula>IF($CX38="",$CY38&lt;&gt;"")</formula>
    </cfRule>
    <cfRule type="expression" dxfId="271" priority="107" stopIfTrue="1">
      <formula>IF($CX38&lt;&gt;"",$CY38="")</formula>
    </cfRule>
    <cfRule type="expression" dxfId="270" priority="109">
      <formula>IF($CX38&lt;&gt;"",$CY38&lt;&gt;"")</formula>
    </cfRule>
  </conditionalFormatting>
  <printOptions horizontalCentered="1" verticalCentered="1"/>
  <pageMargins left="0.39370078740157483" right="0.39370078740157483" top="0.59055118110236227" bottom="0.39370078740157483" header="0.19685039370078741" footer="0.19685039370078741"/>
  <pageSetup paperSize="8" scale="48" orientation="landscape" r:id="rId1"/>
  <headerFooter>
    <oddFooter>&amp;L&amp;"Nunito Sans,Normal"&amp;8MOD60&amp;C&amp;"Nunito Sans,Normal"&amp;8&amp;A&amp;R&amp;"Nunito Sans,Normal"&amp;8&amp;P de &amp;N</oddFooter>
  </headerFooter>
  <colBreaks count="1" manualBreakCount="1">
    <brk id="32" max="60" man="1"/>
  </colBreaks>
  <ignoredErrors>
    <ignoredError sqref="L28"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3" stopIfTrue="1" id="{E647467C-D93F-41A3-9F17-34FA9937D29A}">
            <xm:f>OR(EXPEDIENTE!$I$25="",EXPEDIENTE!$I$27="",AND(EXPEDIENTE!$I$25&lt;&gt;"",EXPEDIENTE!$I$27&lt;&gt;"",YEAR(EXPEDIENTE!$I$27)&lt;YEAR(EXPEDIENTE!$I$25)+1))</xm:f>
            <x14:dxf>
              <font>
                <color theme="0"/>
              </font>
              <fill>
                <patternFill>
                  <bgColor theme="0"/>
                </patternFill>
              </fill>
              <border>
                <left/>
                <right/>
                <top/>
                <bottom/>
                <vertical/>
                <horizontal/>
              </border>
            </x14:dxf>
          </x14:cfRule>
          <xm:sqref>A8:XFD9 AQ10:XFD10 U11:XFD13 A14:XFD64 F10:AM10 A10:B10 I10:T11 A11:H12 I12 A13:G13</xm:sqref>
        </x14:conditionalFormatting>
        <x14:conditionalFormatting xmlns:xm="http://schemas.microsoft.com/office/excel/2006/main">
          <x14:cfRule type="expression" priority="5" id="{DBFC79F0-C43A-42B1-8AC6-45191FCE85FD}">
            <xm:f>'% DEDICACIÓN TRABAJADOR'!$G$41=0</xm:f>
            <x14:dxf>
              <font>
                <color theme="9" tint="0.79998168889431442"/>
              </font>
              <fill>
                <patternFill>
                  <bgColor theme="9" tint="0.79998168889431442"/>
                </patternFill>
              </fill>
            </x14:dxf>
          </x14:cfRule>
          <xm:sqref>E20:M20 O20:U20 AR20:BN20 BP20:CH20 D52:I52 AO52:AR52 AU52:BA52</xm:sqref>
        </x14:conditionalFormatting>
        <x14:conditionalFormatting xmlns:xm="http://schemas.microsoft.com/office/excel/2006/main">
          <x14:cfRule type="expression" priority="6" id="{3720CE64-1196-4A4B-B0B7-1EA7243B3441}">
            <xm:f>'% DEDICACIÓN TRABAJADOR'!$H$41=0</xm:f>
            <x14:dxf>
              <font>
                <color theme="9" tint="0.79998168889431442"/>
              </font>
              <fill>
                <patternFill>
                  <bgColor theme="9" tint="0.79998168889431442"/>
                </patternFill>
              </fill>
            </x14:dxf>
          </x14:cfRule>
          <xm:sqref>E21:M21 O21:U21 AR21:BN21 BP21:CH21 D53:I53 AO53:AR53 AU53:BA53</xm:sqref>
        </x14:conditionalFormatting>
        <x14:conditionalFormatting xmlns:xm="http://schemas.microsoft.com/office/excel/2006/main">
          <x14:cfRule type="expression" priority="7" id="{D60D6869-5A4F-427A-A86F-BB1AF031FB57}">
            <xm:f>'% DEDICACIÓN TRABAJADOR'!$I$41=0</xm:f>
            <x14:dxf>
              <font>
                <color theme="9" tint="0.79998168889431442"/>
              </font>
              <fill>
                <patternFill>
                  <bgColor theme="9" tint="0.79998168889431442"/>
                </patternFill>
              </fill>
            </x14:dxf>
          </x14:cfRule>
          <xm:sqref>E22:M22 O22:U22 AR22:BN22 BP22:CH22 D54:I54 AO54:AR54 AU54:BA54</xm:sqref>
        </x14:conditionalFormatting>
        <x14:conditionalFormatting xmlns:xm="http://schemas.microsoft.com/office/excel/2006/main">
          <x14:cfRule type="expression" priority="8" id="{7486DE0B-7E59-4AEC-B426-6B0FAB61138B}">
            <xm:f>'% DEDICACIÓN TRABAJADOR'!$J$41=0</xm:f>
            <x14:dxf>
              <font>
                <color theme="9" tint="0.79998168889431442"/>
              </font>
              <fill>
                <patternFill>
                  <bgColor theme="9" tint="0.79998168889431442"/>
                </patternFill>
              </fill>
            </x14:dxf>
          </x14:cfRule>
          <xm:sqref>E23:M23 O23:U23 AR23:BN23 BP23:CH23 D55:I55 AO55:AR55 AU55:BA55</xm:sqref>
        </x14:conditionalFormatting>
        <x14:conditionalFormatting xmlns:xm="http://schemas.microsoft.com/office/excel/2006/main">
          <x14:cfRule type="expression" priority="9" id="{2B2DAA75-8AB4-499E-87A6-76402E32A812}">
            <xm:f>'% DEDICACIÓN TRABAJADOR'!$K$41=0</xm:f>
            <x14:dxf>
              <font>
                <color theme="9" tint="0.79998168889431442"/>
              </font>
              <fill>
                <patternFill>
                  <bgColor theme="9" tint="0.79998168889431442"/>
                </patternFill>
              </fill>
            </x14:dxf>
          </x14:cfRule>
          <xm:sqref>E24:M24 O24:U24 AR24:BN24 BP24:CH24 D56:I56 AO56:AR56 AU56:BA56</xm:sqref>
        </x14:conditionalFormatting>
        <x14:conditionalFormatting xmlns:xm="http://schemas.microsoft.com/office/excel/2006/main">
          <x14:cfRule type="expression" priority="10" id="{1DAC87EF-B72E-447F-9FB6-5137E8C6BC6F}">
            <xm:f>'% DEDICACIÓN TRABAJADOR'!$L$41=0</xm:f>
            <x14:dxf>
              <font>
                <color theme="9" tint="0.79998168889431442"/>
              </font>
              <fill>
                <patternFill>
                  <bgColor theme="9" tint="0.79998168889431442"/>
                </patternFill>
              </fill>
            </x14:dxf>
          </x14:cfRule>
          <xm:sqref>E25:M25 O25:U25 AR25:BN25 BP25:CH25 D57:I57 AO57:AR57 AU57:BA57</xm:sqref>
        </x14:conditionalFormatting>
        <x14:conditionalFormatting xmlns:xm="http://schemas.microsoft.com/office/excel/2006/main">
          <x14:cfRule type="expression" priority="11" id="{59E40124-F1A5-4656-8A51-7AB0160F0C6D}">
            <xm:f>'% DEDICACIÓN TRABAJADOR'!$M$41=0</xm:f>
            <x14:dxf>
              <font>
                <color theme="9" tint="0.79998168889431442"/>
              </font>
              <fill>
                <patternFill>
                  <bgColor theme="9" tint="0.79998168889431442"/>
                </patternFill>
              </fill>
            </x14:dxf>
          </x14:cfRule>
          <xm:sqref>E26:M26 O26:U26 AR26:BN26 BP26:CH26 D58:I58 AO58:AR58 AU58:BA58</xm:sqref>
        </x14:conditionalFormatting>
        <x14:conditionalFormatting xmlns:xm="http://schemas.microsoft.com/office/excel/2006/main">
          <x14:cfRule type="expression" priority="12" id="{97A9944D-6458-423A-B71E-9040FBC50D1F}">
            <xm:f>'% DEDICACIÓN TRABAJADOR'!$N$41=0</xm:f>
            <x14:dxf>
              <font>
                <color theme="9" tint="0.79998168889431442"/>
              </font>
              <fill>
                <patternFill>
                  <bgColor theme="9" tint="0.79998168889431442"/>
                </patternFill>
              </fill>
            </x14:dxf>
          </x14:cfRule>
          <xm:sqref>E27:M27 O27:U27 AR27:BN27 BP27:CH27 D59:I59 AO59:AR59 AU59:BA59</xm:sqref>
        </x14:conditionalFormatting>
        <x14:conditionalFormatting xmlns:xm="http://schemas.microsoft.com/office/excel/2006/main">
          <x14:cfRule type="expression" priority="13" id="{066511C7-0B13-4461-8D8F-365C8ED19F56}">
            <xm:f>'% DEDICACIÓN TRABAJADOR'!$O$41=0</xm:f>
            <x14:dxf>
              <font>
                <color theme="9" tint="0.79998168889431442"/>
              </font>
              <fill>
                <patternFill>
                  <bgColor theme="9" tint="0.79998168889431442"/>
                </patternFill>
              </fill>
            </x14:dxf>
          </x14:cfRule>
          <xm:sqref>E28:M28 O28:U28 AR28:BN28 BP28:CH28 D60:I60 AO60:AR60 AU60:BA60</xm:sqref>
        </x14:conditionalFormatting>
        <x14:conditionalFormatting xmlns:xm="http://schemas.microsoft.com/office/excel/2006/main">
          <x14:cfRule type="expression" priority="14" id="{9EFEDA1D-953A-42CB-97BA-29E63C2070A3}">
            <xm:f>'% DEDICACIÓN TRABAJADOR'!$P$41=0</xm:f>
            <x14:dxf>
              <font>
                <color theme="9" tint="0.79998168889431442"/>
              </font>
              <fill>
                <patternFill>
                  <bgColor theme="9" tint="0.79998168889431442"/>
                </patternFill>
              </fill>
            </x14:dxf>
          </x14:cfRule>
          <xm:sqref>E29:M29 O29:U29 AR29:BN29 BP29:CH29 D61:I61 AO61:AR61 AU61:BA61</xm:sqref>
        </x14:conditionalFormatting>
        <x14:conditionalFormatting xmlns:xm="http://schemas.microsoft.com/office/excel/2006/main">
          <x14:cfRule type="expression" priority="15" id="{5B83DF91-B5DA-4DBF-BA1C-54A476822BA0}">
            <xm:f>'% DEDICACIÓN TRABAJADOR'!$Q$41=0</xm:f>
            <x14:dxf>
              <font>
                <color theme="9" tint="0.79998168889431442"/>
              </font>
              <fill>
                <patternFill>
                  <bgColor theme="9" tint="0.79998168889431442"/>
                </patternFill>
              </fill>
            </x14:dxf>
          </x14:cfRule>
          <xm:sqref>E30:M30 O30:U30 AR30:BN30 BP30:CH30 D62:I62 AO62:AR62 AU62:BA62</xm:sqref>
        </x14:conditionalFormatting>
        <x14:conditionalFormatting xmlns:xm="http://schemas.microsoft.com/office/excel/2006/main">
          <x14:cfRule type="expression" priority="16" id="{4D735FE5-858C-48DD-BF88-9FBFBF3D86A8}">
            <xm:f>'% DEDICACIÓN TRABAJADOR'!$R$41=0</xm:f>
            <x14:dxf>
              <font>
                <color theme="9" tint="0.79998168889431442"/>
              </font>
              <fill>
                <patternFill>
                  <bgColor theme="9" tint="0.79998168889431442"/>
                </patternFill>
              </fill>
            </x14:dxf>
          </x14:cfRule>
          <xm:sqref>E31:M31 O31:U31 AR31:BN31 BP31:CH31 D63:I63 AO63:AR63 AU63:BA63</xm:sqref>
        </x14:conditionalFormatting>
        <x14:conditionalFormatting xmlns:xm="http://schemas.microsoft.com/office/excel/2006/main">
          <x14:cfRule type="expression" priority="126" id="{125A7253-240E-4152-8B3B-BF001A5475C3}">
            <xm:f>'% DEDICACIÓN TRABAJADOR'!$G$41=0</xm:f>
            <x14:dxf>
              <font>
                <color theme="9" tint="0.79998168889431442"/>
              </font>
              <fill>
                <patternFill>
                  <bgColor theme="9" tint="0.79998168889431442"/>
                </patternFill>
              </fill>
            </x14:dxf>
          </x14:cfRule>
          <xm:sqref>W20:AD20</xm:sqref>
        </x14:conditionalFormatting>
        <x14:conditionalFormatting xmlns:xm="http://schemas.microsoft.com/office/excel/2006/main">
          <x14:cfRule type="expression" priority="127" id="{051DEE40-227D-4892-98D2-532FDFE76041}">
            <xm:f>'% DEDICACIÓN TRABAJADOR'!$H$41=0</xm:f>
            <x14:dxf>
              <font>
                <color theme="9" tint="0.79998168889431442"/>
              </font>
              <fill>
                <patternFill>
                  <bgColor theme="9" tint="0.79998168889431442"/>
                </patternFill>
              </fill>
            </x14:dxf>
          </x14:cfRule>
          <xm:sqref>W21:AD21</xm:sqref>
        </x14:conditionalFormatting>
        <x14:conditionalFormatting xmlns:xm="http://schemas.microsoft.com/office/excel/2006/main">
          <x14:cfRule type="expression" priority="128" id="{96291266-04B4-400B-A269-A80B20ECA607}">
            <xm:f>'% DEDICACIÓN TRABAJADOR'!$I$41=0</xm:f>
            <x14:dxf>
              <font>
                <color theme="9" tint="0.79998168889431442"/>
              </font>
              <fill>
                <patternFill>
                  <bgColor theme="9" tint="0.79998168889431442"/>
                </patternFill>
              </fill>
            </x14:dxf>
          </x14:cfRule>
          <xm:sqref>W22:AD22</xm:sqref>
        </x14:conditionalFormatting>
        <x14:conditionalFormatting xmlns:xm="http://schemas.microsoft.com/office/excel/2006/main">
          <x14:cfRule type="expression" priority="129" id="{C78916DA-3DC5-4D4D-A8D6-F8BF16D03265}">
            <xm:f>'% DEDICACIÓN TRABAJADOR'!$J$41=0</xm:f>
            <x14:dxf>
              <font>
                <color theme="9" tint="0.79998168889431442"/>
              </font>
              <fill>
                <patternFill>
                  <bgColor theme="9" tint="0.79998168889431442"/>
                </patternFill>
              </fill>
            </x14:dxf>
          </x14:cfRule>
          <xm:sqref>W23:AD23</xm:sqref>
        </x14:conditionalFormatting>
        <x14:conditionalFormatting xmlns:xm="http://schemas.microsoft.com/office/excel/2006/main">
          <x14:cfRule type="expression" priority="130" id="{7166A011-0822-4428-8926-58FC139A8D01}">
            <xm:f>'% DEDICACIÓN TRABAJADOR'!$K$41=0</xm:f>
            <x14:dxf>
              <font>
                <color theme="9" tint="0.79998168889431442"/>
              </font>
              <fill>
                <patternFill>
                  <bgColor theme="9" tint="0.79998168889431442"/>
                </patternFill>
              </fill>
            </x14:dxf>
          </x14:cfRule>
          <xm:sqref>W24:AD24</xm:sqref>
        </x14:conditionalFormatting>
        <x14:conditionalFormatting xmlns:xm="http://schemas.microsoft.com/office/excel/2006/main">
          <x14:cfRule type="expression" priority="131" id="{E1EB2FF0-E3A8-4C14-80AE-CDC204513478}">
            <xm:f>'% DEDICACIÓN TRABAJADOR'!$L$41=0</xm:f>
            <x14:dxf>
              <font>
                <color theme="9" tint="0.79998168889431442"/>
              </font>
              <fill>
                <patternFill>
                  <bgColor theme="9" tint="0.79998168889431442"/>
                </patternFill>
              </fill>
            </x14:dxf>
          </x14:cfRule>
          <xm:sqref>W25:AD25</xm:sqref>
        </x14:conditionalFormatting>
        <x14:conditionalFormatting xmlns:xm="http://schemas.microsoft.com/office/excel/2006/main">
          <x14:cfRule type="expression" priority="132" id="{38DF8A5F-009E-4478-A723-D943A7664E93}">
            <xm:f>'% DEDICACIÓN TRABAJADOR'!$M$41=0</xm:f>
            <x14:dxf>
              <font>
                <color theme="9" tint="0.79998168889431442"/>
              </font>
              <fill>
                <patternFill>
                  <bgColor theme="9" tint="0.79998168889431442"/>
                </patternFill>
              </fill>
            </x14:dxf>
          </x14:cfRule>
          <xm:sqref>W26:AD26</xm:sqref>
        </x14:conditionalFormatting>
        <x14:conditionalFormatting xmlns:xm="http://schemas.microsoft.com/office/excel/2006/main">
          <x14:cfRule type="expression" priority="133" id="{EDE73296-46B2-479E-ACAD-BAE8CFD7BAD8}">
            <xm:f>'% DEDICACIÓN TRABAJADOR'!$N$41=0</xm:f>
            <x14:dxf>
              <font>
                <color theme="9" tint="0.79998168889431442"/>
              </font>
              <fill>
                <patternFill>
                  <bgColor theme="9" tint="0.79998168889431442"/>
                </patternFill>
              </fill>
            </x14:dxf>
          </x14:cfRule>
          <xm:sqref>W27:AD27</xm:sqref>
        </x14:conditionalFormatting>
        <x14:conditionalFormatting xmlns:xm="http://schemas.microsoft.com/office/excel/2006/main">
          <x14:cfRule type="expression" priority="134" id="{3ED366CD-9C72-4F2F-84CF-7583066A702A}">
            <xm:f>'% DEDICACIÓN TRABAJADOR'!$O$41=0</xm:f>
            <x14:dxf>
              <font>
                <color theme="9" tint="0.79998168889431442"/>
              </font>
              <fill>
                <patternFill>
                  <bgColor theme="9" tint="0.79998168889431442"/>
                </patternFill>
              </fill>
            </x14:dxf>
          </x14:cfRule>
          <xm:sqref>W28:AD28</xm:sqref>
        </x14:conditionalFormatting>
        <x14:conditionalFormatting xmlns:xm="http://schemas.microsoft.com/office/excel/2006/main">
          <x14:cfRule type="expression" priority="136" id="{43D5807B-91B3-4D8E-914F-97E0965D2E73}">
            <xm:f>'% DEDICACIÓN TRABAJADOR'!$P$41=0</xm:f>
            <x14:dxf>
              <font>
                <color theme="9" tint="0.79998168889431442"/>
              </font>
              <fill>
                <patternFill>
                  <bgColor theme="9" tint="0.79998168889431442"/>
                </patternFill>
              </fill>
            </x14:dxf>
          </x14:cfRule>
          <xm:sqref>W29:AD29</xm:sqref>
        </x14:conditionalFormatting>
        <x14:conditionalFormatting xmlns:xm="http://schemas.microsoft.com/office/excel/2006/main">
          <x14:cfRule type="expression" priority="137" id="{3D236573-E47E-4554-84D6-73D023174DBC}">
            <xm:f>'% DEDICACIÓN TRABAJADOR'!$Q$41=0</xm:f>
            <x14:dxf>
              <font>
                <color theme="9" tint="0.79998168889431442"/>
              </font>
              <fill>
                <patternFill>
                  <bgColor theme="9" tint="0.79998168889431442"/>
                </patternFill>
              </fill>
            </x14:dxf>
          </x14:cfRule>
          <xm:sqref>W30:AD30</xm:sqref>
        </x14:conditionalFormatting>
        <x14:conditionalFormatting xmlns:xm="http://schemas.microsoft.com/office/excel/2006/main">
          <x14:cfRule type="expression" priority="138" id="{C5A8D61B-9261-4A1A-A004-778110B50733}">
            <xm:f>'% DEDICACIÓN TRABAJADOR'!$R$41=0</xm:f>
            <x14:dxf>
              <font>
                <color theme="9" tint="0.79998168889431442"/>
              </font>
              <fill>
                <patternFill>
                  <bgColor theme="9" tint="0.79998168889431442"/>
                </patternFill>
              </fill>
            </x14:dxf>
          </x14:cfRule>
          <xm:sqref>W31:AD31</xm:sqref>
        </x14:conditionalFormatting>
        <x14:conditionalFormatting xmlns:xm="http://schemas.microsoft.com/office/excel/2006/main">
          <x14:cfRule type="expression" priority="1" stopIfTrue="1" id="{16FBA805-AD05-424D-B8E6-B76DA2952AC6}">
            <xm:f>OR(USUARIO!$C$2="",AUXILIAR!$W$6&lt;&gt;USUARIO!$C$2)</xm:f>
            <x14:dxf>
              <font>
                <color theme="0"/>
              </font>
              <fill>
                <patternFill>
                  <bgColor theme="0"/>
                </patternFill>
              </fill>
              <border>
                <left/>
                <right/>
                <top/>
                <bottom/>
                <vertical/>
                <horizontal/>
              </border>
            </x14:dxf>
          </x14:cfRule>
          <xm:sqref>AL10:AN10</xm:sqref>
        </x14:conditionalFormatting>
        <x14:conditionalFormatting xmlns:xm="http://schemas.microsoft.com/office/excel/2006/main">
          <x14:cfRule type="expression" priority="2" stopIfTrue="1" id="{16570CF5-33A6-46C7-A637-51D0F0FBAA7D}">
            <xm:f>OR(USUARIO!$C$2="",AUXILIAR!$W$6&lt;&gt;USUARIO!$C$2)</xm:f>
            <x14:dxf>
              <font>
                <color theme="0"/>
              </font>
              <fill>
                <patternFill>
                  <bgColor theme="0"/>
                </patternFill>
              </fill>
              <border>
                <left/>
                <right/>
                <top/>
                <bottom/>
                <vertical/>
                <horizontal/>
              </border>
            </x14:dxf>
          </x14:cfRule>
          <xm:sqref>AL1:CY9 AQ10:CY10 AL11:CY1048576</xm:sqref>
        </x14:conditionalFormatting>
        <x14:conditionalFormatting xmlns:xm="http://schemas.microsoft.com/office/excel/2006/main">
          <x14:cfRule type="expression" priority="244" id="{A72E063D-C414-408C-AA93-9DAD3D72A966}">
            <xm:f>'% DEDICACIÓN TRABAJADOR'!$G$41=0</xm:f>
            <x14:dxf>
              <font>
                <color theme="9" tint="0.79998168889431442"/>
              </font>
              <fill>
                <patternFill>
                  <bgColor theme="9" tint="0.79998168889431442"/>
                </patternFill>
              </fill>
            </x14:dxf>
          </x14:cfRule>
          <xm:sqref>BD52:BF52</xm:sqref>
        </x14:conditionalFormatting>
        <x14:conditionalFormatting xmlns:xm="http://schemas.microsoft.com/office/excel/2006/main">
          <x14:cfRule type="expression" priority="245" id="{7B363773-7161-4709-A8F3-C2D1F9D6082B}">
            <xm:f>'% DEDICACIÓN TRABAJADOR'!$H$41=0</xm:f>
            <x14:dxf>
              <font>
                <color theme="9" tint="0.79998168889431442"/>
              </font>
              <fill>
                <patternFill>
                  <bgColor theme="9" tint="0.79998168889431442"/>
                </patternFill>
              </fill>
            </x14:dxf>
          </x14:cfRule>
          <xm:sqref>BD53:BF53</xm:sqref>
        </x14:conditionalFormatting>
        <x14:conditionalFormatting xmlns:xm="http://schemas.microsoft.com/office/excel/2006/main">
          <x14:cfRule type="expression" priority="246" id="{D1C959D9-824F-44DF-B3FD-91B98B65209B}">
            <xm:f>'% DEDICACIÓN TRABAJADOR'!$I$41=0</xm:f>
            <x14:dxf>
              <font>
                <color theme="9" tint="0.79998168889431442"/>
              </font>
              <fill>
                <patternFill>
                  <bgColor theme="9" tint="0.79998168889431442"/>
                </patternFill>
              </fill>
            </x14:dxf>
          </x14:cfRule>
          <xm:sqref>BD54:BF54</xm:sqref>
        </x14:conditionalFormatting>
        <x14:conditionalFormatting xmlns:xm="http://schemas.microsoft.com/office/excel/2006/main">
          <x14:cfRule type="expression" priority="247" id="{B1941DCD-2E6B-48AD-9CE0-61490CF9FF39}">
            <xm:f>'% DEDICACIÓN TRABAJADOR'!$J$41=0</xm:f>
            <x14:dxf>
              <font>
                <color theme="9" tint="0.79998168889431442"/>
              </font>
              <fill>
                <patternFill>
                  <bgColor theme="9" tint="0.79998168889431442"/>
                </patternFill>
              </fill>
            </x14:dxf>
          </x14:cfRule>
          <xm:sqref>BD55:BF55</xm:sqref>
        </x14:conditionalFormatting>
        <x14:conditionalFormatting xmlns:xm="http://schemas.microsoft.com/office/excel/2006/main">
          <x14:cfRule type="expression" priority="248" id="{9AF73021-DED5-4B3C-9A51-720A174505E9}">
            <xm:f>'% DEDICACIÓN TRABAJADOR'!$K$41=0</xm:f>
            <x14:dxf>
              <font>
                <color theme="9" tint="0.79998168889431442"/>
              </font>
              <fill>
                <patternFill>
                  <bgColor theme="9" tint="0.79998168889431442"/>
                </patternFill>
              </fill>
            </x14:dxf>
          </x14:cfRule>
          <xm:sqref>BD56:BF56</xm:sqref>
        </x14:conditionalFormatting>
        <x14:conditionalFormatting xmlns:xm="http://schemas.microsoft.com/office/excel/2006/main">
          <x14:cfRule type="expression" priority="250" id="{A4E54400-7828-48D5-9F82-84ACA18517E2}">
            <xm:f>'% DEDICACIÓN TRABAJADOR'!$L$41=0</xm:f>
            <x14:dxf>
              <font>
                <color theme="9" tint="0.79998168889431442"/>
              </font>
              <fill>
                <patternFill>
                  <bgColor theme="9" tint="0.79998168889431442"/>
                </patternFill>
              </fill>
            </x14:dxf>
          </x14:cfRule>
          <xm:sqref>BD57:BF57</xm:sqref>
        </x14:conditionalFormatting>
        <x14:conditionalFormatting xmlns:xm="http://schemas.microsoft.com/office/excel/2006/main">
          <x14:cfRule type="expression" priority="251" id="{EDA6BF1F-0C5B-4323-B27B-E77C10CB550F}">
            <xm:f>'% DEDICACIÓN TRABAJADOR'!$M$41=0</xm:f>
            <x14:dxf>
              <font>
                <color theme="9" tint="0.79998168889431442"/>
              </font>
              <fill>
                <patternFill>
                  <bgColor theme="9" tint="0.79998168889431442"/>
                </patternFill>
              </fill>
            </x14:dxf>
          </x14:cfRule>
          <xm:sqref>BD58:BF58</xm:sqref>
        </x14:conditionalFormatting>
        <x14:conditionalFormatting xmlns:xm="http://schemas.microsoft.com/office/excel/2006/main">
          <x14:cfRule type="expression" priority="253" id="{E596B564-0DEE-468D-ABF1-E2D8CDEBA6F6}">
            <xm:f>'% DEDICACIÓN TRABAJADOR'!$N$41=0</xm:f>
            <x14:dxf>
              <font>
                <color theme="9" tint="0.79998168889431442"/>
              </font>
              <fill>
                <patternFill>
                  <bgColor theme="9" tint="0.79998168889431442"/>
                </patternFill>
              </fill>
            </x14:dxf>
          </x14:cfRule>
          <xm:sqref>BD59:BF59</xm:sqref>
        </x14:conditionalFormatting>
        <x14:conditionalFormatting xmlns:xm="http://schemas.microsoft.com/office/excel/2006/main">
          <x14:cfRule type="expression" priority="254" id="{46294EFC-C7B6-4380-8A6A-3E452FCE3553}">
            <xm:f>'% DEDICACIÓN TRABAJADOR'!$O$41=0</xm:f>
            <x14:dxf>
              <font>
                <color theme="9" tint="0.79998168889431442"/>
              </font>
              <fill>
                <patternFill>
                  <bgColor theme="9" tint="0.79998168889431442"/>
                </patternFill>
              </fill>
            </x14:dxf>
          </x14:cfRule>
          <xm:sqref>BD60:BF60</xm:sqref>
        </x14:conditionalFormatting>
        <x14:conditionalFormatting xmlns:xm="http://schemas.microsoft.com/office/excel/2006/main">
          <x14:cfRule type="expression" priority="270" id="{0C991B1C-B537-4AB0-97D1-AAD210F365C0}">
            <xm:f>'% DEDICACIÓN TRABAJADOR'!$P$41=0</xm:f>
            <x14:dxf>
              <font>
                <color theme="9" tint="0.79998168889431442"/>
              </font>
              <fill>
                <patternFill>
                  <bgColor theme="9" tint="0.79998168889431442"/>
                </patternFill>
              </fill>
            </x14:dxf>
          </x14:cfRule>
          <xm:sqref>BD61:BF61</xm:sqref>
        </x14:conditionalFormatting>
        <x14:conditionalFormatting xmlns:xm="http://schemas.microsoft.com/office/excel/2006/main">
          <x14:cfRule type="expression" priority="271" id="{5AC308DC-6820-4B88-B332-B907720AEDE1}">
            <xm:f>'% DEDICACIÓN TRABAJADOR'!$Q$41=0</xm:f>
            <x14:dxf>
              <font>
                <color theme="9" tint="0.79998168889431442"/>
              </font>
              <fill>
                <patternFill>
                  <bgColor theme="9" tint="0.79998168889431442"/>
                </patternFill>
              </fill>
            </x14:dxf>
          </x14:cfRule>
          <xm:sqref>BD62:BF62</xm:sqref>
        </x14:conditionalFormatting>
        <x14:conditionalFormatting xmlns:xm="http://schemas.microsoft.com/office/excel/2006/main">
          <x14:cfRule type="expression" priority="272" id="{0D0F1224-1184-4DF1-9721-4B9AD2F04084}">
            <xm:f>'% DEDICACIÓN TRABAJADOR'!$R$41=0</xm:f>
            <x14:dxf>
              <font>
                <color theme="9" tint="0.79998168889431442"/>
              </font>
              <fill>
                <patternFill>
                  <bgColor theme="9" tint="0.79998168889431442"/>
                </patternFill>
              </fill>
            </x14:dxf>
          </x14:cfRule>
          <xm:sqref>BD63:BF63</xm:sqref>
        </x14:conditionalFormatting>
        <x14:conditionalFormatting xmlns:xm="http://schemas.microsoft.com/office/excel/2006/main">
          <x14:cfRule type="expression" priority="140" id="{85D5AD60-FAC0-4B51-898C-C612D66FE36C}">
            <xm:f>'% DEDICACIÓN TRABAJADOR'!$G$41=0</xm:f>
            <x14:dxf>
              <font>
                <color theme="9" tint="0.79998168889431442"/>
              </font>
              <fill>
                <patternFill>
                  <bgColor theme="9" tint="0.79998168889431442"/>
                </patternFill>
              </fill>
            </x14:dxf>
          </x14:cfRule>
          <xm:sqref>CJ20:CW20</xm:sqref>
        </x14:conditionalFormatting>
        <x14:conditionalFormatting xmlns:xm="http://schemas.microsoft.com/office/excel/2006/main">
          <x14:cfRule type="expression" priority="141" id="{32E0C71E-D8F2-489D-965E-00783416ECDB}">
            <xm:f>'% DEDICACIÓN TRABAJADOR'!$H$41=0</xm:f>
            <x14:dxf>
              <font>
                <color theme="9" tint="0.79998168889431442"/>
              </font>
              <fill>
                <patternFill>
                  <bgColor theme="9" tint="0.79998168889431442"/>
                </patternFill>
              </fill>
            </x14:dxf>
          </x14:cfRule>
          <xm:sqref>CJ21:CW21</xm:sqref>
        </x14:conditionalFormatting>
        <x14:conditionalFormatting xmlns:xm="http://schemas.microsoft.com/office/excel/2006/main">
          <x14:cfRule type="expression" priority="142" id="{E7123EA5-970B-444F-806E-49E530F89E5C}">
            <xm:f>'% DEDICACIÓN TRABAJADOR'!$I$41=0</xm:f>
            <x14:dxf>
              <font>
                <color theme="9" tint="0.79998168889431442"/>
              </font>
              <fill>
                <patternFill>
                  <bgColor theme="9" tint="0.79998168889431442"/>
                </patternFill>
              </fill>
            </x14:dxf>
          </x14:cfRule>
          <xm:sqref>CJ22:CW22</xm:sqref>
        </x14:conditionalFormatting>
        <x14:conditionalFormatting xmlns:xm="http://schemas.microsoft.com/office/excel/2006/main">
          <x14:cfRule type="expression" priority="143" id="{600DE9BF-C913-4778-882C-8B44CCAAF08A}">
            <xm:f>'% DEDICACIÓN TRABAJADOR'!$J$41=0</xm:f>
            <x14:dxf>
              <font>
                <color theme="9" tint="0.79998168889431442"/>
              </font>
              <fill>
                <patternFill>
                  <bgColor theme="9" tint="0.79998168889431442"/>
                </patternFill>
              </fill>
            </x14:dxf>
          </x14:cfRule>
          <xm:sqref>CJ23:CW23</xm:sqref>
        </x14:conditionalFormatting>
        <x14:conditionalFormatting xmlns:xm="http://schemas.microsoft.com/office/excel/2006/main">
          <x14:cfRule type="expression" priority="145" id="{1487C90C-B44C-4014-A2F7-1A3673F9C6FD}">
            <xm:f>'% DEDICACIÓN TRABAJADOR'!$K$41=0</xm:f>
            <x14:dxf>
              <font>
                <color theme="9" tint="0.79998168889431442"/>
              </font>
              <fill>
                <patternFill>
                  <bgColor theme="9" tint="0.79998168889431442"/>
                </patternFill>
              </fill>
            </x14:dxf>
          </x14:cfRule>
          <xm:sqref>CJ24:CW24</xm:sqref>
        </x14:conditionalFormatting>
        <x14:conditionalFormatting xmlns:xm="http://schemas.microsoft.com/office/excel/2006/main">
          <x14:cfRule type="expression" priority="147" id="{B32A6FBC-8B9A-41C0-817B-06FCC736A7E6}">
            <xm:f>'% DEDICACIÓN TRABAJADOR'!$L$41=0</xm:f>
            <x14:dxf>
              <font>
                <color theme="9" tint="0.79998168889431442"/>
              </font>
              <fill>
                <patternFill>
                  <bgColor theme="9" tint="0.79998168889431442"/>
                </patternFill>
              </fill>
            </x14:dxf>
          </x14:cfRule>
          <xm:sqref>CJ25:CW25</xm:sqref>
        </x14:conditionalFormatting>
        <x14:conditionalFormatting xmlns:xm="http://schemas.microsoft.com/office/excel/2006/main">
          <x14:cfRule type="expression" priority="238" id="{A4439158-6620-4254-BCA1-8584411CC518}">
            <xm:f>'% DEDICACIÓN TRABAJADOR'!$M$41=0</xm:f>
            <x14:dxf>
              <font>
                <color theme="9" tint="0.79998168889431442"/>
              </font>
              <fill>
                <patternFill>
                  <bgColor theme="9" tint="0.79998168889431442"/>
                </patternFill>
              </fill>
            </x14:dxf>
          </x14:cfRule>
          <xm:sqref>CJ26:CW26</xm:sqref>
        </x14:conditionalFormatting>
        <x14:conditionalFormatting xmlns:xm="http://schemas.microsoft.com/office/excel/2006/main">
          <x14:cfRule type="expression" priority="239" id="{8A025F6C-AB81-4574-A37C-6F250ED139F7}">
            <xm:f>'% DEDICACIÓN TRABAJADOR'!$N$41=0</xm:f>
            <x14:dxf>
              <font>
                <color theme="9" tint="0.79998168889431442"/>
              </font>
              <fill>
                <patternFill>
                  <bgColor theme="9" tint="0.79998168889431442"/>
                </patternFill>
              </fill>
            </x14:dxf>
          </x14:cfRule>
          <xm:sqref>CJ27:CW27</xm:sqref>
        </x14:conditionalFormatting>
        <x14:conditionalFormatting xmlns:xm="http://schemas.microsoft.com/office/excel/2006/main">
          <x14:cfRule type="expression" priority="240" id="{9A49F17D-380A-4EF0-8758-E1BDC2F23A84}">
            <xm:f>'% DEDICACIÓN TRABAJADOR'!$O$41=0</xm:f>
            <x14:dxf>
              <font>
                <color theme="9" tint="0.79998168889431442"/>
              </font>
              <fill>
                <patternFill>
                  <bgColor theme="9" tint="0.79998168889431442"/>
                </patternFill>
              </fill>
            </x14:dxf>
          </x14:cfRule>
          <xm:sqref>CJ28:CW28</xm:sqref>
        </x14:conditionalFormatting>
        <x14:conditionalFormatting xmlns:xm="http://schemas.microsoft.com/office/excel/2006/main">
          <x14:cfRule type="expression" priority="241" id="{3353C852-B53C-4B77-B556-791B6D8AF51B}">
            <xm:f>'% DEDICACIÓN TRABAJADOR'!$P$41=0</xm:f>
            <x14:dxf>
              <font>
                <color theme="9" tint="0.79998168889431442"/>
              </font>
              <fill>
                <patternFill>
                  <bgColor theme="9" tint="0.79998168889431442"/>
                </patternFill>
              </fill>
            </x14:dxf>
          </x14:cfRule>
          <xm:sqref>CJ29:CW29</xm:sqref>
        </x14:conditionalFormatting>
        <x14:conditionalFormatting xmlns:xm="http://schemas.microsoft.com/office/excel/2006/main">
          <x14:cfRule type="expression" priority="242" id="{D079E7B2-EDA6-4550-80F2-DEFEABDBD1B6}">
            <xm:f>'% DEDICACIÓN TRABAJADOR'!$Q$41=0</xm:f>
            <x14:dxf>
              <font>
                <color theme="9" tint="0.79998168889431442"/>
              </font>
              <fill>
                <patternFill>
                  <bgColor theme="9" tint="0.79998168889431442"/>
                </patternFill>
              </fill>
            </x14:dxf>
          </x14:cfRule>
          <xm:sqref>CJ30:CW30</xm:sqref>
        </x14:conditionalFormatting>
        <x14:conditionalFormatting xmlns:xm="http://schemas.microsoft.com/office/excel/2006/main">
          <x14:cfRule type="expression" priority="243" id="{D95F9997-7DB9-4858-BCE6-5FB6F633506E}">
            <xm:f>'% DEDICACIÓN TRABAJADOR'!$R$41=0</xm:f>
            <x14:dxf>
              <font>
                <color theme="9" tint="0.79998168889431442"/>
              </font>
              <fill>
                <patternFill>
                  <bgColor theme="9" tint="0.79998168889431442"/>
                </patternFill>
              </fill>
            </x14:dxf>
          </x14:cfRule>
          <xm:sqref>CJ31:CW31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5E205-086C-4D1C-9216-F440A02E5022}">
  <sheetPr>
    <tabColor rgb="FF0592CB"/>
  </sheetPr>
  <dimension ref="A1:DX65"/>
  <sheetViews>
    <sheetView showGridLines="0" zoomScale="70" zoomScaleNormal="70" workbookViewId="0">
      <selection activeCell="F9" sqref="F9"/>
    </sheetView>
  </sheetViews>
  <sheetFormatPr baseColWidth="10" defaultColWidth="11.42578125" defaultRowHeight="15" outlineLevelCol="1" x14ac:dyDescent="0.25"/>
  <cols>
    <col min="1" max="2" width="5.5703125" style="47" customWidth="1"/>
    <col min="3" max="3" width="13.7109375" style="47" customWidth="1"/>
    <col min="4" max="5" width="10.5703125" style="47" customWidth="1"/>
    <col min="6" max="6" width="9.5703125" style="47" customWidth="1"/>
    <col min="7" max="12" width="11.5703125" style="47" customWidth="1"/>
    <col min="13" max="13" width="15.5703125" style="47" customWidth="1"/>
    <col min="14" max="14" width="1.5703125" style="47" customWidth="1"/>
    <col min="15" max="20" width="11.5703125" style="47" customWidth="1"/>
    <col min="21" max="21" width="12.7109375" style="47" customWidth="1"/>
    <col min="22" max="22" width="1.5703125" style="47" customWidth="1"/>
    <col min="23" max="27" width="12.5703125" style="47" customWidth="1"/>
    <col min="28" max="30" width="13.5703125" style="47" customWidth="1"/>
    <col min="31" max="31" width="40.7109375" style="47" customWidth="1"/>
    <col min="32" max="32" width="1.5703125" style="47" customWidth="1"/>
    <col min="33" max="34" width="5.7109375" style="53" hidden="1" customWidth="1"/>
    <col min="35" max="37" width="8.7109375" style="53" hidden="1" customWidth="1"/>
    <col min="38" max="38" width="5.7109375" style="47" hidden="1" customWidth="1" outlineLevel="1"/>
    <col min="39" max="39" width="5.5703125" style="82" hidden="1" customWidth="1" outlineLevel="1"/>
    <col min="40" max="40" width="13.7109375" style="82" hidden="1" customWidth="1" outlineLevel="1"/>
    <col min="41" max="46" width="9.7109375" style="82" hidden="1" customWidth="1" outlineLevel="1"/>
    <col min="47" max="49" width="9.5703125" style="82" hidden="1" customWidth="1" outlineLevel="1"/>
    <col min="50" max="66" width="9.7109375" style="82" hidden="1" customWidth="1" outlineLevel="1"/>
    <col min="67" max="67" width="1.5703125" style="82" hidden="1" customWidth="1" outlineLevel="1"/>
    <col min="68" max="86" width="9.7109375" style="82" hidden="1" customWidth="1" outlineLevel="1"/>
    <col min="87" max="87" width="1.5703125" style="82" hidden="1" customWidth="1" outlineLevel="1"/>
    <col min="88" max="88" width="11.28515625" style="82" hidden="1" customWidth="1" outlineLevel="1"/>
    <col min="89" max="101" width="9.7109375" style="82" hidden="1" customWidth="1" outlineLevel="1"/>
    <col min="102" max="102" width="5.7109375" style="82" hidden="1" customWidth="1" outlineLevel="1"/>
    <col min="103" max="103" width="90.7109375" style="82" hidden="1" customWidth="1" outlineLevel="1"/>
    <col min="104" max="104" width="5.5703125" style="47" customWidth="1" collapsed="1"/>
    <col min="105" max="106" width="5.7109375" style="53" hidden="1" customWidth="1"/>
    <col min="107" max="107" width="5.7109375" style="47" hidden="1" customWidth="1"/>
    <col min="108" max="125" width="5.7109375" style="53" hidden="1" customWidth="1"/>
    <col min="126" max="126" width="5.7109375" style="47" hidden="1" customWidth="1"/>
    <col min="127" max="128" width="0" style="47" hidden="1" customWidth="1"/>
    <col min="129" max="16384" width="11.42578125" style="47"/>
  </cols>
  <sheetData>
    <row r="1" spans="1:128" ht="15" customHeight="1" x14ac:dyDescent="0.25">
      <c r="A1" s="298"/>
    </row>
    <row r="2" spans="1:128" ht="18" customHeight="1" x14ac:dyDescent="0.25">
      <c r="F2" s="287"/>
      <c r="G2" s="288"/>
      <c r="I2" s="289"/>
      <c r="AU2" s="290"/>
      <c r="AV2" s="290"/>
      <c r="AW2" s="290"/>
      <c r="AX2" s="291"/>
      <c r="AY2" s="291"/>
      <c r="AZ2" s="291"/>
      <c r="BD2" s="292"/>
      <c r="BE2" s="292"/>
      <c r="BF2" s="292"/>
    </row>
    <row r="3" spans="1:128" ht="18" customHeight="1" x14ac:dyDescent="0.25">
      <c r="AR3" s="47"/>
      <c r="AS3" s="291"/>
      <c r="AT3" s="291"/>
    </row>
    <row r="4" spans="1:128" ht="18" customHeight="1" x14ac:dyDescent="0.25">
      <c r="E4" s="105" t="str">
        <f>'IDENTIFICACIÓN TRABAJADOR'!F5</f>
        <v/>
      </c>
      <c r="F4" s="52"/>
      <c r="G4" s="125"/>
      <c r="AR4" s="366" t="str">
        <f>'IDENTIFICACIÓN TRABAJADOR'!$F$5</f>
        <v/>
      </c>
      <c r="AS4" s="131"/>
      <c r="AT4" s="131"/>
      <c r="AU4" s="131"/>
      <c r="AV4" s="293"/>
      <c r="AW4" s="293"/>
      <c r="AX4" s="84"/>
      <c r="AY4" s="84"/>
      <c r="AZ4" s="84"/>
    </row>
    <row r="5" spans="1:128" ht="18" customHeight="1" x14ac:dyDescent="0.25">
      <c r="F5" s="52"/>
      <c r="G5" s="52"/>
      <c r="H5" s="52"/>
      <c r="I5" s="52"/>
      <c r="J5" s="52"/>
      <c r="K5" s="52"/>
      <c r="L5" s="52"/>
      <c r="M5" s="52"/>
      <c r="N5" s="52"/>
      <c r="O5" s="52"/>
      <c r="P5" s="52"/>
      <c r="Q5" s="52"/>
      <c r="R5" s="52"/>
      <c r="S5" s="52"/>
      <c r="T5" s="52"/>
      <c r="AR5" s="47"/>
      <c r="AS5" s="294"/>
      <c r="AT5" s="294"/>
      <c r="AU5" s="131"/>
      <c r="AV5" s="131"/>
      <c r="AW5" s="131"/>
      <c r="AX5" s="131"/>
      <c r="AY5" s="131"/>
      <c r="AZ5" s="131"/>
      <c r="BA5" s="131"/>
      <c r="BB5" s="131"/>
      <c r="BC5" s="131"/>
      <c r="BD5" s="131"/>
      <c r="BE5" s="131"/>
      <c r="BF5" s="131"/>
      <c r="BG5" s="131"/>
      <c r="BH5" s="131"/>
      <c r="BI5" s="131"/>
      <c r="BM5" s="131"/>
      <c r="BN5" s="131"/>
      <c r="BO5" s="131"/>
      <c r="BP5" s="131"/>
      <c r="BQ5" s="131"/>
      <c r="BR5" s="131"/>
      <c r="BS5" s="131"/>
      <c r="BT5" s="131"/>
      <c r="BU5" s="131"/>
      <c r="BV5" s="131"/>
      <c r="BW5" s="131"/>
      <c r="BX5" s="131"/>
      <c r="BY5" s="131"/>
      <c r="BZ5" s="131"/>
      <c r="CA5" s="131"/>
      <c r="CB5" s="131"/>
      <c r="CC5" s="131"/>
      <c r="CD5" s="131"/>
      <c r="CE5" s="131"/>
    </row>
    <row r="6" spans="1:128" ht="18" customHeight="1" x14ac:dyDescent="0.25">
      <c r="E6" s="295" t="str">
        <f>'% DEDICACIÓN TRABAJADOR'!F7</f>
        <v>TRABAJADOR:</v>
      </c>
      <c r="F6" s="52"/>
      <c r="G6" s="52"/>
      <c r="H6" s="52"/>
      <c r="I6" s="52"/>
      <c r="J6" s="52"/>
      <c r="K6" s="52"/>
      <c r="L6" s="52"/>
      <c r="M6" s="52"/>
      <c r="N6" s="52"/>
      <c r="O6" s="52"/>
      <c r="P6" s="52"/>
      <c r="Q6" s="52"/>
      <c r="R6" s="52"/>
      <c r="S6" s="52"/>
      <c r="T6" s="52"/>
      <c r="AR6" s="126" t="str">
        <f>'% DEDICACIÓN TRABAJADOR'!$F$7</f>
        <v>TRABAJADOR:</v>
      </c>
      <c r="AS6" s="294"/>
      <c r="AT6" s="294"/>
      <c r="AU6" s="131"/>
      <c r="AV6" s="131"/>
      <c r="AW6" s="131"/>
      <c r="AX6" s="131"/>
      <c r="AY6" s="131"/>
      <c r="AZ6" s="131"/>
      <c r="BA6" s="131"/>
      <c r="BB6" s="131"/>
      <c r="BC6" s="131"/>
      <c r="BD6" s="131"/>
      <c r="BE6" s="131"/>
      <c r="BF6" s="131"/>
      <c r="BG6" s="131"/>
      <c r="BH6" s="131"/>
      <c r="BI6" s="131"/>
      <c r="BJ6" s="131"/>
      <c r="BM6" s="131"/>
      <c r="BN6" s="131"/>
      <c r="BO6" s="131"/>
      <c r="BP6" s="131"/>
      <c r="BQ6" s="131"/>
      <c r="BR6" s="131"/>
      <c r="BS6" s="131"/>
      <c r="BT6" s="131"/>
      <c r="BU6" s="131"/>
      <c r="BV6" s="131"/>
      <c r="BW6" s="131"/>
      <c r="BX6" s="131"/>
      <c r="BY6" s="131"/>
      <c r="BZ6" s="131"/>
      <c r="CA6" s="131"/>
      <c r="CB6" s="131"/>
      <c r="CC6" s="131"/>
      <c r="CD6" s="131"/>
      <c r="CE6" s="131"/>
    </row>
    <row r="7" spans="1:128" ht="15" customHeight="1" thickBot="1" x14ac:dyDescent="0.3">
      <c r="BA7" s="131"/>
      <c r="BB7" s="131"/>
      <c r="BC7" s="131"/>
      <c r="BD7" s="131"/>
      <c r="BE7" s="131"/>
      <c r="BF7" s="131"/>
      <c r="BG7" s="131"/>
      <c r="BH7" s="131"/>
      <c r="BI7" s="131"/>
      <c r="BJ7" s="131"/>
      <c r="BM7" s="131"/>
      <c r="BN7" s="131"/>
      <c r="BO7" s="131"/>
      <c r="BP7" s="131"/>
      <c r="BQ7" s="131"/>
      <c r="BR7" s="131"/>
      <c r="BS7" s="131"/>
      <c r="BT7" s="131"/>
      <c r="BU7" s="131"/>
      <c r="BV7" s="131"/>
      <c r="BW7" s="131"/>
      <c r="BX7" s="131"/>
      <c r="BY7" s="131"/>
      <c r="BZ7" s="131"/>
      <c r="CA7" s="131"/>
      <c r="CB7" s="131"/>
      <c r="CC7" s="131"/>
      <c r="CD7" s="131"/>
      <c r="CE7" s="131"/>
      <c r="DD7" s="812" t="s">
        <v>157</v>
      </c>
      <c r="DE7" s="812"/>
      <c r="DF7" s="812"/>
      <c r="DG7" s="812"/>
      <c r="DH7" s="812"/>
      <c r="DI7" s="812"/>
      <c r="DJ7" s="812"/>
      <c r="DK7" s="812"/>
      <c r="DL7" s="812"/>
      <c r="DM7" s="812"/>
      <c r="DN7" s="812"/>
      <c r="DO7" s="812"/>
      <c r="DP7" s="812"/>
      <c r="DQ7" s="812"/>
      <c r="DR7" s="812"/>
      <c r="DS7" s="812"/>
      <c r="DT7" s="812"/>
      <c r="DU7" s="812"/>
      <c r="DW7" s="811" t="s">
        <v>158</v>
      </c>
      <c r="DX7" s="811"/>
    </row>
    <row r="8" spans="1:128" ht="35.1" customHeight="1" thickTop="1" thickBot="1" x14ac:dyDescent="0.3">
      <c r="B8" s="971" t="str">
        <f>CONCATENATE("GASTO DEL TRABAJADOR ",'IDENTIFICACIÓN TRABAJADOR'!D14," EJERCICIO ",YEAR(EXPEDIENTE!F25)+2)</f>
        <v>GASTO DEL TRABAJADOR  EJERCICIO 2027</v>
      </c>
      <c r="C8" s="948" t="str">
        <f>CONCATENATE("TABLA DE COTIZACIONES ",YEAR(EXPEDIENTE!F25)+2)</f>
        <v>TABLA DE COTIZACIONES 2027</v>
      </c>
      <c r="D8" s="948"/>
      <c r="E8" s="948"/>
      <c r="F8" s="1030"/>
      <c r="H8" s="306" t="s">
        <v>159</v>
      </c>
      <c r="I8" s="1025" t="s">
        <v>160</v>
      </c>
      <c r="J8" s="1025"/>
      <c r="K8" s="1025"/>
      <c r="L8" s="1025"/>
      <c r="M8" s="1025"/>
      <c r="N8" s="1025"/>
      <c r="O8" s="1025"/>
      <c r="P8" s="1025"/>
      <c r="Q8" s="1025"/>
      <c r="R8" s="1025"/>
      <c r="S8" s="1025"/>
      <c r="T8" s="1026"/>
      <c r="AM8" s="1013" t="str">
        <f>CONCATENATE("GASTO DEL TRABAJADOR ",'IDENTIFICACIÓN TRABAJADOR'!$D$14," EJERCICIO ",YEAR(EXPEDIENTE!$F$25))</f>
        <v>GASTO DEL TRABAJADOR  EJERCICIO 2025</v>
      </c>
      <c r="AN8" s="925" t="str">
        <f>CONCATENATE("COTIZACIONES ",YEAR(EXPEDIENTE!$F$25)+2)</f>
        <v>COTIZACIONES 2027</v>
      </c>
      <c r="AO8" s="925"/>
      <c r="AP8" s="925"/>
      <c r="AQ8" s="367"/>
      <c r="AR8" s="375" t="s">
        <v>161</v>
      </c>
      <c r="AS8" s="553" t="s">
        <v>68</v>
      </c>
      <c r="AT8" s="376" t="s">
        <v>162</v>
      </c>
      <c r="AU8" s="944" t="s">
        <v>163</v>
      </c>
      <c r="AV8" s="944"/>
      <c r="AW8" s="944"/>
      <c r="AX8" s="944"/>
      <c r="AY8" s="944"/>
      <c r="AZ8" s="944"/>
      <c r="BA8" s="944"/>
      <c r="BB8" s="944"/>
      <c r="BC8" s="944"/>
      <c r="BD8" s="944"/>
      <c r="BE8" s="944"/>
      <c r="BF8" s="944"/>
      <c r="BG8" s="945"/>
      <c r="BJ8" s="131"/>
      <c r="BK8" s="131"/>
      <c r="BL8" s="131"/>
      <c r="BM8" s="131"/>
      <c r="BN8" s="131"/>
      <c r="BO8" s="131"/>
      <c r="BP8" s="131"/>
      <c r="BQ8" s="131"/>
      <c r="BR8" s="131"/>
      <c r="BS8" s="131"/>
      <c r="BT8" s="131"/>
      <c r="BU8" s="131"/>
      <c r="BV8" s="131"/>
      <c r="BW8" s="131"/>
      <c r="BX8" s="131"/>
      <c r="BY8" s="131"/>
      <c r="BZ8" s="131"/>
      <c r="CA8" s="131"/>
      <c r="CB8" s="131"/>
      <c r="CY8" s="81"/>
      <c r="CZ8" s="53"/>
      <c r="DD8" s="55" t="s">
        <v>164</v>
      </c>
      <c r="DE8" s="55" t="s">
        <v>165</v>
      </c>
      <c r="DF8" s="55" t="s">
        <v>166</v>
      </c>
      <c r="DG8" s="55" t="s">
        <v>167</v>
      </c>
      <c r="DH8" s="55" t="s">
        <v>168</v>
      </c>
      <c r="DI8" s="55" t="s">
        <v>169</v>
      </c>
      <c r="DJ8" s="55" t="s">
        <v>170</v>
      </c>
      <c r="DK8" s="55" t="s">
        <v>171</v>
      </c>
      <c r="DL8" s="55" t="s">
        <v>172</v>
      </c>
      <c r="DM8" s="55" t="s">
        <v>173</v>
      </c>
      <c r="DN8" s="55" t="s">
        <v>174</v>
      </c>
      <c r="DO8" s="55" t="s">
        <v>175</v>
      </c>
      <c r="DP8" s="55" t="s">
        <v>176</v>
      </c>
      <c r="DQ8" s="55" t="s">
        <v>177</v>
      </c>
      <c r="DR8" s="55" t="s">
        <v>178</v>
      </c>
      <c r="DS8" s="55" t="s">
        <v>179</v>
      </c>
      <c r="DT8" s="55" t="s">
        <v>180</v>
      </c>
      <c r="DU8" s="55" t="s">
        <v>181</v>
      </c>
    </row>
    <row r="9" spans="1:128" ht="20.100000000000001" customHeight="1" thickTop="1" x14ac:dyDescent="0.25">
      <c r="B9" s="972"/>
      <c r="C9" s="313" t="s">
        <v>182</v>
      </c>
      <c r="D9" s="312"/>
      <c r="E9" s="312"/>
      <c r="F9" s="315"/>
      <c r="H9" s="307" t="s">
        <v>183</v>
      </c>
      <c r="I9" s="963" t="s">
        <v>184</v>
      </c>
      <c r="J9" s="963"/>
      <c r="K9" s="963"/>
      <c r="L9" s="963"/>
      <c r="M9" s="963"/>
      <c r="N9" s="963"/>
      <c r="O9" s="963"/>
      <c r="P9" s="963"/>
      <c r="Q9" s="963"/>
      <c r="R9" s="963"/>
      <c r="S9" s="963"/>
      <c r="T9" s="964"/>
      <c r="AM9" s="1014"/>
      <c r="AN9" s="926" t="s">
        <v>182</v>
      </c>
      <c r="AO9" s="927"/>
      <c r="AP9" s="928"/>
      <c r="AQ9" s="369"/>
      <c r="AR9" s="132">
        <f t="shared" ref="AR9:AR14" si="0">IF(F9="",0,F9)</f>
        <v>0</v>
      </c>
      <c r="AS9" s="133"/>
      <c r="AT9" s="134">
        <f>IF(AS9="",AR9,AS9)</f>
        <v>0</v>
      </c>
      <c r="AU9" s="930"/>
      <c r="AV9" s="930"/>
      <c r="AW9" s="930"/>
      <c r="AX9" s="930"/>
      <c r="AY9" s="930"/>
      <c r="AZ9" s="930"/>
      <c r="BA9" s="930"/>
      <c r="BB9" s="930"/>
      <c r="BC9" s="930"/>
      <c r="BD9" s="930"/>
      <c r="BE9" s="930"/>
      <c r="BF9" s="930"/>
      <c r="BG9" s="931"/>
      <c r="BJ9" s="131"/>
      <c r="BK9" s="131"/>
      <c r="BL9" s="131"/>
      <c r="BM9" s="131"/>
      <c r="BN9" s="131"/>
      <c r="BO9" s="131"/>
      <c r="BP9" s="131"/>
      <c r="BQ9" s="131"/>
      <c r="BR9" s="131"/>
      <c r="BS9" s="131"/>
      <c r="BT9" s="131"/>
      <c r="BU9" s="131"/>
      <c r="BV9" s="131"/>
      <c r="BW9" s="131"/>
      <c r="BX9" s="131"/>
      <c r="BY9" s="131"/>
      <c r="BZ9" s="131"/>
      <c r="CA9" s="131"/>
      <c r="CB9" s="131"/>
      <c r="CY9" s="81"/>
      <c r="CZ9" s="53"/>
      <c r="DD9" s="135">
        <f>SUM(DE9:DU9)</f>
        <v>0</v>
      </c>
      <c r="DE9" s="135">
        <f>IF(AS9="",0,1)</f>
        <v>0</v>
      </c>
      <c r="DW9" s="55">
        <f>IF(AU9&lt;&gt;"",1,0)</f>
        <v>0</v>
      </c>
      <c r="DX9" s="130" t="str">
        <f>IF(DW9=0,"",AU9)</f>
        <v/>
      </c>
    </row>
    <row r="10" spans="1:128" ht="20.100000000000001" customHeight="1" x14ac:dyDescent="0.25">
      <c r="B10" s="972"/>
      <c r="C10" s="965" t="s">
        <v>471</v>
      </c>
      <c r="D10" s="966"/>
      <c r="E10" s="967"/>
      <c r="F10" s="694"/>
      <c r="H10" s="308"/>
      <c r="I10" s="683" t="s">
        <v>52</v>
      </c>
      <c r="J10" s="683"/>
      <c r="K10" s="683"/>
      <c r="L10" s="683"/>
      <c r="M10" s="683"/>
      <c r="N10" s="683"/>
      <c r="O10" s="683"/>
      <c r="P10" s="683"/>
      <c r="Q10" s="683"/>
      <c r="R10" s="683"/>
      <c r="S10" s="683"/>
      <c r="T10" s="684"/>
      <c r="AM10" s="1014"/>
      <c r="AN10" s="893" t="s">
        <v>471</v>
      </c>
      <c r="AO10" s="894"/>
      <c r="AP10" s="895"/>
      <c r="AQ10" s="370"/>
      <c r="AR10" s="136">
        <f t="shared" si="0"/>
        <v>0</v>
      </c>
      <c r="AS10" s="137"/>
      <c r="AT10" s="138">
        <f t="shared" ref="AT10" si="1">IF(AS10="",AR10,AS10)</f>
        <v>0</v>
      </c>
      <c r="AU10" s="869"/>
      <c r="AV10" s="869"/>
      <c r="AW10" s="869"/>
      <c r="AX10" s="869"/>
      <c r="AY10" s="869"/>
      <c r="AZ10" s="869"/>
      <c r="BA10" s="869"/>
      <c r="BB10" s="869"/>
      <c r="BC10" s="869"/>
      <c r="BD10" s="869"/>
      <c r="BE10" s="869"/>
      <c r="BF10" s="869"/>
      <c r="BG10" s="870"/>
      <c r="BJ10" s="131"/>
      <c r="BK10" s="131"/>
      <c r="BL10" s="131"/>
      <c r="BM10" s="131"/>
      <c r="BN10" s="131"/>
      <c r="BO10" s="131"/>
      <c r="BP10" s="131"/>
      <c r="BQ10" s="131"/>
      <c r="BR10" s="131"/>
      <c r="BS10" s="131"/>
      <c r="BT10" s="131"/>
      <c r="BU10" s="131"/>
      <c r="BV10" s="131"/>
      <c r="BW10" s="131"/>
      <c r="BX10" s="131"/>
      <c r="BY10" s="131"/>
      <c r="BZ10" s="131"/>
      <c r="CA10" s="131"/>
      <c r="CB10" s="131"/>
      <c r="CY10" s="81"/>
      <c r="CZ10" s="53"/>
      <c r="DD10" s="135"/>
      <c r="DE10" s="135"/>
      <c r="DW10" s="55"/>
      <c r="DX10" s="130"/>
    </row>
    <row r="11" spans="1:128" ht="20.100000000000001" customHeight="1" thickBot="1" x14ac:dyDescent="0.3">
      <c r="B11" s="972"/>
      <c r="C11" s="314" t="s">
        <v>185</v>
      </c>
      <c r="D11" s="296"/>
      <c r="E11" s="297"/>
      <c r="F11" s="316"/>
      <c r="H11" s="308"/>
      <c r="I11" s="955" t="str">
        <f>CONCATENATE("b) La fecha valor de abono de la nómina y/o de su IRPF sea anterior a la finalización del plazo de justificación (",TEXT(EXPEDIENTE!F29,"dd/mm/aa"),").")</f>
        <v>b) La fecha valor de abono de la nómina y/o de su IRPF sea anterior a la finalización del plazo de justificación ().</v>
      </c>
      <c r="J11" s="955"/>
      <c r="K11" s="955"/>
      <c r="L11" s="955"/>
      <c r="M11" s="955"/>
      <c r="N11" s="955"/>
      <c r="O11" s="955"/>
      <c r="P11" s="955"/>
      <c r="Q11" s="955"/>
      <c r="R11" s="955"/>
      <c r="S11" s="955"/>
      <c r="T11" s="956"/>
      <c r="AM11" s="1014"/>
      <c r="AN11" s="893" t="s">
        <v>185</v>
      </c>
      <c r="AO11" s="894"/>
      <c r="AP11" s="895"/>
      <c r="AQ11" s="370"/>
      <c r="AR11" s="136">
        <f t="shared" si="0"/>
        <v>0</v>
      </c>
      <c r="AS11" s="137"/>
      <c r="AT11" s="138">
        <f t="shared" ref="AT11:AT14" si="2">IF(AS11="",AR11,AS11)</f>
        <v>0</v>
      </c>
      <c r="AU11" s="869"/>
      <c r="AV11" s="869"/>
      <c r="AW11" s="869"/>
      <c r="AX11" s="869"/>
      <c r="AY11" s="869"/>
      <c r="AZ11" s="869"/>
      <c r="BA11" s="869"/>
      <c r="BB11" s="869"/>
      <c r="BC11" s="869"/>
      <c r="BD11" s="869"/>
      <c r="BE11" s="869"/>
      <c r="BF11" s="869"/>
      <c r="BG11" s="870"/>
      <c r="BJ11" s="131"/>
      <c r="BK11" s="131"/>
      <c r="BL11" s="131"/>
      <c r="BM11" s="131"/>
      <c r="BN11" s="131"/>
      <c r="BO11" s="131"/>
      <c r="BP11" s="131"/>
      <c r="BQ11" s="131"/>
      <c r="BR11" s="131"/>
      <c r="BS11" s="131"/>
      <c r="BT11" s="131"/>
      <c r="BU11" s="131"/>
      <c r="BV11" s="131"/>
      <c r="BW11" s="131"/>
      <c r="BX11" s="131"/>
      <c r="BY11" s="131"/>
      <c r="BZ11" s="131"/>
      <c r="CA11" s="131"/>
      <c r="CB11" s="131"/>
      <c r="CY11" s="81"/>
      <c r="CZ11" s="53"/>
      <c r="DD11" s="55">
        <f t="shared" ref="DD11:DD14" si="3">SUM(DE11:DU11)</f>
        <v>0</v>
      </c>
      <c r="DE11" s="55">
        <f t="shared" ref="DE11:DE14" si="4">IF(AS11="",0,1)</f>
        <v>0</v>
      </c>
      <c r="DW11" s="55">
        <f>IF(AU11&lt;&gt;"",MAX($DW$9:DW9)+1,0)</f>
        <v>0</v>
      </c>
      <c r="DX11" s="130" t="str">
        <f t="shared" ref="DX11:DX15" si="5">IF(DW11=0,"",AU11)</f>
        <v/>
      </c>
    </row>
    <row r="12" spans="1:128" ht="20.100000000000001" customHeight="1" x14ac:dyDescent="0.25">
      <c r="B12" s="972"/>
      <c r="C12" s="314" t="s">
        <v>186</v>
      </c>
      <c r="D12" s="296"/>
      <c r="E12" s="297"/>
      <c r="F12" s="316"/>
      <c r="H12" s="700" t="s">
        <v>188</v>
      </c>
      <c r="I12" s="963" t="s">
        <v>189</v>
      </c>
      <c r="J12" s="963"/>
      <c r="K12" s="963"/>
      <c r="L12" s="963"/>
      <c r="M12" s="963"/>
      <c r="N12" s="963"/>
      <c r="O12" s="963"/>
      <c r="P12" s="963"/>
      <c r="Q12" s="963"/>
      <c r="R12" s="963"/>
      <c r="S12" s="963"/>
      <c r="T12" s="1044"/>
      <c r="AM12" s="1014"/>
      <c r="AN12" s="893" t="s">
        <v>186</v>
      </c>
      <c r="AO12" s="894"/>
      <c r="AP12" s="895"/>
      <c r="AQ12" s="370"/>
      <c r="AR12" s="136">
        <f t="shared" si="0"/>
        <v>0</v>
      </c>
      <c r="AS12" s="137"/>
      <c r="AT12" s="138">
        <f t="shared" si="2"/>
        <v>0</v>
      </c>
      <c r="AU12" s="869"/>
      <c r="AV12" s="869"/>
      <c r="AW12" s="869"/>
      <c r="AX12" s="869"/>
      <c r="AY12" s="869"/>
      <c r="AZ12" s="869"/>
      <c r="BA12" s="869"/>
      <c r="BB12" s="869"/>
      <c r="BC12" s="869"/>
      <c r="BD12" s="869"/>
      <c r="BE12" s="869"/>
      <c r="BF12" s="869"/>
      <c r="BG12" s="870"/>
      <c r="BJ12" s="131"/>
      <c r="BK12" s="131"/>
      <c r="BL12" s="131"/>
      <c r="BM12" s="131"/>
      <c r="BN12" s="131"/>
      <c r="BO12" s="131"/>
      <c r="BP12" s="131"/>
      <c r="BQ12" s="131"/>
      <c r="BR12" s="131"/>
      <c r="BS12" s="131"/>
      <c r="BT12" s="131"/>
      <c r="BU12" s="131"/>
      <c r="BV12" s="131"/>
      <c r="BW12" s="131"/>
      <c r="BX12" s="131"/>
      <c r="BY12" s="131"/>
      <c r="BZ12" s="131"/>
      <c r="CA12" s="131"/>
      <c r="CB12" s="131"/>
      <c r="CY12" s="81"/>
      <c r="CZ12" s="53"/>
      <c r="DD12" s="55">
        <f t="shared" si="3"/>
        <v>0</v>
      </c>
      <c r="DE12" s="55">
        <f t="shared" si="4"/>
        <v>0</v>
      </c>
      <c r="DW12" s="55">
        <f>IF(AU12&lt;&gt;"",MAX($DW$9:DW11)+1,0)</f>
        <v>0</v>
      </c>
      <c r="DX12" s="130" t="str">
        <f t="shared" si="5"/>
        <v/>
      </c>
    </row>
    <row r="13" spans="1:128" ht="20.100000000000001" customHeight="1" thickBot="1" x14ac:dyDescent="0.3">
      <c r="B13" s="972"/>
      <c r="C13" s="314" t="s">
        <v>187</v>
      </c>
      <c r="D13" s="296"/>
      <c r="E13" s="297"/>
      <c r="F13" s="316"/>
      <c r="H13" s="701"/>
      <c r="I13" s="1045"/>
      <c r="J13" s="1045"/>
      <c r="K13" s="1045"/>
      <c r="L13" s="1045"/>
      <c r="M13" s="1045"/>
      <c r="N13" s="1045"/>
      <c r="O13" s="1045"/>
      <c r="P13" s="1045"/>
      <c r="Q13" s="1045"/>
      <c r="R13" s="1045"/>
      <c r="S13" s="1045"/>
      <c r="T13" s="1046"/>
      <c r="AM13" s="1014"/>
      <c r="AN13" s="893" t="s">
        <v>187</v>
      </c>
      <c r="AO13" s="894"/>
      <c r="AP13" s="895"/>
      <c r="AQ13" s="370"/>
      <c r="AR13" s="136">
        <f t="shared" si="0"/>
        <v>0</v>
      </c>
      <c r="AS13" s="137"/>
      <c r="AT13" s="138">
        <f t="shared" si="2"/>
        <v>0</v>
      </c>
      <c r="AU13" s="869"/>
      <c r="AV13" s="869"/>
      <c r="AW13" s="869"/>
      <c r="AX13" s="869"/>
      <c r="AY13" s="869"/>
      <c r="AZ13" s="869"/>
      <c r="BA13" s="869"/>
      <c r="BB13" s="869"/>
      <c r="BC13" s="869"/>
      <c r="BD13" s="869"/>
      <c r="BE13" s="869"/>
      <c r="BF13" s="869"/>
      <c r="BG13" s="870"/>
      <c r="BJ13" s="131"/>
      <c r="BK13" s="131"/>
      <c r="BL13" s="131"/>
      <c r="BM13" s="131"/>
      <c r="BN13" s="131"/>
      <c r="BO13" s="131"/>
      <c r="BP13" s="131"/>
      <c r="BQ13" s="131"/>
      <c r="BR13" s="131"/>
      <c r="BS13" s="131"/>
      <c r="BT13" s="131"/>
      <c r="BU13" s="131"/>
      <c r="BV13" s="131"/>
      <c r="BW13" s="131"/>
      <c r="BX13" s="131"/>
      <c r="BY13" s="131"/>
      <c r="BZ13" s="131"/>
      <c r="CA13" s="131"/>
      <c r="CB13" s="131"/>
      <c r="CY13" s="81"/>
      <c r="CZ13" s="53"/>
      <c r="DD13" s="55">
        <f t="shared" si="3"/>
        <v>0</v>
      </c>
      <c r="DE13" s="55">
        <f t="shared" si="4"/>
        <v>0</v>
      </c>
      <c r="DW13" s="55">
        <f>IF(AU13&lt;&gt;"",MAX($DW$9:DW12)+1,0)</f>
        <v>0</v>
      </c>
      <c r="DX13" s="130" t="str">
        <f t="shared" si="5"/>
        <v/>
      </c>
    </row>
    <row r="14" spans="1:128" ht="20.100000000000001" customHeight="1" x14ac:dyDescent="0.25">
      <c r="B14" s="972"/>
      <c r="C14" s="314" t="s">
        <v>190</v>
      </c>
      <c r="D14" s="296"/>
      <c r="E14" s="297"/>
      <c r="F14" s="316"/>
      <c r="AM14" s="1014"/>
      <c r="AN14" s="893" t="s">
        <v>190</v>
      </c>
      <c r="AO14" s="894"/>
      <c r="AP14" s="895"/>
      <c r="AQ14" s="370"/>
      <c r="AR14" s="136">
        <f t="shared" si="0"/>
        <v>0</v>
      </c>
      <c r="AS14" s="137"/>
      <c r="AT14" s="138">
        <f t="shared" si="2"/>
        <v>0</v>
      </c>
      <c r="AU14" s="904"/>
      <c r="AV14" s="904"/>
      <c r="AW14" s="904"/>
      <c r="AX14" s="904"/>
      <c r="AY14" s="904"/>
      <c r="AZ14" s="904"/>
      <c r="BA14" s="904"/>
      <c r="BB14" s="904"/>
      <c r="BC14" s="904"/>
      <c r="BD14" s="904"/>
      <c r="BE14" s="904"/>
      <c r="BF14" s="904"/>
      <c r="BG14" s="905"/>
      <c r="BJ14" s="131"/>
      <c r="BK14" s="131"/>
      <c r="BL14" s="131"/>
      <c r="BM14" s="131"/>
      <c r="BN14" s="131"/>
      <c r="BO14" s="131"/>
      <c r="BP14" s="131"/>
      <c r="BQ14" s="131"/>
      <c r="BR14" s="131"/>
      <c r="BS14" s="131"/>
      <c r="BT14" s="131"/>
      <c r="BU14" s="131"/>
      <c r="BV14" s="131"/>
      <c r="BW14" s="131"/>
      <c r="BX14" s="131"/>
      <c r="BY14" s="131"/>
      <c r="BZ14" s="131"/>
      <c r="CA14" s="131"/>
      <c r="CB14" s="131"/>
      <c r="CY14" s="81"/>
      <c r="CZ14" s="53"/>
      <c r="DD14" s="55">
        <f t="shared" si="3"/>
        <v>0</v>
      </c>
      <c r="DE14" s="55">
        <f t="shared" si="4"/>
        <v>0</v>
      </c>
      <c r="DW14" s="55">
        <f>IF(AU14&lt;&gt;"",MAX($DW$9:DW13)+1,0)</f>
        <v>0</v>
      </c>
      <c r="DX14" s="130" t="str">
        <f t="shared" si="5"/>
        <v/>
      </c>
    </row>
    <row r="15" spans="1:128" ht="20.100000000000001" customHeight="1" thickBot="1" x14ac:dyDescent="0.3">
      <c r="B15" s="972"/>
      <c r="C15" s="317" t="s">
        <v>191</v>
      </c>
      <c r="D15" s="318"/>
      <c r="E15" s="318"/>
      <c r="F15" s="632">
        <f>SUM(F9:F14)</f>
        <v>0</v>
      </c>
      <c r="AM15" s="1014"/>
      <c r="AN15" s="906" t="s">
        <v>191</v>
      </c>
      <c r="AO15" s="907"/>
      <c r="AP15" s="908"/>
      <c r="AQ15" s="371"/>
      <c r="AR15" s="139">
        <f>SUM(AR9:AR14)</f>
        <v>0</v>
      </c>
      <c r="AS15" s="372"/>
      <c r="AT15" s="140">
        <f>SUM(AT9:AT14)</f>
        <v>0</v>
      </c>
      <c r="AU15" s="141"/>
      <c r="AV15" s="141"/>
      <c r="AW15" s="141"/>
      <c r="AX15" s="141"/>
      <c r="AY15" s="141"/>
      <c r="AZ15" s="141"/>
      <c r="BA15" s="141"/>
      <c r="BB15" s="141"/>
      <c r="BC15" s="141"/>
      <c r="BD15" s="141"/>
      <c r="BE15" s="141"/>
      <c r="BF15" s="141"/>
      <c r="BG15" s="142"/>
      <c r="BJ15" s="131"/>
      <c r="BK15" s="131"/>
      <c r="CY15" s="81"/>
      <c r="CZ15" s="53"/>
      <c r="DW15" s="55">
        <f>IF(AU15&lt;&gt;"",MAX($DW$9:DW14)+1,0)</f>
        <v>0</v>
      </c>
      <c r="DX15" s="130" t="str">
        <f t="shared" si="5"/>
        <v/>
      </c>
    </row>
    <row r="16" spans="1:128" ht="35.1" customHeight="1" thickTop="1" thickBot="1" x14ac:dyDescent="0.3">
      <c r="B16" s="972"/>
      <c r="C16" s="948" t="str">
        <f>CONCATENATE("NÓMINAS MENSUALES EJERCICIO ",YEAR(EXPEDIENTE!F25)+2)</f>
        <v>NÓMINAS MENSUALES EJERCICIO 2027</v>
      </c>
      <c r="D16" s="948"/>
      <c r="E16" s="948"/>
      <c r="F16" s="948"/>
      <c r="G16" s="948"/>
      <c r="H16" s="948"/>
      <c r="I16" s="948"/>
      <c r="J16" s="948"/>
      <c r="K16" s="948"/>
      <c r="L16" s="948"/>
      <c r="M16" s="948"/>
      <c r="N16" s="948"/>
      <c r="O16" s="948"/>
      <c r="P16" s="948"/>
      <c r="Q16" s="948"/>
      <c r="R16" s="948"/>
      <c r="S16" s="948"/>
      <c r="T16" s="948"/>
      <c r="U16" s="948"/>
      <c r="V16" s="948"/>
      <c r="W16" s="948"/>
      <c r="X16" s="948"/>
      <c r="Y16" s="948"/>
      <c r="Z16" s="948"/>
      <c r="AA16" s="948"/>
      <c r="AB16" s="948"/>
      <c r="AC16" s="948"/>
      <c r="AD16" s="948"/>
      <c r="AE16" s="948"/>
      <c r="AF16" s="355"/>
      <c r="AG16" s="1042"/>
      <c r="AH16" s="1042"/>
      <c r="AM16" s="1014"/>
      <c r="AN16" s="843" t="str">
        <f>CONCATENATE("NÓMINAS MENSUALES EJERCICIO ",YEAR(EXPEDIENTE!$F$25)+2)</f>
        <v>NÓMINAS MENSUALES EJERCICIO 2027</v>
      </c>
      <c r="AO16" s="843"/>
      <c r="AP16" s="843"/>
      <c r="AQ16" s="843"/>
      <c r="AR16" s="843"/>
      <c r="AS16" s="843"/>
      <c r="AT16" s="843"/>
      <c r="AU16" s="843"/>
      <c r="AV16" s="843"/>
      <c r="AW16" s="843"/>
      <c r="AX16" s="843"/>
      <c r="AY16" s="843"/>
      <c r="AZ16" s="843"/>
      <c r="BA16" s="843"/>
      <c r="BB16" s="843"/>
      <c r="BC16" s="843"/>
      <c r="BD16" s="843"/>
      <c r="BE16" s="843"/>
      <c r="BF16" s="843"/>
      <c r="BG16" s="843"/>
      <c r="BH16" s="843"/>
      <c r="BI16" s="843"/>
      <c r="BJ16" s="843"/>
      <c r="BK16" s="843"/>
      <c r="BL16" s="843"/>
      <c r="BM16" s="843"/>
      <c r="BN16" s="843"/>
      <c r="BO16" s="843"/>
      <c r="BP16" s="843"/>
      <c r="BQ16" s="843"/>
      <c r="BR16" s="843"/>
      <c r="BS16" s="843"/>
      <c r="BT16" s="843"/>
      <c r="BU16" s="843"/>
      <c r="BV16" s="843"/>
      <c r="BW16" s="843"/>
      <c r="BX16" s="843"/>
      <c r="BY16" s="843"/>
      <c r="BZ16" s="843"/>
      <c r="CA16" s="843"/>
      <c r="CB16" s="843"/>
      <c r="CC16" s="843"/>
      <c r="CD16" s="843"/>
      <c r="CE16" s="843"/>
      <c r="CF16" s="843"/>
      <c r="CG16" s="843"/>
      <c r="CH16" s="843"/>
      <c r="CI16" s="843"/>
      <c r="CJ16" s="843"/>
      <c r="CK16" s="843"/>
      <c r="CL16" s="843"/>
      <c r="CM16" s="843"/>
      <c r="CN16" s="843"/>
      <c r="CO16" s="843"/>
      <c r="CP16" s="843"/>
      <c r="CQ16" s="843"/>
      <c r="CR16" s="843"/>
      <c r="CS16" s="843"/>
      <c r="CT16" s="843"/>
      <c r="CU16" s="843"/>
      <c r="CV16" s="843"/>
      <c r="CW16" s="843"/>
      <c r="CX16" s="843"/>
      <c r="CY16" s="844"/>
      <c r="DA16" s="929"/>
      <c r="DB16" s="929"/>
    </row>
    <row r="17" spans="2:128" ht="20.100000000000001" customHeight="1" thickTop="1" thickBot="1" x14ac:dyDescent="0.3">
      <c r="B17" s="972"/>
      <c r="C17" s="957" t="s">
        <v>193</v>
      </c>
      <c r="D17" s="958"/>
      <c r="E17" s="958"/>
      <c r="F17" s="959" t="s">
        <v>194</v>
      </c>
      <c r="G17" s="959"/>
      <c r="H17" s="959"/>
      <c r="I17" s="959"/>
      <c r="J17" s="959"/>
      <c r="K17" s="959"/>
      <c r="L17" s="959"/>
      <c r="M17" s="960"/>
      <c r="N17" s="968" t="s">
        <v>195</v>
      </c>
      <c r="O17" s="969"/>
      <c r="P17" s="969"/>
      <c r="Q17" s="969"/>
      <c r="R17" s="969"/>
      <c r="S17" s="969"/>
      <c r="T17" s="969"/>
      <c r="U17" s="969"/>
      <c r="V17" s="970"/>
      <c r="W17" s="961" t="s">
        <v>196</v>
      </c>
      <c r="X17" s="953" t="s">
        <v>197</v>
      </c>
      <c r="Y17" s="898" t="s">
        <v>198</v>
      </c>
      <c r="Z17" s="898" t="s">
        <v>199</v>
      </c>
      <c r="AA17" s="898" t="s">
        <v>200</v>
      </c>
      <c r="AB17" s="900" t="s">
        <v>201</v>
      </c>
      <c r="AC17" s="953" t="s">
        <v>202</v>
      </c>
      <c r="AD17" s="900" t="s">
        <v>203</v>
      </c>
      <c r="AE17" s="1027" t="s">
        <v>204</v>
      </c>
      <c r="AF17" s="357"/>
      <c r="AG17" s="833" t="s">
        <v>205</v>
      </c>
      <c r="AH17" s="825" t="s">
        <v>206</v>
      </c>
      <c r="AM17" s="1014"/>
      <c r="AN17" s="939" t="s">
        <v>193</v>
      </c>
      <c r="AO17" s="940"/>
      <c r="AP17" s="940"/>
      <c r="AQ17" s="940"/>
      <c r="AR17" s="941" t="s">
        <v>207</v>
      </c>
      <c r="AS17" s="940"/>
      <c r="AT17" s="942"/>
      <c r="AU17" s="913" t="s">
        <v>194</v>
      </c>
      <c r="AV17" s="914"/>
      <c r="AW17" s="914"/>
      <c r="AX17" s="914"/>
      <c r="AY17" s="914"/>
      <c r="AZ17" s="914"/>
      <c r="BA17" s="914"/>
      <c r="BB17" s="914"/>
      <c r="BC17" s="914"/>
      <c r="BD17" s="914"/>
      <c r="BE17" s="914"/>
      <c r="BF17" s="914"/>
      <c r="BG17" s="914"/>
      <c r="BH17" s="914"/>
      <c r="BI17" s="914"/>
      <c r="BJ17" s="914"/>
      <c r="BK17" s="914"/>
      <c r="BL17" s="914"/>
      <c r="BM17" s="914"/>
      <c r="BN17" s="915"/>
      <c r="BO17" s="916" t="s">
        <v>301</v>
      </c>
      <c r="BP17" s="917"/>
      <c r="BQ17" s="917"/>
      <c r="BR17" s="917"/>
      <c r="BS17" s="917"/>
      <c r="BT17" s="917"/>
      <c r="BU17" s="917"/>
      <c r="BV17" s="917"/>
      <c r="BW17" s="917"/>
      <c r="BX17" s="917"/>
      <c r="BY17" s="917"/>
      <c r="BZ17" s="917"/>
      <c r="CA17" s="917"/>
      <c r="CB17" s="917"/>
      <c r="CC17" s="917"/>
      <c r="CD17" s="917"/>
      <c r="CE17" s="917"/>
      <c r="CF17" s="918"/>
      <c r="CG17" s="918"/>
      <c r="CH17" s="918"/>
      <c r="CI17" s="919"/>
      <c r="CJ17" s="922" t="s">
        <v>196</v>
      </c>
      <c r="CK17" s="816" t="s">
        <v>208</v>
      </c>
      <c r="CL17" s="817"/>
      <c r="CM17" s="818"/>
      <c r="CN17" s="816" t="s">
        <v>209</v>
      </c>
      <c r="CO17" s="817"/>
      <c r="CP17" s="818"/>
      <c r="CQ17" s="885" t="s">
        <v>199</v>
      </c>
      <c r="CR17" s="827" t="s">
        <v>210</v>
      </c>
      <c r="CS17" s="828"/>
      <c r="CT17" s="829"/>
      <c r="CU17" s="830" t="s">
        <v>211</v>
      </c>
      <c r="CV17" s="831"/>
      <c r="CW17" s="832"/>
      <c r="CX17" s="847" t="s">
        <v>212</v>
      </c>
      <c r="CY17" s="838" t="s">
        <v>302</v>
      </c>
      <c r="DA17" s="833" t="s">
        <v>205</v>
      </c>
      <c r="DB17" s="825" t="s">
        <v>206</v>
      </c>
    </row>
    <row r="18" spans="2:128" ht="15" customHeight="1" x14ac:dyDescent="0.25">
      <c r="B18" s="972"/>
      <c r="C18" s="976" t="s">
        <v>214</v>
      </c>
      <c r="D18" s="977"/>
      <c r="E18" s="950" t="s">
        <v>215</v>
      </c>
      <c r="F18" s="951" t="s">
        <v>216</v>
      </c>
      <c r="G18" s="897" t="s">
        <v>217</v>
      </c>
      <c r="H18" s="897"/>
      <c r="I18" s="897"/>
      <c r="J18" s="897"/>
      <c r="K18" s="897"/>
      <c r="L18" s="897"/>
      <c r="M18" s="902" t="s">
        <v>218</v>
      </c>
      <c r="N18" s="143"/>
      <c r="O18" s="896" t="s">
        <v>219</v>
      </c>
      <c r="P18" s="897"/>
      <c r="Q18" s="897"/>
      <c r="R18" s="897"/>
      <c r="S18" s="897"/>
      <c r="T18" s="897"/>
      <c r="U18" s="902" t="s">
        <v>220</v>
      </c>
      <c r="V18" s="144"/>
      <c r="W18" s="961"/>
      <c r="X18" s="953"/>
      <c r="Y18" s="898"/>
      <c r="Z18" s="898"/>
      <c r="AA18" s="898"/>
      <c r="AB18" s="900"/>
      <c r="AC18" s="953"/>
      <c r="AD18" s="900"/>
      <c r="AE18" s="1028"/>
      <c r="AF18" s="357"/>
      <c r="AG18" s="826"/>
      <c r="AH18" s="826"/>
      <c r="AM18" s="1014"/>
      <c r="AN18" s="932" t="s">
        <v>214</v>
      </c>
      <c r="AO18" s="933"/>
      <c r="AP18" s="1036"/>
      <c r="AQ18" s="1037"/>
      <c r="AR18" s="936" t="s">
        <v>161</v>
      </c>
      <c r="AS18" s="943" t="s">
        <v>68</v>
      </c>
      <c r="AT18" s="861" t="s">
        <v>162</v>
      </c>
      <c r="AU18" s="865" t="s">
        <v>221</v>
      </c>
      <c r="AV18" s="866"/>
      <c r="AW18" s="867"/>
      <c r="AX18" s="909" t="s">
        <v>217</v>
      </c>
      <c r="AY18" s="911"/>
      <c r="AZ18" s="911"/>
      <c r="BA18" s="911"/>
      <c r="BB18" s="911"/>
      <c r="BC18" s="911"/>
      <c r="BD18" s="911"/>
      <c r="BE18" s="911"/>
      <c r="BF18" s="911"/>
      <c r="BG18" s="911"/>
      <c r="BH18" s="911"/>
      <c r="BI18" s="911"/>
      <c r="BJ18" s="911"/>
      <c r="BK18" s="911"/>
      <c r="BL18" s="911"/>
      <c r="BM18" s="912"/>
      <c r="BN18" s="937" t="s">
        <v>222</v>
      </c>
      <c r="BO18" s="145"/>
      <c r="BP18" s="909" t="s">
        <v>223</v>
      </c>
      <c r="BQ18" s="910"/>
      <c r="BR18" s="910"/>
      <c r="BS18" s="911"/>
      <c r="BT18" s="911"/>
      <c r="BU18" s="911"/>
      <c r="BV18" s="911"/>
      <c r="BW18" s="911"/>
      <c r="BX18" s="911"/>
      <c r="BY18" s="911"/>
      <c r="BZ18" s="911"/>
      <c r="CA18" s="911"/>
      <c r="CB18" s="911"/>
      <c r="CC18" s="911"/>
      <c r="CD18" s="911"/>
      <c r="CE18" s="912"/>
      <c r="CF18" s="865" t="s">
        <v>224</v>
      </c>
      <c r="CG18" s="866"/>
      <c r="CH18" s="867"/>
      <c r="CI18" s="146"/>
      <c r="CJ18" s="923"/>
      <c r="CK18" s="819" t="s">
        <v>161</v>
      </c>
      <c r="CL18" s="821" t="s">
        <v>68</v>
      </c>
      <c r="CM18" s="823" t="s">
        <v>162</v>
      </c>
      <c r="CN18" s="819" t="s">
        <v>161</v>
      </c>
      <c r="CO18" s="821" t="s">
        <v>68</v>
      </c>
      <c r="CP18" s="823" t="s">
        <v>162</v>
      </c>
      <c r="CQ18" s="886"/>
      <c r="CR18" s="819" t="s">
        <v>161</v>
      </c>
      <c r="CS18" s="821" t="s">
        <v>68</v>
      </c>
      <c r="CT18" s="823" t="s">
        <v>162</v>
      </c>
      <c r="CU18" s="819" t="s">
        <v>161</v>
      </c>
      <c r="CV18" s="821" t="s">
        <v>68</v>
      </c>
      <c r="CW18" s="823" t="s">
        <v>162</v>
      </c>
      <c r="CX18" s="849"/>
      <c r="CY18" s="839"/>
      <c r="DA18" s="826"/>
      <c r="DB18" s="826"/>
    </row>
    <row r="19" spans="2:128" ht="45" customHeight="1" thickBot="1" x14ac:dyDescent="0.3">
      <c r="B19" s="972"/>
      <c r="C19" s="978"/>
      <c r="D19" s="899"/>
      <c r="E19" s="901"/>
      <c r="F19" s="952"/>
      <c r="G19" s="310" t="s">
        <v>225</v>
      </c>
      <c r="H19" s="310" t="s">
        <v>226</v>
      </c>
      <c r="I19" s="310" t="s">
        <v>227</v>
      </c>
      <c r="J19" s="310" t="s">
        <v>228</v>
      </c>
      <c r="K19" s="310" t="s">
        <v>229</v>
      </c>
      <c r="L19" s="311" t="s">
        <v>230</v>
      </c>
      <c r="M19" s="903"/>
      <c r="N19" s="147"/>
      <c r="O19" s="319" t="s">
        <v>231</v>
      </c>
      <c r="P19" s="310" t="s">
        <v>232</v>
      </c>
      <c r="Q19" s="310" t="s">
        <v>233</v>
      </c>
      <c r="R19" s="310" t="s">
        <v>234</v>
      </c>
      <c r="S19" s="310" t="s">
        <v>235</v>
      </c>
      <c r="T19" s="310" t="s">
        <v>236</v>
      </c>
      <c r="U19" s="903"/>
      <c r="V19" s="148"/>
      <c r="W19" s="962"/>
      <c r="X19" s="954"/>
      <c r="Y19" s="899"/>
      <c r="Z19" s="899"/>
      <c r="AA19" s="899"/>
      <c r="AB19" s="901"/>
      <c r="AC19" s="954"/>
      <c r="AD19" s="901"/>
      <c r="AE19" s="1029"/>
      <c r="AF19" s="357"/>
      <c r="AG19" s="55">
        <f>SUM(AG20:AG31,AG38:AG45,AG52:AG63)</f>
        <v>0</v>
      </c>
      <c r="AH19" s="55">
        <f>SUM(AH20:AH31,AH38:AH45)</f>
        <v>0</v>
      </c>
      <c r="AM19" s="1014"/>
      <c r="AN19" s="934"/>
      <c r="AO19" s="935"/>
      <c r="AP19" s="1038"/>
      <c r="AQ19" s="1039"/>
      <c r="AR19" s="820"/>
      <c r="AS19" s="822"/>
      <c r="AT19" s="824"/>
      <c r="AU19" s="149" t="s">
        <v>161</v>
      </c>
      <c r="AV19" s="554" t="s">
        <v>68</v>
      </c>
      <c r="AW19" s="150" t="s">
        <v>162</v>
      </c>
      <c r="AX19" s="151" t="s">
        <v>238</v>
      </c>
      <c r="AY19" s="555" t="s">
        <v>239</v>
      </c>
      <c r="AZ19" s="152" t="s">
        <v>240</v>
      </c>
      <c r="BA19" s="152" t="s">
        <v>241</v>
      </c>
      <c r="BB19" s="555" t="s">
        <v>242</v>
      </c>
      <c r="BC19" s="152" t="s">
        <v>243</v>
      </c>
      <c r="BD19" s="152" t="s">
        <v>244</v>
      </c>
      <c r="BE19" s="555" t="s">
        <v>245</v>
      </c>
      <c r="BF19" s="152" t="s">
        <v>246</v>
      </c>
      <c r="BG19" s="152" t="s">
        <v>247</v>
      </c>
      <c r="BH19" s="555" t="s">
        <v>248</v>
      </c>
      <c r="BI19" s="152" t="s">
        <v>249</v>
      </c>
      <c r="BJ19" s="152" t="s">
        <v>250</v>
      </c>
      <c r="BK19" s="555" t="s">
        <v>251</v>
      </c>
      <c r="BL19" s="152" t="s">
        <v>252</v>
      </c>
      <c r="BM19" s="373" t="s">
        <v>253</v>
      </c>
      <c r="BN19" s="938"/>
      <c r="BO19" s="154"/>
      <c r="BP19" s="151" t="s">
        <v>254</v>
      </c>
      <c r="BQ19" s="555" t="s">
        <v>255</v>
      </c>
      <c r="BR19" s="152" t="s">
        <v>256</v>
      </c>
      <c r="BS19" s="152" t="s">
        <v>257</v>
      </c>
      <c r="BT19" s="555" t="s">
        <v>258</v>
      </c>
      <c r="BU19" s="152" t="s">
        <v>259</v>
      </c>
      <c r="BV19" s="152" t="s">
        <v>260</v>
      </c>
      <c r="BW19" s="555" t="s">
        <v>261</v>
      </c>
      <c r="BX19" s="152" t="s">
        <v>262</v>
      </c>
      <c r="BY19" s="152" t="s">
        <v>263</v>
      </c>
      <c r="BZ19" s="555" t="s">
        <v>264</v>
      </c>
      <c r="CA19" s="152" t="s">
        <v>265</v>
      </c>
      <c r="CB19" s="152" t="s">
        <v>266</v>
      </c>
      <c r="CC19" s="555" t="s">
        <v>267</v>
      </c>
      <c r="CD19" s="152" t="s">
        <v>268</v>
      </c>
      <c r="CE19" s="153" t="s">
        <v>269</v>
      </c>
      <c r="CF19" s="155" t="s">
        <v>161</v>
      </c>
      <c r="CG19" s="556" t="s">
        <v>68</v>
      </c>
      <c r="CH19" s="156" t="s">
        <v>162</v>
      </c>
      <c r="CI19" s="157"/>
      <c r="CJ19" s="924"/>
      <c r="CK19" s="820"/>
      <c r="CL19" s="822"/>
      <c r="CM19" s="824"/>
      <c r="CN19" s="820"/>
      <c r="CO19" s="822"/>
      <c r="CP19" s="824"/>
      <c r="CQ19" s="887"/>
      <c r="CR19" s="820"/>
      <c r="CS19" s="822"/>
      <c r="CT19" s="824"/>
      <c r="CU19" s="820"/>
      <c r="CV19" s="822"/>
      <c r="CW19" s="824"/>
      <c r="CX19" s="848"/>
      <c r="CY19" s="840" t="s">
        <v>68</v>
      </c>
      <c r="DA19" s="55">
        <f>SUM(DA20:DA31,DA38:DA45,DA52:DA63)</f>
        <v>0</v>
      </c>
      <c r="DB19" s="55">
        <f>SUM(DB20:DB31,DB38:DB45)</f>
        <v>0</v>
      </c>
      <c r="DD19" s="55" t="s">
        <v>164</v>
      </c>
      <c r="DE19" s="55" t="s">
        <v>165</v>
      </c>
      <c r="DF19" s="55" t="s">
        <v>166</v>
      </c>
      <c r="DG19" s="55" t="s">
        <v>167</v>
      </c>
      <c r="DH19" s="55" t="s">
        <v>168</v>
      </c>
      <c r="DI19" s="55" t="s">
        <v>169</v>
      </c>
      <c r="DJ19" s="55" t="s">
        <v>170</v>
      </c>
      <c r="DK19" s="55" t="s">
        <v>171</v>
      </c>
      <c r="DL19" s="55" t="s">
        <v>172</v>
      </c>
      <c r="DM19" s="55" t="s">
        <v>173</v>
      </c>
      <c r="DN19" s="55" t="s">
        <v>174</v>
      </c>
      <c r="DO19" s="55" t="s">
        <v>175</v>
      </c>
      <c r="DP19" s="55" t="s">
        <v>176</v>
      </c>
      <c r="DQ19" s="55" t="s">
        <v>177</v>
      </c>
      <c r="DR19" s="55" t="s">
        <v>178</v>
      </c>
      <c r="DS19" s="55" t="s">
        <v>179</v>
      </c>
      <c r="DT19" s="55" t="s">
        <v>180</v>
      </c>
      <c r="DU19" s="55" t="s">
        <v>181</v>
      </c>
    </row>
    <row r="20" spans="2:128" ht="30" customHeight="1" x14ac:dyDescent="0.25">
      <c r="B20" s="972"/>
      <c r="C20" s="979" t="s">
        <v>270</v>
      </c>
      <c r="D20" s="980"/>
      <c r="E20" s="158"/>
      <c r="F20" s="159"/>
      <c r="G20" s="160"/>
      <c r="H20" s="160"/>
      <c r="I20" s="160"/>
      <c r="J20" s="160"/>
      <c r="K20" s="160"/>
      <c r="L20" s="203">
        <f>SUM(G20:K20)</f>
        <v>0</v>
      </c>
      <c r="M20" s="176">
        <f t="shared" ref="M20" si="6">F20+L20</f>
        <v>0</v>
      </c>
      <c r="N20" s="161"/>
      <c r="O20" s="159"/>
      <c r="P20" s="160"/>
      <c r="Q20" s="160"/>
      <c r="R20" s="160"/>
      <c r="S20" s="160"/>
      <c r="T20" s="173">
        <f>SUM(O20:S20)</f>
        <v>0</v>
      </c>
      <c r="U20" s="162"/>
      <c r="V20" s="163"/>
      <c r="W20" s="176">
        <f t="shared" ref="W20" si="7">M20+T20+U20</f>
        <v>0</v>
      </c>
      <c r="X20" s="159"/>
      <c r="Y20" s="160"/>
      <c r="Z20" s="173">
        <f>F20+L20+T20+U20-X20-Y20</f>
        <v>0</v>
      </c>
      <c r="AA20" s="164"/>
      <c r="AB20" s="165"/>
      <c r="AC20" s="320"/>
      <c r="AD20" s="321"/>
      <c r="AE20" s="166"/>
      <c r="AF20" s="357"/>
      <c r="AG20" s="53">
        <f>IF(AND(AA20&lt;&gt;"",OR(AA20&lt;EXPEDIENTE!$I$25,AA20&gt;EXPEDIENTE!$I$29)),1,0)</f>
        <v>0</v>
      </c>
      <c r="AH20" s="53">
        <f>IF(AND(AB20&lt;&gt;"",OR(AB20&lt;EXPEDIENTE!$I$25,AB20&gt;EXPEDIENTE!$I$29)),1,0)</f>
        <v>0</v>
      </c>
      <c r="AI20" s="53">
        <f>IF(DATE(YEAR(EXPEDIENTE!$I$25)+2,MONTH(DATEVALUE($C20&amp;"1")),1)&gt;=DATE(YEAR(EXPEDIENTE!$I$25),MONTH(EXPEDIENTE!$I$25),1),0,1)</f>
        <v>0</v>
      </c>
      <c r="AJ20" s="53" t="e">
        <f>IF(DATE(YEAR(EXPEDIENTE!$I$25)+2,MONTH(DATEVALUE($C20&amp;"1")),1)&lt;=DATE(YEAR(EXPEDIENTE!$I$27),MONTH(EXPEDIENTE!$I$27),1),0,1)</f>
        <v>#VALUE!</v>
      </c>
      <c r="AK20" s="53" t="e">
        <f>SUM(AI20:AJ20)</f>
        <v>#VALUE!</v>
      </c>
      <c r="AM20" s="1014"/>
      <c r="AN20" s="883" t="s">
        <v>270</v>
      </c>
      <c r="AO20" s="884"/>
      <c r="AP20" s="1038"/>
      <c r="AQ20" s="1039"/>
      <c r="AR20" s="167">
        <f t="shared" ref="AR20:AR31" si="8">IF(E20="",0,E20)</f>
        <v>0</v>
      </c>
      <c r="AS20" s="168"/>
      <c r="AT20" s="169">
        <f>IF(AS20="",AR20,AS20)</f>
        <v>0</v>
      </c>
      <c r="AU20" s="170">
        <f t="shared" ref="AU20:AU31" si="9">IF(F20="",0,F20)</f>
        <v>0</v>
      </c>
      <c r="AV20" s="171"/>
      <c r="AW20" s="172">
        <f>IF(AV20="",AU20,AV20)</f>
        <v>0</v>
      </c>
      <c r="AX20" s="170">
        <f t="shared" ref="AX20:AX31" si="10">IF(G20="",0,G20)</f>
        <v>0</v>
      </c>
      <c r="AY20" s="173"/>
      <c r="AZ20" s="174">
        <f>IF(AY20="",AX20,AY20)</f>
        <v>0</v>
      </c>
      <c r="BA20" s="174">
        <f t="shared" ref="BA20:BA31" si="11">IF(H20="",0,H20)</f>
        <v>0</v>
      </c>
      <c r="BB20" s="173"/>
      <c r="BC20" s="174">
        <f>IF(BB20="",BA20,BB20)</f>
        <v>0</v>
      </c>
      <c r="BD20" s="174">
        <f t="shared" ref="BD20:BD31" si="12">IF(I20="",0,I20)</f>
        <v>0</v>
      </c>
      <c r="BE20" s="173"/>
      <c r="BF20" s="174">
        <f>IF(BE20="",BD20,BE20)</f>
        <v>0</v>
      </c>
      <c r="BG20" s="174">
        <f t="shared" ref="BG20:BG31" si="13">IF(J20="",0,J20)</f>
        <v>0</v>
      </c>
      <c r="BH20" s="173"/>
      <c r="BI20" s="174">
        <f>IF(BH20="",BG20,BH20)</f>
        <v>0</v>
      </c>
      <c r="BJ20" s="174">
        <f t="shared" ref="BJ20:BJ31" si="14">IF(K20="",0,K20)</f>
        <v>0</v>
      </c>
      <c r="BK20" s="173"/>
      <c r="BL20" s="174">
        <f>IF(BK20="",BJ20,BK20)</f>
        <v>0</v>
      </c>
      <c r="BM20" s="175">
        <f>AZ20+BC20+BF20+BI20+BL20</f>
        <v>0</v>
      </c>
      <c r="BN20" s="176">
        <f>AW20+BM20</f>
        <v>0</v>
      </c>
      <c r="BO20" s="177"/>
      <c r="BP20" s="170">
        <f t="shared" ref="BP20:BP31" si="15">IF(O20="",0,O20)</f>
        <v>0</v>
      </c>
      <c r="BQ20" s="171"/>
      <c r="BR20" s="178">
        <f>IF(BQ20="",BP20,BQ20)</f>
        <v>0</v>
      </c>
      <c r="BS20" s="174">
        <f t="shared" ref="BS20:BS31" si="16">IF(P20="",0,P20)</f>
        <v>0</v>
      </c>
      <c r="BT20" s="173"/>
      <c r="BU20" s="174">
        <f>IF(BT20="",BS20,BT20)</f>
        <v>0</v>
      </c>
      <c r="BV20" s="174">
        <f t="shared" ref="BV20:BV31" si="17">IF(Q20="",0,Q20)</f>
        <v>0</v>
      </c>
      <c r="BW20" s="173"/>
      <c r="BX20" s="174">
        <f>IF(BW20="",BV20,BW20)</f>
        <v>0</v>
      </c>
      <c r="BY20" s="174">
        <f t="shared" ref="BY20:BY31" si="18">IF(R20="",0,R20)</f>
        <v>0</v>
      </c>
      <c r="BZ20" s="173"/>
      <c r="CA20" s="174">
        <f>IF(BZ20="",BY20,BZ20)</f>
        <v>0</v>
      </c>
      <c r="CB20" s="174">
        <f t="shared" ref="CB20:CB31" si="19">IF(S20="",0,S20)</f>
        <v>0</v>
      </c>
      <c r="CC20" s="173"/>
      <c r="CD20" s="174">
        <f>IF(CC20="",CB20,CC20)</f>
        <v>0</v>
      </c>
      <c r="CE20" s="175">
        <f>BR20+BU20+BX20+CA20+CD20</f>
        <v>0</v>
      </c>
      <c r="CF20" s="179">
        <f t="shared" ref="CF20:CF31" si="20">IF(U20="",0,U20)</f>
        <v>0</v>
      </c>
      <c r="CG20" s="180"/>
      <c r="CH20" s="181">
        <f>IF(CG20="",CF20,CG20)</f>
        <v>0</v>
      </c>
      <c r="CI20" s="182"/>
      <c r="CJ20" s="183">
        <f>BN20+CE20+CH20</f>
        <v>0</v>
      </c>
      <c r="CK20" s="170">
        <f t="shared" ref="CK20:CK31" si="21">IF(X20="",0,X20)</f>
        <v>0</v>
      </c>
      <c r="CL20" s="171"/>
      <c r="CM20" s="172">
        <f>IF(CL20="",CK20,CL20)</f>
        <v>0</v>
      </c>
      <c r="CN20" s="179">
        <f t="shared" ref="CN20:CN31" si="22">IF(Y20="",0,Y20)</f>
        <v>0</v>
      </c>
      <c r="CO20" s="180"/>
      <c r="CP20" s="181">
        <f>IF(CO20="",CN20,CO20)</f>
        <v>0</v>
      </c>
      <c r="CQ20" s="184">
        <f>AW20+BM20+CE20+CH20-CM20-CP20</f>
        <v>0</v>
      </c>
      <c r="CR20" s="185" t="str">
        <f t="shared" ref="CR20:CR31" si="23">IF(AA20="","",AA20)</f>
        <v/>
      </c>
      <c r="CS20" s="186"/>
      <c r="CT20" s="187" t="str">
        <f>IF(CS20="",CR20,CS20)</f>
        <v/>
      </c>
      <c r="CU20" s="188" t="str">
        <f t="shared" ref="CU20:CU31" si="24">IF(AB20="","",AB20)</f>
        <v/>
      </c>
      <c r="CV20" s="189"/>
      <c r="CW20" s="190" t="str">
        <f>IF(CV20="",CU20,CV20)</f>
        <v/>
      </c>
      <c r="CX20" s="191" t="str">
        <f>IF(DD20=0,"",DD20)</f>
        <v/>
      </c>
      <c r="CY20" s="192"/>
      <c r="DA20" s="53">
        <f>IF(AND(CT20&lt;&gt;"",OR(CT20&lt;EXPEDIENTE!$I$25,CT20&gt;EXPEDIENTE!$I$29)),1,0)</f>
        <v>0</v>
      </c>
      <c r="DB20" s="53">
        <f>IF(AND(CW20&lt;&gt;"",OR(CW20&lt;EXPEDIENTE!$I$25,CW20&gt;EXPEDIENTE!$I$29)),1,0)</f>
        <v>0</v>
      </c>
      <c r="DD20" s="55">
        <f t="shared" ref="DD20:DD31" si="25">SUM(DE20:DU20)</f>
        <v>0</v>
      </c>
      <c r="DE20" s="55">
        <f>IF(AS20="",0,1)</f>
        <v>0</v>
      </c>
      <c r="DF20" s="55">
        <f>IF(AV20="",0,1)</f>
        <v>0</v>
      </c>
      <c r="DG20" s="55">
        <f>IF(AY20="",0,1)</f>
        <v>0</v>
      </c>
      <c r="DH20" s="55">
        <f>IF(BB20="",0,1)</f>
        <v>0</v>
      </c>
      <c r="DI20" s="55">
        <f>IF(BE20="",0,1)</f>
        <v>0</v>
      </c>
      <c r="DJ20" s="55">
        <f>IF(BH20="",0,1)</f>
        <v>0</v>
      </c>
      <c r="DK20" s="55">
        <f>IF(BK20="",0,1)</f>
        <v>0</v>
      </c>
      <c r="DL20" s="55">
        <f>IF(BQ20="",0,1)</f>
        <v>0</v>
      </c>
      <c r="DM20" s="55">
        <f>IF(BT20="",0,1)</f>
        <v>0</v>
      </c>
      <c r="DN20" s="55">
        <f>IF(BW20="",0,1)</f>
        <v>0</v>
      </c>
      <c r="DO20" s="55">
        <f>IF(BZ20="",0,1)</f>
        <v>0</v>
      </c>
      <c r="DP20" s="55">
        <f>IF(CC20="",0,1)</f>
        <v>0</v>
      </c>
      <c r="DQ20" s="55">
        <f>IF(CG20="",0,1)</f>
        <v>0</v>
      </c>
      <c r="DR20" s="55">
        <f>IF(CL20="",0,1)</f>
        <v>0</v>
      </c>
      <c r="DS20" s="55">
        <f>IF(CO20="",0,1)</f>
        <v>0</v>
      </c>
      <c r="DT20" s="55">
        <f>IF(CS20="",0,1)</f>
        <v>0</v>
      </c>
      <c r="DU20" s="55">
        <f>IF(CV20="",0,1)</f>
        <v>0</v>
      </c>
      <c r="DW20" s="55">
        <f>IF(CY20&lt;&gt;"",MAX($DW$9:DW19)+1,0)</f>
        <v>0</v>
      </c>
      <c r="DX20" s="130" t="str">
        <f>IF(DW20=0,"",CY20)</f>
        <v/>
      </c>
    </row>
    <row r="21" spans="2:128" ht="30" customHeight="1" x14ac:dyDescent="0.25">
      <c r="B21" s="972"/>
      <c r="C21" s="981" t="s">
        <v>271</v>
      </c>
      <c r="D21" s="982"/>
      <c r="E21" s="193"/>
      <c r="F21" s="194"/>
      <c r="G21" s="195"/>
      <c r="H21" s="195"/>
      <c r="I21" s="195"/>
      <c r="J21" s="195"/>
      <c r="K21" s="195"/>
      <c r="L21" s="203">
        <f t="shared" ref="L21:L31" si="26">SUM(G21:K21)</f>
        <v>0</v>
      </c>
      <c r="M21" s="205">
        <f>F21+L21</f>
        <v>0</v>
      </c>
      <c r="N21" s="161"/>
      <c r="O21" s="194"/>
      <c r="P21" s="195"/>
      <c r="Q21" s="195"/>
      <c r="R21" s="195"/>
      <c r="S21" s="195"/>
      <c r="T21" s="203">
        <f t="shared" ref="T21:T31" si="27">SUM(O21:S21)</f>
        <v>0</v>
      </c>
      <c r="U21" s="196"/>
      <c r="V21" s="163"/>
      <c r="W21" s="205">
        <f>M21+T21+U21</f>
        <v>0</v>
      </c>
      <c r="X21" s="194"/>
      <c r="Y21" s="195"/>
      <c r="Z21" s="203">
        <f t="shared" ref="Z21:Z31" si="28">F21+L21+T21+U21-X21-Y21</f>
        <v>0</v>
      </c>
      <c r="AA21" s="164"/>
      <c r="AB21" s="165"/>
      <c r="AC21" s="322"/>
      <c r="AD21" s="323"/>
      <c r="AE21" s="197"/>
      <c r="AF21" s="357"/>
      <c r="AG21" s="53">
        <f>IF(AND(AA21&lt;&gt;"",OR(AA21&lt;EXPEDIENTE!$I$25,AA21&gt;EXPEDIENTE!$I$29)),1,0)</f>
        <v>0</v>
      </c>
      <c r="AH21" s="53">
        <f>IF(AND(AB21&lt;&gt;"",OR(AB21&lt;EXPEDIENTE!$I$25,AB21&gt;EXPEDIENTE!$I$29)),1,0)</f>
        <v>0</v>
      </c>
      <c r="AI21" s="53">
        <f>IF(DATE(YEAR(EXPEDIENTE!$I$25)+2,MONTH(DATEVALUE($C21&amp;"1")),1)&gt;=DATE(YEAR(EXPEDIENTE!$I$25),MONTH(EXPEDIENTE!$I$25),1),0,1)</f>
        <v>0</v>
      </c>
      <c r="AJ21" s="53" t="e">
        <f>IF(DATE(YEAR(EXPEDIENTE!$I$25)+2,MONTH(DATEVALUE($C21&amp;"1")),1)&lt;=DATE(YEAR(EXPEDIENTE!$I$27),MONTH(EXPEDIENTE!$I$27),1),0,1)</f>
        <v>#VALUE!</v>
      </c>
      <c r="AK21" s="53" t="e">
        <f t="shared" ref="AK21:AK31" si="29">SUM(AI21:AJ21)</f>
        <v>#VALUE!</v>
      </c>
      <c r="AM21" s="1014"/>
      <c r="AN21" s="859" t="s">
        <v>271</v>
      </c>
      <c r="AO21" s="860"/>
      <c r="AP21" s="1038"/>
      <c r="AQ21" s="1039"/>
      <c r="AR21" s="198">
        <f t="shared" si="8"/>
        <v>0</v>
      </c>
      <c r="AS21" s="85"/>
      <c r="AT21" s="199">
        <f t="shared" ref="AT21:AT31" si="30">IF(AS21="",AR21,AS21)</f>
        <v>0</v>
      </c>
      <c r="AU21" s="200">
        <f t="shared" si="9"/>
        <v>0</v>
      </c>
      <c r="AV21" s="201"/>
      <c r="AW21" s="202">
        <f t="shared" ref="AW21:AW31" si="31">IF(AV21="",AU21,AV21)</f>
        <v>0</v>
      </c>
      <c r="AX21" s="200">
        <f t="shared" si="10"/>
        <v>0</v>
      </c>
      <c r="AY21" s="203"/>
      <c r="AZ21" s="204">
        <f t="shared" ref="AZ21:AZ31" si="32">IF(AY21="",AX21,AY21)</f>
        <v>0</v>
      </c>
      <c r="BA21" s="204">
        <f t="shared" si="11"/>
        <v>0</v>
      </c>
      <c r="BB21" s="203"/>
      <c r="BC21" s="204">
        <f t="shared" ref="BC21:BC31" si="33">IF(BB21="",BA21,BB21)</f>
        <v>0</v>
      </c>
      <c r="BD21" s="204">
        <f t="shared" si="12"/>
        <v>0</v>
      </c>
      <c r="BE21" s="203"/>
      <c r="BF21" s="204">
        <f t="shared" ref="BF21:BF31" si="34">IF(BE21="",BD21,BE21)</f>
        <v>0</v>
      </c>
      <c r="BG21" s="204">
        <f t="shared" si="13"/>
        <v>0</v>
      </c>
      <c r="BH21" s="203"/>
      <c r="BI21" s="204">
        <f t="shared" ref="BI21:BI31" si="35">IF(BH21="",BG21,BH21)</f>
        <v>0</v>
      </c>
      <c r="BJ21" s="204">
        <f t="shared" si="14"/>
        <v>0</v>
      </c>
      <c r="BK21" s="203"/>
      <c r="BL21" s="204">
        <f t="shared" ref="BL21:BL31" si="36">IF(BK21="",BJ21,BK21)</f>
        <v>0</v>
      </c>
      <c r="BM21" s="175">
        <f t="shared" ref="BM21:BM31" si="37">AZ21+BC21+BF21+BI21+BL21</f>
        <v>0</v>
      </c>
      <c r="BN21" s="205">
        <f t="shared" ref="BN21:BN31" si="38">AW21+BM21</f>
        <v>0</v>
      </c>
      <c r="BO21" s="177"/>
      <c r="BP21" s="200">
        <f t="shared" si="15"/>
        <v>0</v>
      </c>
      <c r="BQ21" s="201"/>
      <c r="BR21" s="206">
        <f t="shared" ref="BR21:BR31" si="39">IF(BQ21="",BP21,BQ21)</f>
        <v>0</v>
      </c>
      <c r="BS21" s="204">
        <f t="shared" si="16"/>
        <v>0</v>
      </c>
      <c r="BT21" s="203"/>
      <c r="BU21" s="204">
        <f t="shared" ref="BU21:BU31" si="40">IF(BT21="",BS21,BT21)</f>
        <v>0</v>
      </c>
      <c r="BV21" s="204">
        <f t="shared" si="17"/>
        <v>0</v>
      </c>
      <c r="BW21" s="203"/>
      <c r="BX21" s="204">
        <f t="shared" ref="BX21:BX31" si="41">IF(BW21="",BV21,BW21)</f>
        <v>0</v>
      </c>
      <c r="BY21" s="204">
        <f t="shared" si="18"/>
        <v>0</v>
      </c>
      <c r="BZ21" s="203"/>
      <c r="CA21" s="204">
        <f t="shared" ref="CA21:CA31" si="42">IF(BZ21="",BY21,BZ21)</f>
        <v>0</v>
      </c>
      <c r="CB21" s="204">
        <f t="shared" si="19"/>
        <v>0</v>
      </c>
      <c r="CC21" s="203"/>
      <c r="CD21" s="204">
        <f t="shared" ref="CD21:CD31" si="43">IF(CC21="",CB21,CC21)</f>
        <v>0</v>
      </c>
      <c r="CE21" s="175">
        <f t="shared" ref="CE21:CE31" si="44">BR21+BU21+BX21+CA21+CD21</f>
        <v>0</v>
      </c>
      <c r="CF21" s="200">
        <f t="shared" si="20"/>
        <v>0</v>
      </c>
      <c r="CG21" s="203"/>
      <c r="CH21" s="207">
        <f t="shared" ref="CH21:CH31" si="45">IF(CG21="",CF21,CG21)</f>
        <v>0</v>
      </c>
      <c r="CI21" s="182"/>
      <c r="CJ21" s="208">
        <f t="shared" ref="CJ21:CJ31" si="46">BN21+CE21+CH21</f>
        <v>0</v>
      </c>
      <c r="CK21" s="200">
        <f t="shared" si="21"/>
        <v>0</v>
      </c>
      <c r="CL21" s="201"/>
      <c r="CM21" s="202">
        <f t="shared" ref="CM21:CM31" si="47">IF(CL21="",CK21,CL21)</f>
        <v>0</v>
      </c>
      <c r="CN21" s="200">
        <f t="shared" si="22"/>
        <v>0</v>
      </c>
      <c r="CO21" s="203"/>
      <c r="CP21" s="207">
        <f t="shared" ref="CP21:CP31" si="48">IF(CO21="",CN21,CO21)</f>
        <v>0</v>
      </c>
      <c r="CQ21" s="208">
        <f t="shared" ref="CQ21:CQ31" si="49">AW21+BM21+CE21+CH21-CM21-CP21</f>
        <v>0</v>
      </c>
      <c r="CR21" s="185" t="str">
        <f t="shared" si="23"/>
        <v/>
      </c>
      <c r="CS21" s="186"/>
      <c r="CT21" s="187" t="str">
        <f t="shared" ref="CT21:CT31" si="50">IF(CS21="",CR21,CS21)</f>
        <v/>
      </c>
      <c r="CU21" s="188" t="str">
        <f t="shared" si="24"/>
        <v/>
      </c>
      <c r="CV21" s="189"/>
      <c r="CW21" s="190" t="str">
        <f t="shared" ref="CW21:CW31" si="51">IF(CV21="",CU21,CV21)</f>
        <v/>
      </c>
      <c r="CX21" s="209" t="str">
        <f t="shared" ref="CX21:CX31" si="52">IF(DD21=0,"",DD21)</f>
        <v/>
      </c>
      <c r="CY21" s="210"/>
      <c r="DA21" s="53">
        <f>IF(AND(CT21&lt;&gt;"",OR(CT21&lt;EXPEDIENTE!$I$25,CT21&gt;EXPEDIENTE!$I$29)),1,0)</f>
        <v>0</v>
      </c>
      <c r="DB21" s="53">
        <f>IF(AND(CW21&lt;&gt;"",OR(CW21&lt;EXPEDIENTE!$I$25,CW21&gt;EXPEDIENTE!$I$29)),1,0)</f>
        <v>0</v>
      </c>
      <c r="DD21" s="55">
        <f t="shared" si="25"/>
        <v>0</v>
      </c>
      <c r="DE21" s="55">
        <f t="shared" ref="DE21:DE31" si="53">IF(AS21="",0,1)</f>
        <v>0</v>
      </c>
      <c r="DF21" s="55">
        <f t="shared" ref="DF21:DF31" si="54">IF(AV21="",0,1)</f>
        <v>0</v>
      </c>
      <c r="DG21" s="55">
        <f t="shared" ref="DG21:DG31" si="55">IF(AY21="",0,1)</f>
        <v>0</v>
      </c>
      <c r="DH21" s="55">
        <f t="shared" ref="DH21:DH31" si="56">IF(BB21="",0,1)</f>
        <v>0</v>
      </c>
      <c r="DI21" s="55">
        <f t="shared" ref="DI21:DI31" si="57">IF(BE21="",0,1)</f>
        <v>0</v>
      </c>
      <c r="DJ21" s="55">
        <f t="shared" ref="DJ21:DJ31" si="58">IF(BH21="",0,1)</f>
        <v>0</v>
      </c>
      <c r="DK21" s="55">
        <f t="shared" ref="DK21:DK31" si="59">IF(BK21="",0,1)</f>
        <v>0</v>
      </c>
      <c r="DL21" s="55">
        <f t="shared" ref="DL21:DL31" si="60">IF(BQ21="",0,1)</f>
        <v>0</v>
      </c>
      <c r="DM21" s="55">
        <f t="shared" ref="DM21:DM31" si="61">IF(BT21="",0,1)</f>
        <v>0</v>
      </c>
      <c r="DN21" s="55">
        <f t="shared" ref="DN21:DN31" si="62">IF(BW21="",0,1)</f>
        <v>0</v>
      </c>
      <c r="DO21" s="55">
        <f t="shared" ref="DO21:DO31" si="63">IF(BZ21="",0,1)</f>
        <v>0</v>
      </c>
      <c r="DP21" s="55">
        <f t="shared" ref="DP21:DP31" si="64">IF(CC21="",0,1)</f>
        <v>0</v>
      </c>
      <c r="DQ21" s="55">
        <f t="shared" ref="DQ21:DQ31" si="65">IF(CG21="",0,1)</f>
        <v>0</v>
      </c>
      <c r="DR21" s="55">
        <f t="shared" ref="DR21:DR31" si="66">IF(CL21="",0,1)</f>
        <v>0</v>
      </c>
      <c r="DS21" s="55">
        <f t="shared" ref="DS21:DS31" si="67">IF(CO21="",0,1)</f>
        <v>0</v>
      </c>
      <c r="DT21" s="55">
        <f t="shared" ref="DT21:DT31" si="68">IF(CS21="",0,1)</f>
        <v>0</v>
      </c>
      <c r="DU21" s="55">
        <f t="shared" ref="DU21:DU31" si="69">IF(CV21="",0,1)</f>
        <v>0</v>
      </c>
      <c r="DW21" s="55">
        <f>IF(CY21&lt;&gt;"",MAX($DW$9:DW20)+1,0)</f>
        <v>0</v>
      </c>
      <c r="DX21" s="130" t="str">
        <f t="shared" ref="DX21:DX31" si="70">IF(DW21=0,"",CY21)</f>
        <v/>
      </c>
    </row>
    <row r="22" spans="2:128" ht="30" customHeight="1" x14ac:dyDescent="0.25">
      <c r="B22" s="972"/>
      <c r="C22" s="981" t="s">
        <v>272</v>
      </c>
      <c r="D22" s="982"/>
      <c r="E22" s="193"/>
      <c r="F22" s="194"/>
      <c r="G22" s="195"/>
      <c r="H22" s="195"/>
      <c r="I22" s="195"/>
      <c r="J22" s="195"/>
      <c r="K22" s="195"/>
      <c r="L22" s="203">
        <f t="shared" si="26"/>
        <v>0</v>
      </c>
      <c r="M22" s="205">
        <f t="shared" ref="M22:M31" si="71">F22+L22</f>
        <v>0</v>
      </c>
      <c r="N22" s="161"/>
      <c r="O22" s="194"/>
      <c r="P22" s="195"/>
      <c r="Q22" s="195"/>
      <c r="R22" s="195"/>
      <c r="S22" s="195"/>
      <c r="T22" s="203">
        <f t="shared" si="27"/>
        <v>0</v>
      </c>
      <c r="U22" s="196"/>
      <c r="V22" s="163"/>
      <c r="W22" s="205">
        <f t="shared" ref="W22:W31" si="72">M22+T22+U22</f>
        <v>0</v>
      </c>
      <c r="X22" s="194"/>
      <c r="Y22" s="195"/>
      <c r="Z22" s="203">
        <f t="shared" si="28"/>
        <v>0</v>
      </c>
      <c r="AA22" s="164"/>
      <c r="AB22" s="165"/>
      <c r="AC22" s="322"/>
      <c r="AD22" s="323"/>
      <c r="AE22" s="197"/>
      <c r="AF22" s="357"/>
      <c r="AG22" s="53">
        <f>IF(AND(AA22&lt;&gt;"",OR(AA22&lt;EXPEDIENTE!$I$25,AA22&gt;EXPEDIENTE!$I$29)),1,0)</f>
        <v>0</v>
      </c>
      <c r="AH22" s="53">
        <f>IF(AND(AB22&lt;&gt;"",OR(AB22&lt;EXPEDIENTE!$I$25,AB22&gt;EXPEDIENTE!$I$29)),1,0)</f>
        <v>0</v>
      </c>
      <c r="AI22" s="53">
        <f>IF(DATE(YEAR(EXPEDIENTE!$I$25)+2,MONTH(DATEVALUE($C22&amp;"1")),1)&gt;=DATE(YEAR(EXPEDIENTE!$I$25),MONTH(EXPEDIENTE!$I$25),1),0,1)</f>
        <v>0</v>
      </c>
      <c r="AJ22" s="53" t="e">
        <f>IF(DATE(YEAR(EXPEDIENTE!$I$25)+2,MONTH(DATEVALUE($C22&amp;"1")),1)&lt;=DATE(YEAR(EXPEDIENTE!$I$27),MONTH(EXPEDIENTE!$I$27),1),0,1)</f>
        <v>#VALUE!</v>
      </c>
      <c r="AK22" s="53" t="e">
        <f t="shared" si="29"/>
        <v>#VALUE!</v>
      </c>
      <c r="AM22" s="1014"/>
      <c r="AN22" s="859" t="s">
        <v>272</v>
      </c>
      <c r="AO22" s="860"/>
      <c r="AP22" s="1038"/>
      <c r="AQ22" s="1039"/>
      <c r="AR22" s="198">
        <f t="shared" si="8"/>
        <v>0</v>
      </c>
      <c r="AS22" s="85"/>
      <c r="AT22" s="199">
        <f t="shared" si="30"/>
        <v>0</v>
      </c>
      <c r="AU22" s="200">
        <f t="shared" si="9"/>
        <v>0</v>
      </c>
      <c r="AV22" s="201"/>
      <c r="AW22" s="202">
        <f t="shared" si="31"/>
        <v>0</v>
      </c>
      <c r="AX22" s="200">
        <f t="shared" si="10"/>
        <v>0</v>
      </c>
      <c r="AY22" s="203"/>
      <c r="AZ22" s="204">
        <f t="shared" si="32"/>
        <v>0</v>
      </c>
      <c r="BA22" s="204">
        <f t="shared" si="11"/>
        <v>0</v>
      </c>
      <c r="BB22" s="203"/>
      <c r="BC22" s="204">
        <f t="shared" si="33"/>
        <v>0</v>
      </c>
      <c r="BD22" s="204">
        <f t="shared" si="12"/>
        <v>0</v>
      </c>
      <c r="BE22" s="203"/>
      <c r="BF22" s="204">
        <f t="shared" si="34"/>
        <v>0</v>
      </c>
      <c r="BG22" s="204">
        <f t="shared" si="13"/>
        <v>0</v>
      </c>
      <c r="BH22" s="203"/>
      <c r="BI22" s="204">
        <f t="shared" si="35"/>
        <v>0</v>
      </c>
      <c r="BJ22" s="204">
        <f t="shared" si="14"/>
        <v>0</v>
      </c>
      <c r="BK22" s="203"/>
      <c r="BL22" s="204">
        <f t="shared" si="36"/>
        <v>0</v>
      </c>
      <c r="BM22" s="175">
        <f t="shared" si="37"/>
        <v>0</v>
      </c>
      <c r="BN22" s="205">
        <f t="shared" si="38"/>
        <v>0</v>
      </c>
      <c r="BO22" s="177"/>
      <c r="BP22" s="200">
        <f t="shared" si="15"/>
        <v>0</v>
      </c>
      <c r="BQ22" s="201"/>
      <c r="BR22" s="206">
        <f t="shared" si="39"/>
        <v>0</v>
      </c>
      <c r="BS22" s="204">
        <f t="shared" si="16"/>
        <v>0</v>
      </c>
      <c r="BT22" s="203"/>
      <c r="BU22" s="204">
        <f t="shared" si="40"/>
        <v>0</v>
      </c>
      <c r="BV22" s="204">
        <f t="shared" si="17"/>
        <v>0</v>
      </c>
      <c r="BW22" s="203"/>
      <c r="BX22" s="204">
        <f t="shared" si="41"/>
        <v>0</v>
      </c>
      <c r="BY22" s="204">
        <f t="shared" si="18"/>
        <v>0</v>
      </c>
      <c r="BZ22" s="203"/>
      <c r="CA22" s="204">
        <f t="shared" si="42"/>
        <v>0</v>
      </c>
      <c r="CB22" s="204">
        <f t="shared" si="19"/>
        <v>0</v>
      </c>
      <c r="CC22" s="203"/>
      <c r="CD22" s="204">
        <f t="shared" si="43"/>
        <v>0</v>
      </c>
      <c r="CE22" s="175">
        <f t="shared" si="44"/>
        <v>0</v>
      </c>
      <c r="CF22" s="200">
        <f t="shared" si="20"/>
        <v>0</v>
      </c>
      <c r="CG22" s="203"/>
      <c r="CH22" s="207">
        <f t="shared" si="45"/>
        <v>0</v>
      </c>
      <c r="CI22" s="182"/>
      <c r="CJ22" s="208">
        <f t="shared" si="46"/>
        <v>0</v>
      </c>
      <c r="CK22" s="200">
        <f t="shared" si="21"/>
        <v>0</v>
      </c>
      <c r="CL22" s="201"/>
      <c r="CM22" s="202">
        <f t="shared" si="47"/>
        <v>0</v>
      </c>
      <c r="CN22" s="200">
        <f t="shared" si="22"/>
        <v>0</v>
      </c>
      <c r="CO22" s="203"/>
      <c r="CP22" s="207">
        <f t="shared" si="48"/>
        <v>0</v>
      </c>
      <c r="CQ22" s="208">
        <f t="shared" si="49"/>
        <v>0</v>
      </c>
      <c r="CR22" s="185" t="str">
        <f t="shared" si="23"/>
        <v/>
      </c>
      <c r="CS22" s="186"/>
      <c r="CT22" s="187" t="str">
        <f t="shared" si="50"/>
        <v/>
      </c>
      <c r="CU22" s="188" t="str">
        <f t="shared" si="24"/>
        <v/>
      </c>
      <c r="CV22" s="189"/>
      <c r="CW22" s="190" t="str">
        <f t="shared" si="51"/>
        <v/>
      </c>
      <c r="CX22" s="209" t="str">
        <f t="shared" si="52"/>
        <v/>
      </c>
      <c r="CY22" s="210"/>
      <c r="DA22" s="53">
        <f>IF(AND(CT22&lt;&gt;"",OR(CT22&lt;EXPEDIENTE!$I$25,CT22&gt;EXPEDIENTE!$I$29)),1,0)</f>
        <v>0</v>
      </c>
      <c r="DB22" s="53">
        <f>IF(AND(CW22&lt;&gt;"",OR(CW22&lt;EXPEDIENTE!$I$25,CW22&gt;EXPEDIENTE!$I$29)),1,0)</f>
        <v>0</v>
      </c>
      <c r="DD22" s="55">
        <f t="shared" si="25"/>
        <v>0</v>
      </c>
      <c r="DE22" s="55">
        <f t="shared" si="53"/>
        <v>0</v>
      </c>
      <c r="DF22" s="55">
        <f t="shared" si="54"/>
        <v>0</v>
      </c>
      <c r="DG22" s="55">
        <f t="shared" si="55"/>
        <v>0</v>
      </c>
      <c r="DH22" s="55">
        <f t="shared" si="56"/>
        <v>0</v>
      </c>
      <c r="DI22" s="55">
        <f t="shared" si="57"/>
        <v>0</v>
      </c>
      <c r="DJ22" s="55">
        <f t="shared" si="58"/>
        <v>0</v>
      </c>
      <c r="DK22" s="55">
        <f t="shared" si="59"/>
        <v>0</v>
      </c>
      <c r="DL22" s="55">
        <f t="shared" si="60"/>
        <v>0</v>
      </c>
      <c r="DM22" s="55">
        <f t="shared" si="61"/>
        <v>0</v>
      </c>
      <c r="DN22" s="55">
        <f t="shared" si="62"/>
        <v>0</v>
      </c>
      <c r="DO22" s="55">
        <f t="shared" si="63"/>
        <v>0</v>
      </c>
      <c r="DP22" s="55">
        <f t="shared" si="64"/>
        <v>0</v>
      </c>
      <c r="DQ22" s="55">
        <f t="shared" si="65"/>
        <v>0</v>
      </c>
      <c r="DR22" s="55">
        <f t="shared" si="66"/>
        <v>0</v>
      </c>
      <c r="DS22" s="55">
        <f t="shared" si="67"/>
        <v>0</v>
      </c>
      <c r="DT22" s="55">
        <f t="shared" si="68"/>
        <v>0</v>
      </c>
      <c r="DU22" s="55">
        <f t="shared" si="69"/>
        <v>0</v>
      </c>
      <c r="DW22" s="55">
        <f>IF(CY22&lt;&gt;"",MAX($DW$9:DW21)+1,0)</f>
        <v>0</v>
      </c>
      <c r="DX22" s="130" t="str">
        <f t="shared" si="70"/>
        <v/>
      </c>
    </row>
    <row r="23" spans="2:128" ht="30" customHeight="1" x14ac:dyDescent="0.25">
      <c r="B23" s="972"/>
      <c r="C23" s="981" t="s">
        <v>273</v>
      </c>
      <c r="D23" s="982"/>
      <c r="E23" s="193"/>
      <c r="F23" s="194"/>
      <c r="G23" s="195"/>
      <c r="H23" s="195"/>
      <c r="I23" s="195"/>
      <c r="J23" s="195"/>
      <c r="K23" s="195"/>
      <c r="L23" s="203">
        <f t="shared" si="26"/>
        <v>0</v>
      </c>
      <c r="M23" s="205">
        <f t="shared" si="71"/>
        <v>0</v>
      </c>
      <c r="N23" s="161"/>
      <c r="O23" s="194"/>
      <c r="P23" s="195"/>
      <c r="Q23" s="195"/>
      <c r="R23" s="195"/>
      <c r="S23" s="195"/>
      <c r="T23" s="203">
        <f t="shared" si="27"/>
        <v>0</v>
      </c>
      <c r="U23" s="196"/>
      <c r="V23" s="163"/>
      <c r="W23" s="205">
        <f t="shared" si="72"/>
        <v>0</v>
      </c>
      <c r="X23" s="194"/>
      <c r="Y23" s="195"/>
      <c r="Z23" s="203">
        <f t="shared" si="28"/>
        <v>0</v>
      </c>
      <c r="AA23" s="164"/>
      <c r="AB23" s="165"/>
      <c r="AC23" s="322"/>
      <c r="AD23" s="323"/>
      <c r="AE23" s="197"/>
      <c r="AF23" s="357"/>
      <c r="AG23" s="53">
        <f>IF(AND(AA23&lt;&gt;"",OR(AA23&lt;EXPEDIENTE!$I$25,AA23&gt;EXPEDIENTE!$I$29)),1,0)</f>
        <v>0</v>
      </c>
      <c r="AH23" s="53">
        <f>IF(AND(AB23&lt;&gt;"",OR(AB23&lt;EXPEDIENTE!$I$25,AB23&gt;EXPEDIENTE!$I$29)),1,0)</f>
        <v>0</v>
      </c>
      <c r="AI23" s="53">
        <f>IF(DATE(YEAR(EXPEDIENTE!$I$25)+2,MONTH(DATEVALUE($C23&amp;"1")),1)&gt;=DATE(YEAR(EXPEDIENTE!$I$25),MONTH(EXPEDIENTE!$I$25),1),0,1)</f>
        <v>0</v>
      </c>
      <c r="AJ23" s="53" t="e">
        <f>IF(DATE(YEAR(EXPEDIENTE!$I$25)+2,MONTH(DATEVALUE($C23&amp;"1")),1)&lt;=DATE(YEAR(EXPEDIENTE!$I$27),MONTH(EXPEDIENTE!$I$27),1),0,1)</f>
        <v>#VALUE!</v>
      </c>
      <c r="AK23" s="53" t="e">
        <f t="shared" si="29"/>
        <v>#VALUE!</v>
      </c>
      <c r="AM23" s="1014"/>
      <c r="AN23" s="859" t="s">
        <v>273</v>
      </c>
      <c r="AO23" s="860"/>
      <c r="AP23" s="1038"/>
      <c r="AQ23" s="1039"/>
      <c r="AR23" s="198">
        <f t="shared" si="8"/>
        <v>0</v>
      </c>
      <c r="AS23" s="85"/>
      <c r="AT23" s="199">
        <f t="shared" si="30"/>
        <v>0</v>
      </c>
      <c r="AU23" s="200">
        <f t="shared" si="9"/>
        <v>0</v>
      </c>
      <c r="AV23" s="201"/>
      <c r="AW23" s="202">
        <f t="shared" si="31"/>
        <v>0</v>
      </c>
      <c r="AX23" s="200">
        <f t="shared" si="10"/>
        <v>0</v>
      </c>
      <c r="AY23" s="203"/>
      <c r="AZ23" s="204">
        <f t="shared" si="32"/>
        <v>0</v>
      </c>
      <c r="BA23" s="204">
        <f t="shared" si="11"/>
        <v>0</v>
      </c>
      <c r="BB23" s="203"/>
      <c r="BC23" s="204">
        <f t="shared" si="33"/>
        <v>0</v>
      </c>
      <c r="BD23" s="204">
        <f t="shared" si="12"/>
        <v>0</v>
      </c>
      <c r="BE23" s="203"/>
      <c r="BF23" s="204">
        <f t="shared" si="34"/>
        <v>0</v>
      </c>
      <c r="BG23" s="204">
        <f t="shared" si="13"/>
        <v>0</v>
      </c>
      <c r="BH23" s="203"/>
      <c r="BI23" s="204">
        <f t="shared" si="35"/>
        <v>0</v>
      </c>
      <c r="BJ23" s="204">
        <f t="shared" si="14"/>
        <v>0</v>
      </c>
      <c r="BK23" s="203"/>
      <c r="BL23" s="204">
        <f t="shared" si="36"/>
        <v>0</v>
      </c>
      <c r="BM23" s="175">
        <f t="shared" si="37"/>
        <v>0</v>
      </c>
      <c r="BN23" s="205">
        <f t="shared" si="38"/>
        <v>0</v>
      </c>
      <c r="BO23" s="177"/>
      <c r="BP23" s="200">
        <f t="shared" si="15"/>
        <v>0</v>
      </c>
      <c r="BQ23" s="201"/>
      <c r="BR23" s="206">
        <f t="shared" si="39"/>
        <v>0</v>
      </c>
      <c r="BS23" s="204">
        <f t="shared" si="16"/>
        <v>0</v>
      </c>
      <c r="BT23" s="203"/>
      <c r="BU23" s="204">
        <f t="shared" si="40"/>
        <v>0</v>
      </c>
      <c r="BV23" s="204">
        <f t="shared" si="17"/>
        <v>0</v>
      </c>
      <c r="BW23" s="203"/>
      <c r="BX23" s="204">
        <f t="shared" si="41"/>
        <v>0</v>
      </c>
      <c r="BY23" s="204">
        <f t="shared" si="18"/>
        <v>0</v>
      </c>
      <c r="BZ23" s="203"/>
      <c r="CA23" s="204">
        <f t="shared" si="42"/>
        <v>0</v>
      </c>
      <c r="CB23" s="204">
        <f t="shared" si="19"/>
        <v>0</v>
      </c>
      <c r="CC23" s="203"/>
      <c r="CD23" s="204">
        <f t="shared" si="43"/>
        <v>0</v>
      </c>
      <c r="CE23" s="175">
        <f t="shared" si="44"/>
        <v>0</v>
      </c>
      <c r="CF23" s="200">
        <f t="shared" si="20"/>
        <v>0</v>
      </c>
      <c r="CG23" s="203"/>
      <c r="CH23" s="207">
        <f t="shared" si="45"/>
        <v>0</v>
      </c>
      <c r="CI23" s="182"/>
      <c r="CJ23" s="208">
        <f t="shared" si="46"/>
        <v>0</v>
      </c>
      <c r="CK23" s="200">
        <f t="shared" si="21"/>
        <v>0</v>
      </c>
      <c r="CL23" s="201"/>
      <c r="CM23" s="202">
        <f t="shared" si="47"/>
        <v>0</v>
      </c>
      <c r="CN23" s="200">
        <f t="shared" si="22"/>
        <v>0</v>
      </c>
      <c r="CO23" s="203"/>
      <c r="CP23" s="207">
        <f t="shared" si="48"/>
        <v>0</v>
      </c>
      <c r="CQ23" s="208">
        <f t="shared" si="49"/>
        <v>0</v>
      </c>
      <c r="CR23" s="185" t="str">
        <f t="shared" si="23"/>
        <v/>
      </c>
      <c r="CS23" s="186"/>
      <c r="CT23" s="187" t="str">
        <f t="shared" si="50"/>
        <v/>
      </c>
      <c r="CU23" s="188" t="str">
        <f t="shared" si="24"/>
        <v/>
      </c>
      <c r="CV23" s="189"/>
      <c r="CW23" s="190" t="str">
        <f t="shared" si="51"/>
        <v/>
      </c>
      <c r="CX23" s="209" t="str">
        <f t="shared" si="52"/>
        <v/>
      </c>
      <c r="CY23" s="210"/>
      <c r="DA23" s="53">
        <f>IF(AND(CT23&lt;&gt;"",OR(CT23&lt;EXPEDIENTE!$I$25,CT23&gt;EXPEDIENTE!$I$29)),1,0)</f>
        <v>0</v>
      </c>
      <c r="DB23" s="53">
        <f>IF(AND(CW23&lt;&gt;"",OR(CW23&lt;EXPEDIENTE!$I$25,CW23&gt;EXPEDIENTE!$I$29)),1,0)</f>
        <v>0</v>
      </c>
      <c r="DD23" s="55">
        <f t="shared" si="25"/>
        <v>0</v>
      </c>
      <c r="DE23" s="55">
        <f t="shared" si="53"/>
        <v>0</v>
      </c>
      <c r="DF23" s="55">
        <f t="shared" si="54"/>
        <v>0</v>
      </c>
      <c r="DG23" s="55">
        <f t="shared" si="55"/>
        <v>0</v>
      </c>
      <c r="DH23" s="55">
        <f t="shared" si="56"/>
        <v>0</v>
      </c>
      <c r="DI23" s="55">
        <f t="shared" si="57"/>
        <v>0</v>
      </c>
      <c r="DJ23" s="55">
        <f t="shared" si="58"/>
        <v>0</v>
      </c>
      <c r="DK23" s="55">
        <f t="shared" si="59"/>
        <v>0</v>
      </c>
      <c r="DL23" s="55">
        <f t="shared" si="60"/>
        <v>0</v>
      </c>
      <c r="DM23" s="55">
        <f t="shared" si="61"/>
        <v>0</v>
      </c>
      <c r="DN23" s="55">
        <f t="shared" si="62"/>
        <v>0</v>
      </c>
      <c r="DO23" s="55">
        <f t="shared" si="63"/>
        <v>0</v>
      </c>
      <c r="DP23" s="55">
        <f t="shared" si="64"/>
        <v>0</v>
      </c>
      <c r="DQ23" s="55">
        <f t="shared" si="65"/>
        <v>0</v>
      </c>
      <c r="DR23" s="55">
        <f t="shared" si="66"/>
        <v>0</v>
      </c>
      <c r="DS23" s="55">
        <f t="shared" si="67"/>
        <v>0</v>
      </c>
      <c r="DT23" s="55">
        <f t="shared" si="68"/>
        <v>0</v>
      </c>
      <c r="DU23" s="55">
        <f t="shared" si="69"/>
        <v>0</v>
      </c>
      <c r="DW23" s="55">
        <f>IF(CY23&lt;&gt;"",MAX($DW$9:DW22)+1,0)</f>
        <v>0</v>
      </c>
      <c r="DX23" s="130" t="str">
        <f t="shared" si="70"/>
        <v/>
      </c>
    </row>
    <row r="24" spans="2:128" ht="30" customHeight="1" x14ac:dyDescent="0.25">
      <c r="B24" s="972"/>
      <c r="C24" s="981" t="s">
        <v>274</v>
      </c>
      <c r="D24" s="982"/>
      <c r="E24" s="193"/>
      <c r="F24" s="194"/>
      <c r="G24" s="195"/>
      <c r="H24" s="195"/>
      <c r="I24" s="195"/>
      <c r="J24" s="195"/>
      <c r="K24" s="195"/>
      <c r="L24" s="203">
        <f t="shared" si="26"/>
        <v>0</v>
      </c>
      <c r="M24" s="205">
        <f t="shared" si="71"/>
        <v>0</v>
      </c>
      <c r="N24" s="161"/>
      <c r="O24" s="194"/>
      <c r="P24" s="195"/>
      <c r="Q24" s="195"/>
      <c r="R24" s="195"/>
      <c r="S24" s="195"/>
      <c r="T24" s="203">
        <f t="shared" si="27"/>
        <v>0</v>
      </c>
      <c r="U24" s="196"/>
      <c r="V24" s="163"/>
      <c r="W24" s="205">
        <f t="shared" si="72"/>
        <v>0</v>
      </c>
      <c r="X24" s="194"/>
      <c r="Y24" s="195"/>
      <c r="Z24" s="203">
        <f t="shared" si="28"/>
        <v>0</v>
      </c>
      <c r="AA24" s="164"/>
      <c r="AB24" s="165"/>
      <c r="AC24" s="322"/>
      <c r="AD24" s="323"/>
      <c r="AE24" s="197"/>
      <c r="AF24" s="357"/>
      <c r="AG24" s="53">
        <f>IF(AND(AA24&lt;&gt;"",OR(AA24&lt;EXPEDIENTE!$I$25,AA24&gt;EXPEDIENTE!$I$29)),1,0)</f>
        <v>0</v>
      </c>
      <c r="AH24" s="53">
        <f>IF(AND(AB24&lt;&gt;"",OR(AB24&lt;EXPEDIENTE!$I$25,AB24&gt;EXPEDIENTE!$I$29)),1,0)</f>
        <v>0</v>
      </c>
      <c r="AI24" s="53">
        <f>IF(DATE(YEAR(EXPEDIENTE!$I$25)+2,MONTH(DATEVALUE($C24&amp;"1")),1)&gt;=DATE(YEAR(EXPEDIENTE!$I$25),MONTH(EXPEDIENTE!$I$25),1),0,1)</f>
        <v>0</v>
      </c>
      <c r="AJ24" s="53" t="e">
        <f>IF(DATE(YEAR(EXPEDIENTE!$I$25)+2,MONTH(DATEVALUE($C24&amp;"1")),1)&lt;=DATE(YEAR(EXPEDIENTE!$I$27),MONTH(EXPEDIENTE!$I$27),1),0,1)</f>
        <v>#VALUE!</v>
      </c>
      <c r="AK24" s="53" t="e">
        <f t="shared" si="29"/>
        <v>#VALUE!</v>
      </c>
      <c r="AM24" s="1014"/>
      <c r="AN24" s="859" t="s">
        <v>274</v>
      </c>
      <c r="AO24" s="860"/>
      <c r="AP24" s="1038"/>
      <c r="AQ24" s="1039"/>
      <c r="AR24" s="198">
        <f t="shared" si="8"/>
        <v>0</v>
      </c>
      <c r="AS24" s="85"/>
      <c r="AT24" s="199">
        <f t="shared" si="30"/>
        <v>0</v>
      </c>
      <c r="AU24" s="200">
        <f t="shared" si="9"/>
        <v>0</v>
      </c>
      <c r="AV24" s="201"/>
      <c r="AW24" s="202">
        <f t="shared" si="31"/>
        <v>0</v>
      </c>
      <c r="AX24" s="200">
        <f t="shared" si="10"/>
        <v>0</v>
      </c>
      <c r="AY24" s="203"/>
      <c r="AZ24" s="204">
        <f t="shared" si="32"/>
        <v>0</v>
      </c>
      <c r="BA24" s="204">
        <f t="shared" si="11"/>
        <v>0</v>
      </c>
      <c r="BB24" s="203"/>
      <c r="BC24" s="204">
        <f t="shared" si="33"/>
        <v>0</v>
      </c>
      <c r="BD24" s="204">
        <f t="shared" si="12"/>
        <v>0</v>
      </c>
      <c r="BE24" s="203"/>
      <c r="BF24" s="204">
        <f t="shared" si="34"/>
        <v>0</v>
      </c>
      <c r="BG24" s="204">
        <f t="shared" si="13"/>
        <v>0</v>
      </c>
      <c r="BH24" s="203"/>
      <c r="BI24" s="204">
        <f t="shared" si="35"/>
        <v>0</v>
      </c>
      <c r="BJ24" s="204">
        <f t="shared" si="14"/>
        <v>0</v>
      </c>
      <c r="BK24" s="203"/>
      <c r="BL24" s="204">
        <f t="shared" si="36"/>
        <v>0</v>
      </c>
      <c r="BM24" s="175">
        <f t="shared" si="37"/>
        <v>0</v>
      </c>
      <c r="BN24" s="205">
        <f t="shared" si="38"/>
        <v>0</v>
      </c>
      <c r="BO24" s="177"/>
      <c r="BP24" s="200">
        <f t="shared" si="15"/>
        <v>0</v>
      </c>
      <c r="BQ24" s="201"/>
      <c r="BR24" s="206">
        <f t="shared" si="39"/>
        <v>0</v>
      </c>
      <c r="BS24" s="204">
        <f t="shared" si="16"/>
        <v>0</v>
      </c>
      <c r="BT24" s="203"/>
      <c r="BU24" s="204">
        <f t="shared" si="40"/>
        <v>0</v>
      </c>
      <c r="BV24" s="204">
        <f t="shared" si="17"/>
        <v>0</v>
      </c>
      <c r="BW24" s="203"/>
      <c r="BX24" s="204">
        <f t="shared" si="41"/>
        <v>0</v>
      </c>
      <c r="BY24" s="204">
        <f t="shared" si="18"/>
        <v>0</v>
      </c>
      <c r="BZ24" s="203"/>
      <c r="CA24" s="204">
        <f t="shared" si="42"/>
        <v>0</v>
      </c>
      <c r="CB24" s="204">
        <f t="shared" si="19"/>
        <v>0</v>
      </c>
      <c r="CC24" s="203"/>
      <c r="CD24" s="204">
        <f t="shared" si="43"/>
        <v>0</v>
      </c>
      <c r="CE24" s="175">
        <f t="shared" si="44"/>
        <v>0</v>
      </c>
      <c r="CF24" s="200">
        <f t="shared" si="20"/>
        <v>0</v>
      </c>
      <c r="CG24" s="203"/>
      <c r="CH24" s="207">
        <f t="shared" si="45"/>
        <v>0</v>
      </c>
      <c r="CI24" s="182"/>
      <c r="CJ24" s="208">
        <f t="shared" si="46"/>
        <v>0</v>
      </c>
      <c r="CK24" s="200">
        <f t="shared" si="21"/>
        <v>0</v>
      </c>
      <c r="CL24" s="201"/>
      <c r="CM24" s="202">
        <f t="shared" si="47"/>
        <v>0</v>
      </c>
      <c r="CN24" s="200">
        <f t="shared" si="22"/>
        <v>0</v>
      </c>
      <c r="CO24" s="203"/>
      <c r="CP24" s="207">
        <f t="shared" si="48"/>
        <v>0</v>
      </c>
      <c r="CQ24" s="208">
        <f t="shared" si="49"/>
        <v>0</v>
      </c>
      <c r="CR24" s="185" t="str">
        <f t="shared" si="23"/>
        <v/>
      </c>
      <c r="CS24" s="186"/>
      <c r="CT24" s="187" t="str">
        <f t="shared" si="50"/>
        <v/>
      </c>
      <c r="CU24" s="188" t="str">
        <f t="shared" si="24"/>
        <v/>
      </c>
      <c r="CV24" s="189"/>
      <c r="CW24" s="190" t="str">
        <f t="shared" si="51"/>
        <v/>
      </c>
      <c r="CX24" s="209" t="str">
        <f t="shared" si="52"/>
        <v/>
      </c>
      <c r="CY24" s="210"/>
      <c r="DA24" s="53">
        <f>IF(AND(CT24&lt;&gt;"",OR(CT24&lt;EXPEDIENTE!$I$25,CT24&gt;EXPEDIENTE!$I$29)),1,0)</f>
        <v>0</v>
      </c>
      <c r="DB24" s="53">
        <f>IF(AND(CW24&lt;&gt;"",OR(CW24&lt;EXPEDIENTE!$I$25,CW24&gt;EXPEDIENTE!$I$29)),1,0)</f>
        <v>0</v>
      </c>
      <c r="DD24" s="55">
        <f t="shared" si="25"/>
        <v>0</v>
      </c>
      <c r="DE24" s="55">
        <f t="shared" si="53"/>
        <v>0</v>
      </c>
      <c r="DF24" s="55">
        <f t="shared" si="54"/>
        <v>0</v>
      </c>
      <c r="DG24" s="55">
        <f t="shared" si="55"/>
        <v>0</v>
      </c>
      <c r="DH24" s="55">
        <f t="shared" si="56"/>
        <v>0</v>
      </c>
      <c r="DI24" s="55">
        <f t="shared" si="57"/>
        <v>0</v>
      </c>
      <c r="DJ24" s="55">
        <f t="shared" si="58"/>
        <v>0</v>
      </c>
      <c r="DK24" s="55">
        <f t="shared" si="59"/>
        <v>0</v>
      </c>
      <c r="DL24" s="55">
        <f t="shared" si="60"/>
        <v>0</v>
      </c>
      <c r="DM24" s="55">
        <f t="shared" si="61"/>
        <v>0</v>
      </c>
      <c r="DN24" s="55">
        <f t="shared" si="62"/>
        <v>0</v>
      </c>
      <c r="DO24" s="55">
        <f t="shared" si="63"/>
        <v>0</v>
      </c>
      <c r="DP24" s="55">
        <f t="shared" si="64"/>
        <v>0</v>
      </c>
      <c r="DQ24" s="55">
        <f t="shared" si="65"/>
        <v>0</v>
      </c>
      <c r="DR24" s="55">
        <f t="shared" si="66"/>
        <v>0</v>
      </c>
      <c r="DS24" s="55">
        <f t="shared" si="67"/>
        <v>0</v>
      </c>
      <c r="DT24" s="55">
        <f t="shared" si="68"/>
        <v>0</v>
      </c>
      <c r="DU24" s="55">
        <f t="shared" si="69"/>
        <v>0</v>
      </c>
      <c r="DW24" s="55">
        <f>IF(CY24&lt;&gt;"",MAX($DW$9:DW23)+1,0)</f>
        <v>0</v>
      </c>
      <c r="DX24" s="130" t="str">
        <f t="shared" si="70"/>
        <v/>
      </c>
    </row>
    <row r="25" spans="2:128" ht="30" customHeight="1" x14ac:dyDescent="0.25">
      <c r="B25" s="972"/>
      <c r="C25" s="981" t="s">
        <v>275</v>
      </c>
      <c r="D25" s="982"/>
      <c r="E25" s="193"/>
      <c r="F25" s="194"/>
      <c r="G25" s="195"/>
      <c r="H25" s="195"/>
      <c r="I25" s="195"/>
      <c r="J25" s="195"/>
      <c r="K25" s="195"/>
      <c r="L25" s="203">
        <f t="shared" si="26"/>
        <v>0</v>
      </c>
      <c r="M25" s="205">
        <f t="shared" si="71"/>
        <v>0</v>
      </c>
      <c r="N25" s="161"/>
      <c r="O25" s="194"/>
      <c r="P25" s="195"/>
      <c r="Q25" s="195"/>
      <c r="R25" s="195"/>
      <c r="S25" s="195"/>
      <c r="T25" s="203">
        <f t="shared" si="27"/>
        <v>0</v>
      </c>
      <c r="U25" s="196"/>
      <c r="V25" s="163"/>
      <c r="W25" s="205">
        <f t="shared" si="72"/>
        <v>0</v>
      </c>
      <c r="X25" s="194"/>
      <c r="Y25" s="195"/>
      <c r="Z25" s="203">
        <f t="shared" si="28"/>
        <v>0</v>
      </c>
      <c r="AA25" s="164"/>
      <c r="AB25" s="165"/>
      <c r="AC25" s="322"/>
      <c r="AD25" s="323"/>
      <c r="AE25" s="197"/>
      <c r="AF25" s="357"/>
      <c r="AG25" s="53">
        <f>IF(AND(AA25&lt;&gt;"",OR(AA25&lt;EXPEDIENTE!$I$25,AA25&gt;EXPEDIENTE!$I$29)),1,0)</f>
        <v>0</v>
      </c>
      <c r="AH25" s="53">
        <f>IF(AND(AB25&lt;&gt;"",OR(AB25&lt;EXPEDIENTE!$I$25,AB25&gt;EXPEDIENTE!$I$29)),1,0)</f>
        <v>0</v>
      </c>
      <c r="AI25" s="53">
        <f>IF(DATE(YEAR(EXPEDIENTE!$I$25)+2,MONTH(DATEVALUE($C25&amp;"1")),1)&gt;=DATE(YEAR(EXPEDIENTE!$I$25),MONTH(EXPEDIENTE!$I$25),1),0,1)</f>
        <v>0</v>
      </c>
      <c r="AJ25" s="53" t="e">
        <f>IF(DATE(YEAR(EXPEDIENTE!$I$25)+2,MONTH(DATEVALUE($C25&amp;"1")),1)&lt;=DATE(YEAR(EXPEDIENTE!$I$27),MONTH(EXPEDIENTE!$I$27),1),0,1)</f>
        <v>#VALUE!</v>
      </c>
      <c r="AK25" s="53" t="e">
        <f t="shared" si="29"/>
        <v>#VALUE!</v>
      </c>
      <c r="AM25" s="1014"/>
      <c r="AN25" s="859" t="s">
        <v>275</v>
      </c>
      <c r="AO25" s="860"/>
      <c r="AP25" s="1038"/>
      <c r="AQ25" s="1039"/>
      <c r="AR25" s="198">
        <f t="shared" si="8"/>
        <v>0</v>
      </c>
      <c r="AS25" s="85"/>
      <c r="AT25" s="199">
        <f t="shared" si="30"/>
        <v>0</v>
      </c>
      <c r="AU25" s="200">
        <f t="shared" si="9"/>
        <v>0</v>
      </c>
      <c r="AV25" s="201"/>
      <c r="AW25" s="202">
        <f t="shared" si="31"/>
        <v>0</v>
      </c>
      <c r="AX25" s="200">
        <f t="shared" si="10"/>
        <v>0</v>
      </c>
      <c r="AY25" s="203"/>
      <c r="AZ25" s="204">
        <f t="shared" si="32"/>
        <v>0</v>
      </c>
      <c r="BA25" s="204">
        <f t="shared" si="11"/>
        <v>0</v>
      </c>
      <c r="BB25" s="203"/>
      <c r="BC25" s="204">
        <f t="shared" si="33"/>
        <v>0</v>
      </c>
      <c r="BD25" s="204">
        <f t="shared" si="12"/>
        <v>0</v>
      </c>
      <c r="BE25" s="203"/>
      <c r="BF25" s="204">
        <f t="shared" si="34"/>
        <v>0</v>
      </c>
      <c r="BG25" s="204">
        <f t="shared" si="13"/>
        <v>0</v>
      </c>
      <c r="BH25" s="203"/>
      <c r="BI25" s="204">
        <f t="shared" si="35"/>
        <v>0</v>
      </c>
      <c r="BJ25" s="204">
        <f t="shared" si="14"/>
        <v>0</v>
      </c>
      <c r="BK25" s="203"/>
      <c r="BL25" s="204">
        <f t="shared" si="36"/>
        <v>0</v>
      </c>
      <c r="BM25" s="175">
        <f t="shared" si="37"/>
        <v>0</v>
      </c>
      <c r="BN25" s="205">
        <f t="shared" si="38"/>
        <v>0</v>
      </c>
      <c r="BO25" s="177"/>
      <c r="BP25" s="200">
        <f t="shared" si="15"/>
        <v>0</v>
      </c>
      <c r="BQ25" s="201"/>
      <c r="BR25" s="206">
        <f t="shared" si="39"/>
        <v>0</v>
      </c>
      <c r="BS25" s="204">
        <f t="shared" si="16"/>
        <v>0</v>
      </c>
      <c r="BT25" s="203"/>
      <c r="BU25" s="204">
        <f t="shared" si="40"/>
        <v>0</v>
      </c>
      <c r="BV25" s="204">
        <f t="shared" si="17"/>
        <v>0</v>
      </c>
      <c r="BW25" s="203"/>
      <c r="BX25" s="204">
        <f t="shared" si="41"/>
        <v>0</v>
      </c>
      <c r="BY25" s="204">
        <f t="shared" si="18"/>
        <v>0</v>
      </c>
      <c r="BZ25" s="203"/>
      <c r="CA25" s="204">
        <f t="shared" si="42"/>
        <v>0</v>
      </c>
      <c r="CB25" s="204">
        <f t="shared" si="19"/>
        <v>0</v>
      </c>
      <c r="CC25" s="203"/>
      <c r="CD25" s="204">
        <f t="shared" si="43"/>
        <v>0</v>
      </c>
      <c r="CE25" s="175">
        <f t="shared" si="44"/>
        <v>0</v>
      </c>
      <c r="CF25" s="200">
        <f t="shared" si="20"/>
        <v>0</v>
      </c>
      <c r="CG25" s="203"/>
      <c r="CH25" s="207">
        <f t="shared" si="45"/>
        <v>0</v>
      </c>
      <c r="CI25" s="182"/>
      <c r="CJ25" s="208">
        <f t="shared" si="46"/>
        <v>0</v>
      </c>
      <c r="CK25" s="200">
        <f t="shared" si="21"/>
        <v>0</v>
      </c>
      <c r="CL25" s="201"/>
      <c r="CM25" s="202">
        <f t="shared" si="47"/>
        <v>0</v>
      </c>
      <c r="CN25" s="200">
        <f t="shared" si="22"/>
        <v>0</v>
      </c>
      <c r="CO25" s="203"/>
      <c r="CP25" s="207">
        <f t="shared" si="48"/>
        <v>0</v>
      </c>
      <c r="CQ25" s="208">
        <f t="shared" si="49"/>
        <v>0</v>
      </c>
      <c r="CR25" s="185" t="str">
        <f t="shared" si="23"/>
        <v/>
      </c>
      <c r="CS25" s="186"/>
      <c r="CT25" s="187" t="str">
        <f t="shared" si="50"/>
        <v/>
      </c>
      <c r="CU25" s="188" t="str">
        <f t="shared" si="24"/>
        <v/>
      </c>
      <c r="CV25" s="189"/>
      <c r="CW25" s="190" t="str">
        <f t="shared" si="51"/>
        <v/>
      </c>
      <c r="CX25" s="209" t="str">
        <f t="shared" si="52"/>
        <v/>
      </c>
      <c r="CY25" s="210"/>
      <c r="DA25" s="53">
        <f>IF(AND(CT25&lt;&gt;"",OR(CT25&lt;EXPEDIENTE!$I$25,CT25&gt;EXPEDIENTE!$I$29)),1,0)</f>
        <v>0</v>
      </c>
      <c r="DB25" s="53">
        <f>IF(AND(CW25&lt;&gt;"",OR(CW25&lt;EXPEDIENTE!$I$25,CW25&gt;EXPEDIENTE!$I$29)),1,0)</f>
        <v>0</v>
      </c>
      <c r="DD25" s="55">
        <f t="shared" si="25"/>
        <v>0</v>
      </c>
      <c r="DE25" s="55">
        <f t="shared" si="53"/>
        <v>0</v>
      </c>
      <c r="DF25" s="55">
        <f t="shared" si="54"/>
        <v>0</v>
      </c>
      <c r="DG25" s="55">
        <f t="shared" si="55"/>
        <v>0</v>
      </c>
      <c r="DH25" s="55">
        <f t="shared" si="56"/>
        <v>0</v>
      </c>
      <c r="DI25" s="55">
        <f t="shared" si="57"/>
        <v>0</v>
      </c>
      <c r="DJ25" s="55">
        <f t="shared" si="58"/>
        <v>0</v>
      </c>
      <c r="DK25" s="55">
        <f t="shared" si="59"/>
        <v>0</v>
      </c>
      <c r="DL25" s="55">
        <f t="shared" si="60"/>
        <v>0</v>
      </c>
      <c r="DM25" s="55">
        <f t="shared" si="61"/>
        <v>0</v>
      </c>
      <c r="DN25" s="55">
        <f t="shared" si="62"/>
        <v>0</v>
      </c>
      <c r="DO25" s="55">
        <f t="shared" si="63"/>
        <v>0</v>
      </c>
      <c r="DP25" s="55">
        <f t="shared" si="64"/>
        <v>0</v>
      </c>
      <c r="DQ25" s="55">
        <f t="shared" si="65"/>
        <v>0</v>
      </c>
      <c r="DR25" s="55">
        <f t="shared" si="66"/>
        <v>0</v>
      </c>
      <c r="DS25" s="55">
        <f t="shared" si="67"/>
        <v>0</v>
      </c>
      <c r="DT25" s="55">
        <f t="shared" si="68"/>
        <v>0</v>
      </c>
      <c r="DU25" s="55">
        <f t="shared" si="69"/>
        <v>0</v>
      </c>
      <c r="DW25" s="55">
        <f>IF(CY25&lt;&gt;"",MAX($DW$9:DW24)+1,0)</f>
        <v>0</v>
      </c>
      <c r="DX25" s="130" t="str">
        <f t="shared" si="70"/>
        <v/>
      </c>
    </row>
    <row r="26" spans="2:128" ht="30" customHeight="1" x14ac:dyDescent="0.25">
      <c r="B26" s="972"/>
      <c r="C26" s="981" t="s">
        <v>276</v>
      </c>
      <c r="D26" s="982"/>
      <c r="E26" s="193"/>
      <c r="F26" s="194"/>
      <c r="G26" s="195"/>
      <c r="H26" s="195"/>
      <c r="I26" s="195"/>
      <c r="J26" s="195"/>
      <c r="K26" s="195"/>
      <c r="L26" s="203">
        <f t="shared" si="26"/>
        <v>0</v>
      </c>
      <c r="M26" s="205">
        <f t="shared" si="71"/>
        <v>0</v>
      </c>
      <c r="N26" s="161"/>
      <c r="O26" s="194"/>
      <c r="P26" s="195"/>
      <c r="Q26" s="195"/>
      <c r="R26" s="195"/>
      <c r="S26" s="195"/>
      <c r="T26" s="203">
        <f t="shared" si="27"/>
        <v>0</v>
      </c>
      <c r="U26" s="196"/>
      <c r="V26" s="163"/>
      <c r="W26" s="205">
        <f t="shared" si="72"/>
        <v>0</v>
      </c>
      <c r="X26" s="194"/>
      <c r="Y26" s="195"/>
      <c r="Z26" s="203">
        <f t="shared" si="28"/>
        <v>0</v>
      </c>
      <c r="AA26" s="164"/>
      <c r="AB26" s="165"/>
      <c r="AC26" s="322"/>
      <c r="AD26" s="323"/>
      <c r="AE26" s="197"/>
      <c r="AF26" s="357"/>
      <c r="AG26" s="53">
        <f>IF(AND(AA26&lt;&gt;"",OR(AA26&lt;EXPEDIENTE!$I$25,AA26&gt;EXPEDIENTE!$I$29)),1,0)</f>
        <v>0</v>
      </c>
      <c r="AH26" s="53">
        <f>IF(AND(AB26&lt;&gt;"",OR(AB26&lt;EXPEDIENTE!$I$25,AB26&gt;EXPEDIENTE!$I$29)),1,0)</f>
        <v>0</v>
      </c>
      <c r="AI26" s="53">
        <f>IF(DATE(YEAR(EXPEDIENTE!$I$25)+2,MONTH(DATEVALUE($C26&amp;"1")),1)&gt;=DATE(YEAR(EXPEDIENTE!$I$25),MONTH(EXPEDIENTE!$I$25),1),0,1)</f>
        <v>0</v>
      </c>
      <c r="AJ26" s="53" t="e">
        <f>IF(DATE(YEAR(EXPEDIENTE!$I$25)+2,MONTH(DATEVALUE($C26&amp;"1")),1)&lt;=DATE(YEAR(EXPEDIENTE!$I$27),MONTH(EXPEDIENTE!$I$27),1),0,1)</f>
        <v>#VALUE!</v>
      </c>
      <c r="AK26" s="53" t="e">
        <f t="shared" si="29"/>
        <v>#VALUE!</v>
      </c>
      <c r="AM26" s="1014"/>
      <c r="AN26" s="859" t="s">
        <v>276</v>
      </c>
      <c r="AO26" s="860"/>
      <c r="AP26" s="1038"/>
      <c r="AQ26" s="1039"/>
      <c r="AR26" s="198">
        <f t="shared" si="8"/>
        <v>0</v>
      </c>
      <c r="AS26" s="85"/>
      <c r="AT26" s="199">
        <f t="shared" si="30"/>
        <v>0</v>
      </c>
      <c r="AU26" s="200">
        <f t="shared" si="9"/>
        <v>0</v>
      </c>
      <c r="AV26" s="201"/>
      <c r="AW26" s="202">
        <f t="shared" si="31"/>
        <v>0</v>
      </c>
      <c r="AX26" s="200">
        <f t="shared" si="10"/>
        <v>0</v>
      </c>
      <c r="AY26" s="203"/>
      <c r="AZ26" s="204">
        <f t="shared" si="32"/>
        <v>0</v>
      </c>
      <c r="BA26" s="204">
        <f t="shared" si="11"/>
        <v>0</v>
      </c>
      <c r="BB26" s="203"/>
      <c r="BC26" s="204">
        <f t="shared" si="33"/>
        <v>0</v>
      </c>
      <c r="BD26" s="204">
        <f t="shared" si="12"/>
        <v>0</v>
      </c>
      <c r="BE26" s="203"/>
      <c r="BF26" s="204">
        <f t="shared" si="34"/>
        <v>0</v>
      </c>
      <c r="BG26" s="204">
        <f t="shared" si="13"/>
        <v>0</v>
      </c>
      <c r="BH26" s="203"/>
      <c r="BI26" s="204">
        <f t="shared" si="35"/>
        <v>0</v>
      </c>
      <c r="BJ26" s="204">
        <f t="shared" si="14"/>
        <v>0</v>
      </c>
      <c r="BK26" s="203"/>
      <c r="BL26" s="204">
        <f t="shared" si="36"/>
        <v>0</v>
      </c>
      <c r="BM26" s="175">
        <f t="shared" si="37"/>
        <v>0</v>
      </c>
      <c r="BN26" s="205">
        <f t="shared" si="38"/>
        <v>0</v>
      </c>
      <c r="BO26" s="177"/>
      <c r="BP26" s="200">
        <f t="shared" si="15"/>
        <v>0</v>
      </c>
      <c r="BQ26" s="201"/>
      <c r="BR26" s="206">
        <f t="shared" si="39"/>
        <v>0</v>
      </c>
      <c r="BS26" s="204">
        <f t="shared" si="16"/>
        <v>0</v>
      </c>
      <c r="BT26" s="203"/>
      <c r="BU26" s="204">
        <f t="shared" si="40"/>
        <v>0</v>
      </c>
      <c r="BV26" s="204">
        <f t="shared" si="17"/>
        <v>0</v>
      </c>
      <c r="BW26" s="203"/>
      <c r="BX26" s="204">
        <f t="shared" si="41"/>
        <v>0</v>
      </c>
      <c r="BY26" s="204">
        <f t="shared" si="18"/>
        <v>0</v>
      </c>
      <c r="BZ26" s="203"/>
      <c r="CA26" s="204">
        <f t="shared" si="42"/>
        <v>0</v>
      </c>
      <c r="CB26" s="204">
        <f t="shared" si="19"/>
        <v>0</v>
      </c>
      <c r="CC26" s="203"/>
      <c r="CD26" s="204">
        <f t="shared" si="43"/>
        <v>0</v>
      </c>
      <c r="CE26" s="175">
        <f t="shared" si="44"/>
        <v>0</v>
      </c>
      <c r="CF26" s="200">
        <f t="shared" si="20"/>
        <v>0</v>
      </c>
      <c r="CG26" s="203"/>
      <c r="CH26" s="207">
        <f t="shared" si="45"/>
        <v>0</v>
      </c>
      <c r="CI26" s="182"/>
      <c r="CJ26" s="208">
        <f t="shared" si="46"/>
        <v>0</v>
      </c>
      <c r="CK26" s="200">
        <f t="shared" si="21"/>
        <v>0</v>
      </c>
      <c r="CL26" s="201"/>
      <c r="CM26" s="202">
        <f t="shared" si="47"/>
        <v>0</v>
      </c>
      <c r="CN26" s="200">
        <f t="shared" si="22"/>
        <v>0</v>
      </c>
      <c r="CO26" s="203"/>
      <c r="CP26" s="207">
        <f t="shared" si="48"/>
        <v>0</v>
      </c>
      <c r="CQ26" s="208">
        <f t="shared" si="49"/>
        <v>0</v>
      </c>
      <c r="CR26" s="185" t="str">
        <f t="shared" si="23"/>
        <v/>
      </c>
      <c r="CS26" s="186"/>
      <c r="CT26" s="187" t="str">
        <f t="shared" si="50"/>
        <v/>
      </c>
      <c r="CU26" s="188" t="str">
        <f t="shared" si="24"/>
        <v/>
      </c>
      <c r="CV26" s="189"/>
      <c r="CW26" s="190" t="str">
        <f t="shared" si="51"/>
        <v/>
      </c>
      <c r="CX26" s="209" t="str">
        <f t="shared" si="52"/>
        <v/>
      </c>
      <c r="CY26" s="210"/>
      <c r="DA26" s="53">
        <f>IF(AND(CT26&lt;&gt;"",OR(CT26&lt;EXPEDIENTE!$I$25,CT26&gt;EXPEDIENTE!$I$29)),1,0)</f>
        <v>0</v>
      </c>
      <c r="DB26" s="53">
        <f>IF(AND(CW26&lt;&gt;"",OR(CW26&lt;EXPEDIENTE!$I$25,CW26&gt;EXPEDIENTE!$I$29)),1,0)</f>
        <v>0</v>
      </c>
      <c r="DD26" s="55">
        <f t="shared" si="25"/>
        <v>0</v>
      </c>
      <c r="DE26" s="55">
        <f t="shared" si="53"/>
        <v>0</v>
      </c>
      <c r="DF26" s="55">
        <f t="shared" si="54"/>
        <v>0</v>
      </c>
      <c r="DG26" s="55">
        <f t="shared" si="55"/>
        <v>0</v>
      </c>
      <c r="DH26" s="55">
        <f t="shared" si="56"/>
        <v>0</v>
      </c>
      <c r="DI26" s="55">
        <f t="shared" si="57"/>
        <v>0</v>
      </c>
      <c r="DJ26" s="55">
        <f t="shared" si="58"/>
        <v>0</v>
      </c>
      <c r="DK26" s="55">
        <f t="shared" si="59"/>
        <v>0</v>
      </c>
      <c r="DL26" s="55">
        <f t="shared" si="60"/>
        <v>0</v>
      </c>
      <c r="DM26" s="55">
        <f t="shared" si="61"/>
        <v>0</v>
      </c>
      <c r="DN26" s="55">
        <f t="shared" si="62"/>
        <v>0</v>
      </c>
      <c r="DO26" s="55">
        <f t="shared" si="63"/>
        <v>0</v>
      </c>
      <c r="DP26" s="55">
        <f t="shared" si="64"/>
        <v>0</v>
      </c>
      <c r="DQ26" s="55">
        <f t="shared" si="65"/>
        <v>0</v>
      </c>
      <c r="DR26" s="55">
        <f t="shared" si="66"/>
        <v>0</v>
      </c>
      <c r="DS26" s="55">
        <f t="shared" si="67"/>
        <v>0</v>
      </c>
      <c r="DT26" s="55">
        <f t="shared" si="68"/>
        <v>0</v>
      </c>
      <c r="DU26" s="55">
        <f t="shared" si="69"/>
        <v>0</v>
      </c>
      <c r="DW26" s="55">
        <f>IF(CY26&lt;&gt;"",MAX($DW$9:DW25)+1,0)</f>
        <v>0</v>
      </c>
      <c r="DX26" s="130" t="str">
        <f t="shared" si="70"/>
        <v/>
      </c>
    </row>
    <row r="27" spans="2:128" ht="30" customHeight="1" x14ac:dyDescent="0.25">
      <c r="B27" s="972"/>
      <c r="C27" s="981" t="s">
        <v>277</v>
      </c>
      <c r="D27" s="982"/>
      <c r="E27" s="193"/>
      <c r="F27" s="194"/>
      <c r="G27" s="195"/>
      <c r="H27" s="195"/>
      <c r="I27" s="195"/>
      <c r="J27" s="195"/>
      <c r="K27" s="195"/>
      <c r="L27" s="203">
        <f t="shared" si="26"/>
        <v>0</v>
      </c>
      <c r="M27" s="205">
        <f t="shared" si="71"/>
        <v>0</v>
      </c>
      <c r="N27" s="161"/>
      <c r="O27" s="194"/>
      <c r="P27" s="195"/>
      <c r="Q27" s="195"/>
      <c r="R27" s="195"/>
      <c r="S27" s="195"/>
      <c r="T27" s="203">
        <f t="shared" si="27"/>
        <v>0</v>
      </c>
      <c r="U27" s="196"/>
      <c r="V27" s="163"/>
      <c r="W27" s="205">
        <f t="shared" si="72"/>
        <v>0</v>
      </c>
      <c r="X27" s="194"/>
      <c r="Y27" s="195"/>
      <c r="Z27" s="203">
        <f t="shared" si="28"/>
        <v>0</v>
      </c>
      <c r="AA27" s="164"/>
      <c r="AB27" s="165"/>
      <c r="AC27" s="322"/>
      <c r="AD27" s="323"/>
      <c r="AE27" s="197"/>
      <c r="AF27" s="357"/>
      <c r="AG27" s="53">
        <f>IF(AND(AA27&lt;&gt;"",OR(AA27&lt;EXPEDIENTE!$I$25,AA27&gt;EXPEDIENTE!$I$29)),1,0)</f>
        <v>0</v>
      </c>
      <c r="AH27" s="53">
        <f>IF(AND(AB27&lt;&gt;"",OR(AB27&lt;EXPEDIENTE!$I$25,AB27&gt;EXPEDIENTE!$I$29)),1,0)</f>
        <v>0</v>
      </c>
      <c r="AI27" s="53">
        <f>IF(DATE(YEAR(EXPEDIENTE!$I$25)+2,MONTH(DATEVALUE($C27&amp;"1")),1)&gt;=DATE(YEAR(EXPEDIENTE!$I$25),MONTH(EXPEDIENTE!$I$25),1),0,1)</f>
        <v>0</v>
      </c>
      <c r="AJ27" s="53" t="e">
        <f>IF(DATE(YEAR(EXPEDIENTE!$I$25)+2,MONTH(DATEVALUE($C27&amp;"1")),1)&lt;=DATE(YEAR(EXPEDIENTE!$I$27),MONTH(EXPEDIENTE!$I$27),1),0,1)</f>
        <v>#VALUE!</v>
      </c>
      <c r="AK27" s="53" t="e">
        <f t="shared" si="29"/>
        <v>#VALUE!</v>
      </c>
      <c r="AM27" s="1014"/>
      <c r="AN27" s="859" t="s">
        <v>277</v>
      </c>
      <c r="AO27" s="860"/>
      <c r="AP27" s="1038"/>
      <c r="AQ27" s="1039"/>
      <c r="AR27" s="198">
        <f t="shared" si="8"/>
        <v>0</v>
      </c>
      <c r="AS27" s="85"/>
      <c r="AT27" s="199">
        <f t="shared" si="30"/>
        <v>0</v>
      </c>
      <c r="AU27" s="200">
        <f t="shared" si="9"/>
        <v>0</v>
      </c>
      <c r="AV27" s="201"/>
      <c r="AW27" s="202">
        <f t="shared" si="31"/>
        <v>0</v>
      </c>
      <c r="AX27" s="200">
        <f t="shared" si="10"/>
        <v>0</v>
      </c>
      <c r="AY27" s="203"/>
      <c r="AZ27" s="204">
        <f t="shared" si="32"/>
        <v>0</v>
      </c>
      <c r="BA27" s="204">
        <f t="shared" si="11"/>
        <v>0</v>
      </c>
      <c r="BB27" s="203"/>
      <c r="BC27" s="204">
        <f t="shared" si="33"/>
        <v>0</v>
      </c>
      <c r="BD27" s="204">
        <f t="shared" si="12"/>
        <v>0</v>
      </c>
      <c r="BE27" s="203"/>
      <c r="BF27" s="204">
        <f t="shared" si="34"/>
        <v>0</v>
      </c>
      <c r="BG27" s="204">
        <f t="shared" si="13"/>
        <v>0</v>
      </c>
      <c r="BH27" s="203"/>
      <c r="BI27" s="204">
        <f t="shared" si="35"/>
        <v>0</v>
      </c>
      <c r="BJ27" s="204">
        <f t="shared" si="14"/>
        <v>0</v>
      </c>
      <c r="BK27" s="203"/>
      <c r="BL27" s="204">
        <f t="shared" si="36"/>
        <v>0</v>
      </c>
      <c r="BM27" s="175">
        <f t="shared" si="37"/>
        <v>0</v>
      </c>
      <c r="BN27" s="205">
        <f t="shared" si="38"/>
        <v>0</v>
      </c>
      <c r="BO27" s="177"/>
      <c r="BP27" s="200">
        <f t="shared" si="15"/>
        <v>0</v>
      </c>
      <c r="BQ27" s="201"/>
      <c r="BR27" s="206">
        <f t="shared" si="39"/>
        <v>0</v>
      </c>
      <c r="BS27" s="204">
        <f t="shared" si="16"/>
        <v>0</v>
      </c>
      <c r="BT27" s="203"/>
      <c r="BU27" s="204">
        <f t="shared" si="40"/>
        <v>0</v>
      </c>
      <c r="BV27" s="204">
        <f t="shared" si="17"/>
        <v>0</v>
      </c>
      <c r="BW27" s="203"/>
      <c r="BX27" s="204">
        <f t="shared" si="41"/>
        <v>0</v>
      </c>
      <c r="BY27" s="204">
        <f t="shared" si="18"/>
        <v>0</v>
      </c>
      <c r="BZ27" s="203"/>
      <c r="CA27" s="204">
        <f t="shared" si="42"/>
        <v>0</v>
      </c>
      <c r="CB27" s="204">
        <f t="shared" si="19"/>
        <v>0</v>
      </c>
      <c r="CC27" s="203"/>
      <c r="CD27" s="204">
        <f t="shared" si="43"/>
        <v>0</v>
      </c>
      <c r="CE27" s="175">
        <f t="shared" si="44"/>
        <v>0</v>
      </c>
      <c r="CF27" s="200">
        <f t="shared" si="20"/>
        <v>0</v>
      </c>
      <c r="CG27" s="203"/>
      <c r="CH27" s="207">
        <f t="shared" si="45"/>
        <v>0</v>
      </c>
      <c r="CI27" s="182"/>
      <c r="CJ27" s="208">
        <f t="shared" si="46"/>
        <v>0</v>
      </c>
      <c r="CK27" s="200">
        <f t="shared" si="21"/>
        <v>0</v>
      </c>
      <c r="CL27" s="201"/>
      <c r="CM27" s="202">
        <f t="shared" si="47"/>
        <v>0</v>
      </c>
      <c r="CN27" s="200">
        <f t="shared" si="22"/>
        <v>0</v>
      </c>
      <c r="CO27" s="203"/>
      <c r="CP27" s="207">
        <f t="shared" si="48"/>
        <v>0</v>
      </c>
      <c r="CQ27" s="208">
        <f t="shared" si="49"/>
        <v>0</v>
      </c>
      <c r="CR27" s="185" t="str">
        <f t="shared" si="23"/>
        <v/>
      </c>
      <c r="CS27" s="186"/>
      <c r="CT27" s="187" t="str">
        <f t="shared" si="50"/>
        <v/>
      </c>
      <c r="CU27" s="188" t="str">
        <f t="shared" si="24"/>
        <v/>
      </c>
      <c r="CV27" s="189"/>
      <c r="CW27" s="190" t="str">
        <f t="shared" si="51"/>
        <v/>
      </c>
      <c r="CX27" s="209" t="str">
        <f t="shared" si="52"/>
        <v/>
      </c>
      <c r="CY27" s="210"/>
      <c r="DA27" s="53">
        <f>IF(AND(CT27&lt;&gt;"",OR(CT27&lt;EXPEDIENTE!$I$25,CT27&gt;EXPEDIENTE!$I$29)),1,0)</f>
        <v>0</v>
      </c>
      <c r="DB27" s="53">
        <f>IF(AND(CW27&lt;&gt;"",OR(CW27&lt;EXPEDIENTE!$I$25,CW27&gt;EXPEDIENTE!$I$29)),1,0)</f>
        <v>0</v>
      </c>
      <c r="DD27" s="55">
        <f t="shared" si="25"/>
        <v>0</v>
      </c>
      <c r="DE27" s="55">
        <f t="shared" si="53"/>
        <v>0</v>
      </c>
      <c r="DF27" s="55">
        <f t="shared" si="54"/>
        <v>0</v>
      </c>
      <c r="DG27" s="55">
        <f t="shared" si="55"/>
        <v>0</v>
      </c>
      <c r="DH27" s="55">
        <f t="shared" si="56"/>
        <v>0</v>
      </c>
      <c r="DI27" s="55">
        <f t="shared" si="57"/>
        <v>0</v>
      </c>
      <c r="DJ27" s="55">
        <f t="shared" si="58"/>
        <v>0</v>
      </c>
      <c r="DK27" s="55">
        <f t="shared" si="59"/>
        <v>0</v>
      </c>
      <c r="DL27" s="55">
        <f t="shared" si="60"/>
        <v>0</v>
      </c>
      <c r="DM27" s="55">
        <f t="shared" si="61"/>
        <v>0</v>
      </c>
      <c r="DN27" s="55">
        <f t="shared" si="62"/>
        <v>0</v>
      </c>
      <c r="DO27" s="55">
        <f t="shared" si="63"/>
        <v>0</v>
      </c>
      <c r="DP27" s="55">
        <f t="shared" si="64"/>
        <v>0</v>
      </c>
      <c r="DQ27" s="55">
        <f t="shared" si="65"/>
        <v>0</v>
      </c>
      <c r="DR27" s="55">
        <f t="shared" si="66"/>
        <v>0</v>
      </c>
      <c r="DS27" s="55">
        <f t="shared" si="67"/>
        <v>0</v>
      </c>
      <c r="DT27" s="55">
        <f t="shared" si="68"/>
        <v>0</v>
      </c>
      <c r="DU27" s="55">
        <f t="shared" si="69"/>
        <v>0</v>
      </c>
      <c r="DW27" s="55">
        <f>IF(CY27&lt;&gt;"",MAX($DW$9:DW26)+1,0)</f>
        <v>0</v>
      </c>
      <c r="DX27" s="130" t="str">
        <f t="shared" si="70"/>
        <v/>
      </c>
    </row>
    <row r="28" spans="2:128" ht="30" customHeight="1" x14ac:dyDescent="0.25">
      <c r="B28" s="972"/>
      <c r="C28" s="981" t="s">
        <v>278</v>
      </c>
      <c r="D28" s="982"/>
      <c r="E28" s="193"/>
      <c r="F28" s="194"/>
      <c r="G28" s="195"/>
      <c r="H28" s="195"/>
      <c r="I28" s="195"/>
      <c r="J28" s="195"/>
      <c r="K28" s="195"/>
      <c r="L28" s="203">
        <f t="shared" si="26"/>
        <v>0</v>
      </c>
      <c r="M28" s="205">
        <f t="shared" si="71"/>
        <v>0</v>
      </c>
      <c r="N28" s="161"/>
      <c r="O28" s="194"/>
      <c r="P28" s="195"/>
      <c r="Q28" s="195"/>
      <c r="R28" s="195"/>
      <c r="S28" s="195"/>
      <c r="T28" s="203">
        <f t="shared" si="27"/>
        <v>0</v>
      </c>
      <c r="U28" s="196"/>
      <c r="V28" s="163"/>
      <c r="W28" s="205">
        <f t="shared" si="72"/>
        <v>0</v>
      </c>
      <c r="X28" s="194"/>
      <c r="Y28" s="195"/>
      <c r="Z28" s="203">
        <f t="shared" si="28"/>
        <v>0</v>
      </c>
      <c r="AA28" s="164"/>
      <c r="AB28" s="165"/>
      <c r="AC28" s="322"/>
      <c r="AD28" s="323"/>
      <c r="AE28" s="197"/>
      <c r="AF28" s="357"/>
      <c r="AG28" s="53">
        <f>IF(AND(AA28&lt;&gt;"",OR(AA28&lt;EXPEDIENTE!$I$25,AA28&gt;EXPEDIENTE!$I$29)),1,0)</f>
        <v>0</v>
      </c>
      <c r="AH28" s="53">
        <f>IF(AND(AB28&lt;&gt;"",OR(AB28&lt;EXPEDIENTE!$I$25,AB28&gt;EXPEDIENTE!$I$29)),1,0)</f>
        <v>0</v>
      </c>
      <c r="AI28" s="53">
        <f>IF(DATE(YEAR(EXPEDIENTE!$I$25)+2,MONTH(DATEVALUE($C28&amp;"1")),1)&gt;=DATE(YEAR(EXPEDIENTE!$I$25),MONTH(EXPEDIENTE!$I$25),1),0,1)</f>
        <v>0</v>
      </c>
      <c r="AJ28" s="53" t="e">
        <f>IF(DATE(YEAR(EXPEDIENTE!$I$25)+2,MONTH(DATEVALUE($C28&amp;"1")),1)&lt;=DATE(YEAR(EXPEDIENTE!$I$27),MONTH(EXPEDIENTE!$I$27),1),0,1)</f>
        <v>#VALUE!</v>
      </c>
      <c r="AK28" s="53" t="e">
        <f t="shared" si="29"/>
        <v>#VALUE!</v>
      </c>
      <c r="AM28" s="1014"/>
      <c r="AN28" s="859" t="s">
        <v>278</v>
      </c>
      <c r="AO28" s="860"/>
      <c r="AP28" s="1038"/>
      <c r="AQ28" s="1039"/>
      <c r="AR28" s="198">
        <f t="shared" si="8"/>
        <v>0</v>
      </c>
      <c r="AS28" s="85"/>
      <c r="AT28" s="199">
        <f t="shared" si="30"/>
        <v>0</v>
      </c>
      <c r="AU28" s="200">
        <f t="shared" si="9"/>
        <v>0</v>
      </c>
      <c r="AV28" s="201"/>
      <c r="AW28" s="202">
        <f t="shared" si="31"/>
        <v>0</v>
      </c>
      <c r="AX28" s="200">
        <f t="shared" si="10"/>
        <v>0</v>
      </c>
      <c r="AY28" s="203"/>
      <c r="AZ28" s="204">
        <f t="shared" si="32"/>
        <v>0</v>
      </c>
      <c r="BA28" s="204">
        <f t="shared" si="11"/>
        <v>0</v>
      </c>
      <c r="BB28" s="203"/>
      <c r="BC28" s="204">
        <f t="shared" si="33"/>
        <v>0</v>
      </c>
      <c r="BD28" s="204">
        <f t="shared" si="12"/>
        <v>0</v>
      </c>
      <c r="BE28" s="203"/>
      <c r="BF28" s="204">
        <f t="shared" si="34"/>
        <v>0</v>
      </c>
      <c r="BG28" s="204">
        <f t="shared" si="13"/>
        <v>0</v>
      </c>
      <c r="BH28" s="203"/>
      <c r="BI28" s="204">
        <f t="shared" si="35"/>
        <v>0</v>
      </c>
      <c r="BJ28" s="204">
        <f t="shared" si="14"/>
        <v>0</v>
      </c>
      <c r="BK28" s="203"/>
      <c r="BL28" s="204">
        <f t="shared" si="36"/>
        <v>0</v>
      </c>
      <c r="BM28" s="175">
        <f t="shared" si="37"/>
        <v>0</v>
      </c>
      <c r="BN28" s="205">
        <f t="shared" si="38"/>
        <v>0</v>
      </c>
      <c r="BO28" s="177"/>
      <c r="BP28" s="200">
        <f t="shared" si="15"/>
        <v>0</v>
      </c>
      <c r="BQ28" s="201"/>
      <c r="BR28" s="206">
        <f t="shared" si="39"/>
        <v>0</v>
      </c>
      <c r="BS28" s="204">
        <f t="shared" si="16"/>
        <v>0</v>
      </c>
      <c r="BT28" s="203"/>
      <c r="BU28" s="204">
        <f t="shared" si="40"/>
        <v>0</v>
      </c>
      <c r="BV28" s="204">
        <f t="shared" si="17"/>
        <v>0</v>
      </c>
      <c r="BW28" s="203"/>
      <c r="BX28" s="204">
        <f t="shared" si="41"/>
        <v>0</v>
      </c>
      <c r="BY28" s="204">
        <f t="shared" si="18"/>
        <v>0</v>
      </c>
      <c r="BZ28" s="203"/>
      <c r="CA28" s="204">
        <f t="shared" si="42"/>
        <v>0</v>
      </c>
      <c r="CB28" s="204">
        <f t="shared" si="19"/>
        <v>0</v>
      </c>
      <c r="CC28" s="203"/>
      <c r="CD28" s="204">
        <f t="shared" si="43"/>
        <v>0</v>
      </c>
      <c r="CE28" s="175">
        <f t="shared" si="44"/>
        <v>0</v>
      </c>
      <c r="CF28" s="200">
        <f t="shared" si="20"/>
        <v>0</v>
      </c>
      <c r="CG28" s="203"/>
      <c r="CH28" s="207">
        <f t="shared" si="45"/>
        <v>0</v>
      </c>
      <c r="CI28" s="182"/>
      <c r="CJ28" s="208">
        <f t="shared" si="46"/>
        <v>0</v>
      </c>
      <c r="CK28" s="200">
        <f t="shared" si="21"/>
        <v>0</v>
      </c>
      <c r="CL28" s="201"/>
      <c r="CM28" s="202">
        <f t="shared" si="47"/>
        <v>0</v>
      </c>
      <c r="CN28" s="200">
        <f t="shared" si="22"/>
        <v>0</v>
      </c>
      <c r="CO28" s="203"/>
      <c r="CP28" s="207">
        <f t="shared" si="48"/>
        <v>0</v>
      </c>
      <c r="CQ28" s="208">
        <f t="shared" si="49"/>
        <v>0</v>
      </c>
      <c r="CR28" s="185" t="str">
        <f t="shared" si="23"/>
        <v/>
      </c>
      <c r="CS28" s="186"/>
      <c r="CT28" s="187" t="str">
        <f t="shared" si="50"/>
        <v/>
      </c>
      <c r="CU28" s="188" t="str">
        <f t="shared" si="24"/>
        <v/>
      </c>
      <c r="CV28" s="189"/>
      <c r="CW28" s="190" t="str">
        <f t="shared" si="51"/>
        <v/>
      </c>
      <c r="CX28" s="209" t="str">
        <f t="shared" si="52"/>
        <v/>
      </c>
      <c r="CY28" s="210"/>
      <c r="DA28" s="53">
        <f>IF(AND(CT28&lt;&gt;"",OR(CT28&lt;EXPEDIENTE!$I$25,CT28&gt;EXPEDIENTE!$I$29)),1,0)</f>
        <v>0</v>
      </c>
      <c r="DB28" s="53">
        <f>IF(AND(CW28&lt;&gt;"",OR(CW28&lt;EXPEDIENTE!$I$25,CW28&gt;EXPEDIENTE!$I$29)),1,0)</f>
        <v>0</v>
      </c>
      <c r="DD28" s="55">
        <f t="shared" si="25"/>
        <v>0</v>
      </c>
      <c r="DE28" s="55">
        <f t="shared" si="53"/>
        <v>0</v>
      </c>
      <c r="DF28" s="55">
        <f t="shared" si="54"/>
        <v>0</v>
      </c>
      <c r="DG28" s="55">
        <f t="shared" si="55"/>
        <v>0</v>
      </c>
      <c r="DH28" s="55">
        <f t="shared" si="56"/>
        <v>0</v>
      </c>
      <c r="DI28" s="55">
        <f t="shared" si="57"/>
        <v>0</v>
      </c>
      <c r="DJ28" s="55">
        <f t="shared" si="58"/>
        <v>0</v>
      </c>
      <c r="DK28" s="55">
        <f t="shared" si="59"/>
        <v>0</v>
      </c>
      <c r="DL28" s="55">
        <f t="shared" si="60"/>
        <v>0</v>
      </c>
      <c r="DM28" s="55">
        <f t="shared" si="61"/>
        <v>0</v>
      </c>
      <c r="DN28" s="55">
        <f t="shared" si="62"/>
        <v>0</v>
      </c>
      <c r="DO28" s="55">
        <f t="shared" si="63"/>
        <v>0</v>
      </c>
      <c r="DP28" s="55">
        <f t="shared" si="64"/>
        <v>0</v>
      </c>
      <c r="DQ28" s="55">
        <f t="shared" si="65"/>
        <v>0</v>
      </c>
      <c r="DR28" s="55">
        <f t="shared" si="66"/>
        <v>0</v>
      </c>
      <c r="DS28" s="55">
        <f t="shared" si="67"/>
        <v>0</v>
      </c>
      <c r="DT28" s="55">
        <f t="shared" si="68"/>
        <v>0</v>
      </c>
      <c r="DU28" s="55">
        <f t="shared" si="69"/>
        <v>0</v>
      </c>
      <c r="DW28" s="55">
        <f>IF(CY28&lt;&gt;"",MAX($DW$9:DW27)+1,0)</f>
        <v>0</v>
      </c>
      <c r="DX28" s="130" t="str">
        <f t="shared" si="70"/>
        <v/>
      </c>
    </row>
    <row r="29" spans="2:128" ht="30" customHeight="1" x14ac:dyDescent="0.25">
      <c r="B29" s="972"/>
      <c r="C29" s="981" t="s">
        <v>279</v>
      </c>
      <c r="D29" s="982"/>
      <c r="E29" s="193"/>
      <c r="F29" s="194"/>
      <c r="G29" s="195"/>
      <c r="H29" s="195"/>
      <c r="I29" s="195"/>
      <c r="J29" s="195"/>
      <c r="K29" s="195"/>
      <c r="L29" s="203">
        <f t="shared" si="26"/>
        <v>0</v>
      </c>
      <c r="M29" s="205">
        <f t="shared" si="71"/>
        <v>0</v>
      </c>
      <c r="N29" s="161"/>
      <c r="O29" s="194"/>
      <c r="P29" s="195"/>
      <c r="Q29" s="195"/>
      <c r="R29" s="195"/>
      <c r="S29" s="195"/>
      <c r="T29" s="203">
        <f t="shared" si="27"/>
        <v>0</v>
      </c>
      <c r="U29" s="196"/>
      <c r="V29" s="163"/>
      <c r="W29" s="205">
        <f t="shared" si="72"/>
        <v>0</v>
      </c>
      <c r="X29" s="194"/>
      <c r="Y29" s="195"/>
      <c r="Z29" s="203">
        <f t="shared" si="28"/>
        <v>0</v>
      </c>
      <c r="AA29" s="164"/>
      <c r="AB29" s="165"/>
      <c r="AC29" s="322"/>
      <c r="AD29" s="323"/>
      <c r="AE29" s="197"/>
      <c r="AF29" s="357"/>
      <c r="AG29" s="53">
        <f>IF(AND(AA29&lt;&gt;"",OR(AA29&lt;EXPEDIENTE!$I$25,AA29&gt;EXPEDIENTE!$I$29)),1,0)</f>
        <v>0</v>
      </c>
      <c r="AH29" s="53">
        <f>IF(AND(AB29&lt;&gt;"",OR(AB29&lt;EXPEDIENTE!$I$25,AB29&gt;EXPEDIENTE!$I$29)),1,0)</f>
        <v>0</v>
      </c>
      <c r="AI29" s="53">
        <f>IF(DATE(YEAR(EXPEDIENTE!$I$25)+2,MONTH(DATEVALUE($C29&amp;"1")),1)&gt;=DATE(YEAR(EXPEDIENTE!$I$25),MONTH(EXPEDIENTE!$I$25),1),0,1)</f>
        <v>0</v>
      </c>
      <c r="AJ29" s="53" t="e">
        <f>IF(DATE(YEAR(EXPEDIENTE!$I$25)+2,MONTH(DATEVALUE($C29&amp;"1")),1)&lt;=DATE(YEAR(EXPEDIENTE!$I$27),MONTH(EXPEDIENTE!$I$27),1),0,1)</f>
        <v>#VALUE!</v>
      </c>
      <c r="AK29" s="53" t="e">
        <f t="shared" si="29"/>
        <v>#VALUE!</v>
      </c>
      <c r="AM29" s="1014"/>
      <c r="AN29" s="859" t="s">
        <v>279</v>
      </c>
      <c r="AO29" s="860"/>
      <c r="AP29" s="1038"/>
      <c r="AQ29" s="1039"/>
      <c r="AR29" s="198">
        <f t="shared" si="8"/>
        <v>0</v>
      </c>
      <c r="AS29" s="85"/>
      <c r="AT29" s="199">
        <f t="shared" si="30"/>
        <v>0</v>
      </c>
      <c r="AU29" s="200">
        <f t="shared" si="9"/>
        <v>0</v>
      </c>
      <c r="AV29" s="201"/>
      <c r="AW29" s="202">
        <f t="shared" si="31"/>
        <v>0</v>
      </c>
      <c r="AX29" s="200">
        <f t="shared" si="10"/>
        <v>0</v>
      </c>
      <c r="AY29" s="203"/>
      <c r="AZ29" s="204">
        <f t="shared" si="32"/>
        <v>0</v>
      </c>
      <c r="BA29" s="204">
        <f t="shared" si="11"/>
        <v>0</v>
      </c>
      <c r="BB29" s="203"/>
      <c r="BC29" s="204">
        <f t="shared" si="33"/>
        <v>0</v>
      </c>
      <c r="BD29" s="204">
        <f t="shared" si="12"/>
        <v>0</v>
      </c>
      <c r="BE29" s="203"/>
      <c r="BF29" s="204">
        <f t="shared" si="34"/>
        <v>0</v>
      </c>
      <c r="BG29" s="204">
        <f t="shared" si="13"/>
        <v>0</v>
      </c>
      <c r="BH29" s="203"/>
      <c r="BI29" s="204">
        <f t="shared" si="35"/>
        <v>0</v>
      </c>
      <c r="BJ29" s="204">
        <f t="shared" si="14"/>
        <v>0</v>
      </c>
      <c r="BK29" s="203"/>
      <c r="BL29" s="204">
        <f t="shared" si="36"/>
        <v>0</v>
      </c>
      <c r="BM29" s="175">
        <f t="shared" si="37"/>
        <v>0</v>
      </c>
      <c r="BN29" s="205">
        <f t="shared" si="38"/>
        <v>0</v>
      </c>
      <c r="BO29" s="177"/>
      <c r="BP29" s="200">
        <f t="shared" si="15"/>
        <v>0</v>
      </c>
      <c r="BQ29" s="201"/>
      <c r="BR29" s="206">
        <f t="shared" si="39"/>
        <v>0</v>
      </c>
      <c r="BS29" s="204">
        <f t="shared" si="16"/>
        <v>0</v>
      </c>
      <c r="BT29" s="203"/>
      <c r="BU29" s="204">
        <f t="shared" si="40"/>
        <v>0</v>
      </c>
      <c r="BV29" s="204">
        <f t="shared" si="17"/>
        <v>0</v>
      </c>
      <c r="BW29" s="203"/>
      <c r="BX29" s="204">
        <f t="shared" si="41"/>
        <v>0</v>
      </c>
      <c r="BY29" s="204">
        <f t="shared" si="18"/>
        <v>0</v>
      </c>
      <c r="BZ29" s="203"/>
      <c r="CA29" s="204">
        <f t="shared" si="42"/>
        <v>0</v>
      </c>
      <c r="CB29" s="204">
        <f t="shared" si="19"/>
        <v>0</v>
      </c>
      <c r="CC29" s="203"/>
      <c r="CD29" s="204">
        <f t="shared" si="43"/>
        <v>0</v>
      </c>
      <c r="CE29" s="175">
        <f t="shared" si="44"/>
        <v>0</v>
      </c>
      <c r="CF29" s="200">
        <f t="shared" si="20"/>
        <v>0</v>
      </c>
      <c r="CG29" s="203"/>
      <c r="CH29" s="207">
        <f t="shared" si="45"/>
        <v>0</v>
      </c>
      <c r="CI29" s="182"/>
      <c r="CJ29" s="208">
        <f t="shared" si="46"/>
        <v>0</v>
      </c>
      <c r="CK29" s="200">
        <f t="shared" si="21"/>
        <v>0</v>
      </c>
      <c r="CL29" s="201"/>
      <c r="CM29" s="202">
        <f t="shared" si="47"/>
        <v>0</v>
      </c>
      <c r="CN29" s="200">
        <f t="shared" si="22"/>
        <v>0</v>
      </c>
      <c r="CO29" s="203"/>
      <c r="CP29" s="207">
        <f t="shared" si="48"/>
        <v>0</v>
      </c>
      <c r="CQ29" s="208">
        <f t="shared" si="49"/>
        <v>0</v>
      </c>
      <c r="CR29" s="185" t="str">
        <f t="shared" si="23"/>
        <v/>
      </c>
      <c r="CS29" s="186"/>
      <c r="CT29" s="187" t="str">
        <f t="shared" si="50"/>
        <v/>
      </c>
      <c r="CU29" s="188" t="str">
        <f t="shared" si="24"/>
        <v/>
      </c>
      <c r="CV29" s="189"/>
      <c r="CW29" s="190" t="str">
        <f t="shared" si="51"/>
        <v/>
      </c>
      <c r="CX29" s="209" t="str">
        <f t="shared" si="52"/>
        <v/>
      </c>
      <c r="CY29" s="210"/>
      <c r="DA29" s="53">
        <f>IF(AND(CT29&lt;&gt;"",OR(CT29&lt;EXPEDIENTE!$I$25,CT29&gt;EXPEDIENTE!$I$29)),1,0)</f>
        <v>0</v>
      </c>
      <c r="DB29" s="53">
        <f>IF(AND(CW29&lt;&gt;"",OR(CW29&lt;EXPEDIENTE!$I$25,CW29&gt;EXPEDIENTE!$I$29)),1,0)</f>
        <v>0</v>
      </c>
      <c r="DD29" s="55">
        <f t="shared" si="25"/>
        <v>0</v>
      </c>
      <c r="DE29" s="55">
        <f t="shared" si="53"/>
        <v>0</v>
      </c>
      <c r="DF29" s="55">
        <f t="shared" si="54"/>
        <v>0</v>
      </c>
      <c r="DG29" s="55">
        <f t="shared" si="55"/>
        <v>0</v>
      </c>
      <c r="DH29" s="55">
        <f t="shared" si="56"/>
        <v>0</v>
      </c>
      <c r="DI29" s="55">
        <f t="shared" si="57"/>
        <v>0</v>
      </c>
      <c r="DJ29" s="55">
        <f t="shared" si="58"/>
        <v>0</v>
      </c>
      <c r="DK29" s="55">
        <f t="shared" si="59"/>
        <v>0</v>
      </c>
      <c r="DL29" s="55">
        <f t="shared" si="60"/>
        <v>0</v>
      </c>
      <c r="DM29" s="55">
        <f t="shared" si="61"/>
        <v>0</v>
      </c>
      <c r="DN29" s="55">
        <f t="shared" si="62"/>
        <v>0</v>
      </c>
      <c r="DO29" s="55">
        <f t="shared" si="63"/>
        <v>0</v>
      </c>
      <c r="DP29" s="55">
        <f t="shared" si="64"/>
        <v>0</v>
      </c>
      <c r="DQ29" s="55">
        <f t="shared" si="65"/>
        <v>0</v>
      </c>
      <c r="DR29" s="55">
        <f t="shared" si="66"/>
        <v>0</v>
      </c>
      <c r="DS29" s="55">
        <f t="shared" si="67"/>
        <v>0</v>
      </c>
      <c r="DT29" s="55">
        <f t="shared" si="68"/>
        <v>0</v>
      </c>
      <c r="DU29" s="55">
        <f t="shared" si="69"/>
        <v>0</v>
      </c>
      <c r="DW29" s="55">
        <f>IF(CY29&lt;&gt;"",MAX($DW$9:DW28)+1,0)</f>
        <v>0</v>
      </c>
      <c r="DX29" s="130" t="str">
        <f t="shared" si="70"/>
        <v/>
      </c>
    </row>
    <row r="30" spans="2:128" ht="30" customHeight="1" x14ac:dyDescent="0.25">
      <c r="B30" s="972"/>
      <c r="C30" s="981" t="s">
        <v>280</v>
      </c>
      <c r="D30" s="982"/>
      <c r="E30" s="193"/>
      <c r="F30" s="194"/>
      <c r="G30" s="195"/>
      <c r="H30" s="195"/>
      <c r="I30" s="195"/>
      <c r="J30" s="195"/>
      <c r="K30" s="195"/>
      <c r="L30" s="203">
        <f t="shared" si="26"/>
        <v>0</v>
      </c>
      <c r="M30" s="205">
        <f t="shared" si="71"/>
        <v>0</v>
      </c>
      <c r="N30" s="161"/>
      <c r="O30" s="194"/>
      <c r="P30" s="195"/>
      <c r="Q30" s="195"/>
      <c r="R30" s="195"/>
      <c r="S30" s="195"/>
      <c r="T30" s="203">
        <f t="shared" si="27"/>
        <v>0</v>
      </c>
      <c r="U30" s="196"/>
      <c r="V30" s="163"/>
      <c r="W30" s="205">
        <f t="shared" si="72"/>
        <v>0</v>
      </c>
      <c r="X30" s="194"/>
      <c r="Y30" s="195"/>
      <c r="Z30" s="203">
        <f t="shared" si="28"/>
        <v>0</v>
      </c>
      <c r="AA30" s="164"/>
      <c r="AB30" s="165"/>
      <c r="AC30" s="322"/>
      <c r="AD30" s="323"/>
      <c r="AE30" s="197"/>
      <c r="AF30" s="357"/>
      <c r="AG30" s="53">
        <f>IF(AND(AA30&lt;&gt;"",OR(AA30&lt;EXPEDIENTE!$I$25,AA30&gt;EXPEDIENTE!$I$29)),1,0)</f>
        <v>0</v>
      </c>
      <c r="AH30" s="53">
        <f>IF(AND(AB30&lt;&gt;"",OR(AB30&lt;EXPEDIENTE!$I$25,AB30&gt;EXPEDIENTE!$I$29)),1,0)</f>
        <v>0</v>
      </c>
      <c r="AI30" s="53">
        <f>IF(DATE(YEAR(EXPEDIENTE!$I$25)+2,MONTH(DATEVALUE($C30&amp;"1")),1)&gt;=DATE(YEAR(EXPEDIENTE!$I$25),MONTH(EXPEDIENTE!$I$25),1),0,1)</f>
        <v>0</v>
      </c>
      <c r="AJ30" s="53" t="e">
        <f>IF(DATE(YEAR(EXPEDIENTE!$I$25)+2,MONTH(DATEVALUE($C30&amp;"1")),1)&lt;=DATE(YEAR(EXPEDIENTE!$I$27),MONTH(EXPEDIENTE!$I$27),1),0,1)</f>
        <v>#VALUE!</v>
      </c>
      <c r="AK30" s="53" t="e">
        <f t="shared" si="29"/>
        <v>#VALUE!</v>
      </c>
      <c r="AM30" s="1014"/>
      <c r="AN30" s="859" t="s">
        <v>280</v>
      </c>
      <c r="AO30" s="860"/>
      <c r="AP30" s="1038"/>
      <c r="AQ30" s="1039"/>
      <c r="AR30" s="198">
        <f t="shared" si="8"/>
        <v>0</v>
      </c>
      <c r="AS30" s="85"/>
      <c r="AT30" s="199">
        <f t="shared" si="30"/>
        <v>0</v>
      </c>
      <c r="AU30" s="200">
        <f t="shared" si="9"/>
        <v>0</v>
      </c>
      <c r="AV30" s="201"/>
      <c r="AW30" s="202">
        <f t="shared" si="31"/>
        <v>0</v>
      </c>
      <c r="AX30" s="200">
        <f t="shared" si="10"/>
        <v>0</v>
      </c>
      <c r="AY30" s="203"/>
      <c r="AZ30" s="204">
        <f t="shared" si="32"/>
        <v>0</v>
      </c>
      <c r="BA30" s="204">
        <f t="shared" si="11"/>
        <v>0</v>
      </c>
      <c r="BB30" s="203"/>
      <c r="BC30" s="204">
        <f t="shared" si="33"/>
        <v>0</v>
      </c>
      <c r="BD30" s="204">
        <f t="shared" si="12"/>
        <v>0</v>
      </c>
      <c r="BE30" s="203"/>
      <c r="BF30" s="204">
        <f t="shared" si="34"/>
        <v>0</v>
      </c>
      <c r="BG30" s="204">
        <f t="shared" si="13"/>
        <v>0</v>
      </c>
      <c r="BH30" s="203"/>
      <c r="BI30" s="204">
        <f t="shared" si="35"/>
        <v>0</v>
      </c>
      <c r="BJ30" s="204">
        <f t="shared" si="14"/>
        <v>0</v>
      </c>
      <c r="BK30" s="203"/>
      <c r="BL30" s="204">
        <f t="shared" si="36"/>
        <v>0</v>
      </c>
      <c r="BM30" s="175">
        <f t="shared" si="37"/>
        <v>0</v>
      </c>
      <c r="BN30" s="205">
        <f t="shared" si="38"/>
        <v>0</v>
      </c>
      <c r="BO30" s="177"/>
      <c r="BP30" s="200">
        <f t="shared" si="15"/>
        <v>0</v>
      </c>
      <c r="BQ30" s="201"/>
      <c r="BR30" s="206">
        <f t="shared" si="39"/>
        <v>0</v>
      </c>
      <c r="BS30" s="204">
        <f t="shared" si="16"/>
        <v>0</v>
      </c>
      <c r="BT30" s="203"/>
      <c r="BU30" s="204">
        <f t="shared" si="40"/>
        <v>0</v>
      </c>
      <c r="BV30" s="204">
        <f t="shared" si="17"/>
        <v>0</v>
      </c>
      <c r="BW30" s="203"/>
      <c r="BX30" s="204">
        <f t="shared" si="41"/>
        <v>0</v>
      </c>
      <c r="BY30" s="204">
        <f t="shared" si="18"/>
        <v>0</v>
      </c>
      <c r="BZ30" s="203"/>
      <c r="CA30" s="204">
        <f t="shared" si="42"/>
        <v>0</v>
      </c>
      <c r="CB30" s="204">
        <f t="shared" si="19"/>
        <v>0</v>
      </c>
      <c r="CC30" s="203"/>
      <c r="CD30" s="204">
        <f t="shared" si="43"/>
        <v>0</v>
      </c>
      <c r="CE30" s="175">
        <f t="shared" si="44"/>
        <v>0</v>
      </c>
      <c r="CF30" s="200">
        <f t="shared" si="20"/>
        <v>0</v>
      </c>
      <c r="CG30" s="203"/>
      <c r="CH30" s="207">
        <f t="shared" si="45"/>
        <v>0</v>
      </c>
      <c r="CI30" s="182"/>
      <c r="CJ30" s="208">
        <f t="shared" si="46"/>
        <v>0</v>
      </c>
      <c r="CK30" s="200">
        <f t="shared" si="21"/>
        <v>0</v>
      </c>
      <c r="CL30" s="201"/>
      <c r="CM30" s="202">
        <f t="shared" si="47"/>
        <v>0</v>
      </c>
      <c r="CN30" s="200">
        <f t="shared" si="22"/>
        <v>0</v>
      </c>
      <c r="CO30" s="203"/>
      <c r="CP30" s="207">
        <f t="shared" si="48"/>
        <v>0</v>
      </c>
      <c r="CQ30" s="208">
        <f t="shared" si="49"/>
        <v>0</v>
      </c>
      <c r="CR30" s="185" t="str">
        <f t="shared" si="23"/>
        <v/>
      </c>
      <c r="CS30" s="186"/>
      <c r="CT30" s="187" t="str">
        <f t="shared" si="50"/>
        <v/>
      </c>
      <c r="CU30" s="188" t="str">
        <f t="shared" si="24"/>
        <v/>
      </c>
      <c r="CV30" s="189"/>
      <c r="CW30" s="190" t="str">
        <f t="shared" si="51"/>
        <v/>
      </c>
      <c r="CX30" s="209" t="str">
        <f t="shared" si="52"/>
        <v/>
      </c>
      <c r="CY30" s="210"/>
      <c r="DA30" s="53">
        <f>IF(AND(CT30&lt;&gt;"",OR(CT30&lt;EXPEDIENTE!$I$25,CT30&gt;EXPEDIENTE!$I$29)),1,0)</f>
        <v>0</v>
      </c>
      <c r="DB30" s="53">
        <f>IF(AND(CW30&lt;&gt;"",OR(CW30&lt;EXPEDIENTE!$I$25,CW30&gt;EXPEDIENTE!$I$29)),1,0)</f>
        <v>0</v>
      </c>
      <c r="DD30" s="55">
        <f t="shared" si="25"/>
        <v>0</v>
      </c>
      <c r="DE30" s="55">
        <f t="shared" si="53"/>
        <v>0</v>
      </c>
      <c r="DF30" s="55">
        <f t="shared" si="54"/>
        <v>0</v>
      </c>
      <c r="DG30" s="55">
        <f t="shared" si="55"/>
        <v>0</v>
      </c>
      <c r="DH30" s="55">
        <f t="shared" si="56"/>
        <v>0</v>
      </c>
      <c r="DI30" s="55">
        <f t="shared" si="57"/>
        <v>0</v>
      </c>
      <c r="DJ30" s="55">
        <f t="shared" si="58"/>
        <v>0</v>
      </c>
      <c r="DK30" s="55">
        <f t="shared" si="59"/>
        <v>0</v>
      </c>
      <c r="DL30" s="55">
        <f t="shared" si="60"/>
        <v>0</v>
      </c>
      <c r="DM30" s="55">
        <f t="shared" si="61"/>
        <v>0</v>
      </c>
      <c r="DN30" s="55">
        <f t="shared" si="62"/>
        <v>0</v>
      </c>
      <c r="DO30" s="55">
        <f t="shared" si="63"/>
        <v>0</v>
      </c>
      <c r="DP30" s="55">
        <f t="shared" si="64"/>
        <v>0</v>
      </c>
      <c r="DQ30" s="55">
        <f t="shared" si="65"/>
        <v>0</v>
      </c>
      <c r="DR30" s="55">
        <f t="shared" si="66"/>
        <v>0</v>
      </c>
      <c r="DS30" s="55">
        <f t="shared" si="67"/>
        <v>0</v>
      </c>
      <c r="DT30" s="55">
        <f t="shared" si="68"/>
        <v>0</v>
      </c>
      <c r="DU30" s="55">
        <f t="shared" si="69"/>
        <v>0</v>
      </c>
      <c r="DW30" s="55">
        <f>IF(CY30&lt;&gt;"",MAX($DW$9:DW29)+1,0)</f>
        <v>0</v>
      </c>
      <c r="DX30" s="130" t="str">
        <f t="shared" si="70"/>
        <v/>
      </c>
    </row>
    <row r="31" spans="2:128" ht="30" customHeight="1" thickBot="1" x14ac:dyDescent="0.3">
      <c r="B31" s="972"/>
      <c r="C31" s="984" t="s">
        <v>281</v>
      </c>
      <c r="D31" s="985"/>
      <c r="E31" s="211"/>
      <c r="F31" s="212"/>
      <c r="G31" s="213"/>
      <c r="H31" s="213"/>
      <c r="I31" s="213"/>
      <c r="J31" s="213"/>
      <c r="K31" s="213"/>
      <c r="L31" s="268">
        <f t="shared" si="26"/>
        <v>0</v>
      </c>
      <c r="M31" s="690">
        <f t="shared" si="71"/>
        <v>0</v>
      </c>
      <c r="N31" s="161"/>
      <c r="O31" s="215"/>
      <c r="P31" s="216"/>
      <c r="Q31" s="216"/>
      <c r="R31" s="216"/>
      <c r="S31" s="216"/>
      <c r="T31" s="227">
        <f t="shared" si="27"/>
        <v>0</v>
      </c>
      <c r="U31" s="217"/>
      <c r="V31" s="163"/>
      <c r="W31" s="690">
        <f t="shared" si="72"/>
        <v>0</v>
      </c>
      <c r="X31" s="212"/>
      <c r="Y31" s="213"/>
      <c r="Z31" s="268">
        <f t="shared" si="28"/>
        <v>0</v>
      </c>
      <c r="AA31" s="218"/>
      <c r="AB31" s="219"/>
      <c r="AC31" s="324"/>
      <c r="AD31" s="325"/>
      <c r="AE31" s="220"/>
      <c r="AF31" s="357"/>
      <c r="AG31" s="53">
        <f>IF(AND(AA31&lt;&gt;"",OR(AA31&lt;EXPEDIENTE!$I$25,AA31&gt;EXPEDIENTE!$I$29)),1,0)</f>
        <v>0</v>
      </c>
      <c r="AH31" s="53">
        <f>IF(AND(AB31&lt;&gt;"",OR(AB31&lt;EXPEDIENTE!$I$25,AB31&gt;EXPEDIENTE!$I$29)),1,0)</f>
        <v>0</v>
      </c>
      <c r="AI31" s="53">
        <f>IF(DATE(YEAR(EXPEDIENTE!$I$25)+2,MONTH(DATEVALUE($C31&amp;"1")),1)&gt;=DATE(YEAR(EXPEDIENTE!$I$25),MONTH(EXPEDIENTE!$I$25),1),0,1)</f>
        <v>0</v>
      </c>
      <c r="AJ31" s="53" t="e">
        <f>IF(DATE(YEAR(EXPEDIENTE!$I$25)+2,MONTH(DATEVALUE($C31&amp;"1")),1)&lt;=DATE(YEAR(EXPEDIENTE!$I$27),MONTH(EXPEDIENTE!$I$27),1),0,1)</f>
        <v>#VALUE!</v>
      </c>
      <c r="AK31" s="53" t="e">
        <f t="shared" si="29"/>
        <v>#VALUE!</v>
      </c>
      <c r="AM31" s="1014"/>
      <c r="AN31" s="891" t="s">
        <v>281</v>
      </c>
      <c r="AO31" s="892"/>
      <c r="AP31" s="1040"/>
      <c r="AQ31" s="1041"/>
      <c r="AR31" s="221">
        <f t="shared" si="8"/>
        <v>0</v>
      </c>
      <c r="AS31" s="222"/>
      <c r="AT31" s="223">
        <f t="shared" si="30"/>
        <v>0</v>
      </c>
      <c r="AU31" s="224">
        <f t="shared" si="9"/>
        <v>0</v>
      </c>
      <c r="AV31" s="225"/>
      <c r="AW31" s="226">
        <f t="shared" si="31"/>
        <v>0</v>
      </c>
      <c r="AX31" s="224">
        <f t="shared" si="10"/>
        <v>0</v>
      </c>
      <c r="AY31" s="227"/>
      <c r="AZ31" s="228">
        <f t="shared" si="32"/>
        <v>0</v>
      </c>
      <c r="BA31" s="228">
        <f t="shared" si="11"/>
        <v>0</v>
      </c>
      <c r="BB31" s="227"/>
      <c r="BC31" s="228">
        <f t="shared" si="33"/>
        <v>0</v>
      </c>
      <c r="BD31" s="228">
        <f t="shared" si="12"/>
        <v>0</v>
      </c>
      <c r="BE31" s="227"/>
      <c r="BF31" s="228">
        <f t="shared" si="34"/>
        <v>0</v>
      </c>
      <c r="BG31" s="228">
        <f t="shared" si="13"/>
        <v>0</v>
      </c>
      <c r="BH31" s="227"/>
      <c r="BI31" s="228">
        <f t="shared" si="35"/>
        <v>0</v>
      </c>
      <c r="BJ31" s="228">
        <f t="shared" si="14"/>
        <v>0</v>
      </c>
      <c r="BK31" s="227"/>
      <c r="BL31" s="228">
        <f t="shared" si="36"/>
        <v>0</v>
      </c>
      <c r="BM31" s="229">
        <f t="shared" si="37"/>
        <v>0</v>
      </c>
      <c r="BN31" s="230">
        <f t="shared" si="38"/>
        <v>0</v>
      </c>
      <c r="BO31" s="177"/>
      <c r="BP31" s="224">
        <f t="shared" si="15"/>
        <v>0</v>
      </c>
      <c r="BQ31" s="225"/>
      <c r="BR31" s="231">
        <f t="shared" si="39"/>
        <v>0</v>
      </c>
      <c r="BS31" s="228">
        <f t="shared" si="16"/>
        <v>0</v>
      </c>
      <c r="BT31" s="227"/>
      <c r="BU31" s="228">
        <f t="shared" si="40"/>
        <v>0</v>
      </c>
      <c r="BV31" s="228">
        <f t="shared" si="17"/>
        <v>0</v>
      </c>
      <c r="BW31" s="227"/>
      <c r="BX31" s="228">
        <f t="shared" si="41"/>
        <v>0</v>
      </c>
      <c r="BY31" s="228">
        <f t="shared" si="18"/>
        <v>0</v>
      </c>
      <c r="BZ31" s="227"/>
      <c r="CA31" s="228">
        <f t="shared" si="42"/>
        <v>0</v>
      </c>
      <c r="CB31" s="228">
        <f t="shared" si="19"/>
        <v>0</v>
      </c>
      <c r="CC31" s="227"/>
      <c r="CD31" s="228">
        <f t="shared" si="43"/>
        <v>0</v>
      </c>
      <c r="CE31" s="229">
        <f t="shared" si="44"/>
        <v>0</v>
      </c>
      <c r="CF31" s="224">
        <f t="shared" si="20"/>
        <v>0</v>
      </c>
      <c r="CG31" s="227"/>
      <c r="CH31" s="232">
        <f t="shared" si="45"/>
        <v>0</v>
      </c>
      <c r="CI31" s="182"/>
      <c r="CJ31" s="230">
        <f t="shared" si="46"/>
        <v>0</v>
      </c>
      <c r="CK31" s="224">
        <f t="shared" si="21"/>
        <v>0</v>
      </c>
      <c r="CL31" s="225"/>
      <c r="CM31" s="226">
        <f t="shared" si="47"/>
        <v>0</v>
      </c>
      <c r="CN31" s="224">
        <f t="shared" si="22"/>
        <v>0</v>
      </c>
      <c r="CO31" s="227"/>
      <c r="CP31" s="232">
        <f t="shared" si="48"/>
        <v>0</v>
      </c>
      <c r="CQ31" s="230">
        <f t="shared" si="49"/>
        <v>0</v>
      </c>
      <c r="CR31" s="233" t="str">
        <f t="shared" si="23"/>
        <v/>
      </c>
      <c r="CS31" s="234"/>
      <c r="CT31" s="235" t="str">
        <f t="shared" si="50"/>
        <v/>
      </c>
      <c r="CU31" s="236" t="str">
        <f t="shared" si="24"/>
        <v/>
      </c>
      <c r="CV31" s="237"/>
      <c r="CW31" s="238" t="str">
        <f t="shared" si="51"/>
        <v/>
      </c>
      <c r="CX31" s="239" t="str">
        <f t="shared" si="52"/>
        <v/>
      </c>
      <c r="CY31" s="240"/>
      <c r="DA31" s="53">
        <f>IF(AND(CT31&lt;&gt;"",OR(CT31&lt;EXPEDIENTE!$I$25,CT31&gt;EXPEDIENTE!$I$29)),1,0)</f>
        <v>0</v>
      </c>
      <c r="DB31" s="53">
        <f>IF(AND(CW31&lt;&gt;"",OR(CW31&lt;EXPEDIENTE!$I$25,CW31&gt;EXPEDIENTE!$I$29)),1,0)</f>
        <v>0</v>
      </c>
      <c r="DD31" s="55">
        <f t="shared" si="25"/>
        <v>0</v>
      </c>
      <c r="DE31" s="55">
        <f t="shared" si="53"/>
        <v>0</v>
      </c>
      <c r="DF31" s="55">
        <f t="shared" si="54"/>
        <v>0</v>
      </c>
      <c r="DG31" s="55">
        <f t="shared" si="55"/>
        <v>0</v>
      </c>
      <c r="DH31" s="55">
        <f t="shared" si="56"/>
        <v>0</v>
      </c>
      <c r="DI31" s="55">
        <f t="shared" si="57"/>
        <v>0</v>
      </c>
      <c r="DJ31" s="55">
        <f t="shared" si="58"/>
        <v>0</v>
      </c>
      <c r="DK31" s="55">
        <f t="shared" si="59"/>
        <v>0</v>
      </c>
      <c r="DL31" s="55">
        <f t="shared" si="60"/>
        <v>0</v>
      </c>
      <c r="DM31" s="55">
        <f t="shared" si="61"/>
        <v>0</v>
      </c>
      <c r="DN31" s="55">
        <f t="shared" si="62"/>
        <v>0</v>
      </c>
      <c r="DO31" s="55">
        <f t="shared" si="63"/>
        <v>0</v>
      </c>
      <c r="DP31" s="55">
        <f t="shared" si="64"/>
        <v>0</v>
      </c>
      <c r="DQ31" s="55">
        <f t="shared" si="65"/>
        <v>0</v>
      </c>
      <c r="DR31" s="55">
        <f t="shared" si="66"/>
        <v>0</v>
      </c>
      <c r="DS31" s="55">
        <f t="shared" si="67"/>
        <v>0</v>
      </c>
      <c r="DT31" s="55">
        <f t="shared" si="68"/>
        <v>0</v>
      </c>
      <c r="DU31" s="55">
        <f t="shared" si="69"/>
        <v>0</v>
      </c>
      <c r="DW31" s="55">
        <f>IF(CY31&lt;&gt;"",MAX($DW$9:DW30)+1,0)</f>
        <v>0</v>
      </c>
      <c r="DX31" s="130" t="str">
        <f t="shared" si="70"/>
        <v/>
      </c>
    </row>
    <row r="32" spans="2:128" ht="9.9499999999999993" customHeight="1" thickBot="1" x14ac:dyDescent="0.3">
      <c r="B32" s="972"/>
      <c r="C32" s="336"/>
      <c r="D32" s="337"/>
      <c r="E32" s="337"/>
      <c r="F32" s="337"/>
      <c r="G32" s="337"/>
      <c r="H32" s="337"/>
      <c r="I32" s="337"/>
      <c r="J32" s="337"/>
      <c r="K32" s="337"/>
      <c r="L32" s="337"/>
      <c r="M32" s="338"/>
      <c r="N32" s="349"/>
      <c r="O32" s="350"/>
      <c r="P32" s="350"/>
      <c r="Q32" s="350"/>
      <c r="R32" s="350"/>
      <c r="S32" s="350"/>
      <c r="T32" s="350"/>
      <c r="U32" s="350"/>
      <c r="V32" s="351"/>
      <c r="W32" s="339"/>
      <c r="X32" s="337"/>
      <c r="Y32" s="337"/>
      <c r="Z32" s="337"/>
      <c r="AA32" s="337"/>
      <c r="AB32" s="337"/>
      <c r="AC32" s="337"/>
      <c r="AD32" s="337"/>
      <c r="AE32" s="340"/>
      <c r="AF32" s="357"/>
      <c r="AM32" s="1014"/>
      <c r="AN32" s="379"/>
      <c r="AO32" s="380"/>
      <c r="AP32" s="380"/>
      <c r="AQ32" s="380"/>
      <c r="AR32" s="380"/>
      <c r="AS32" s="380"/>
      <c r="AT32" s="380"/>
      <c r="AU32" s="380"/>
      <c r="AV32" s="380"/>
      <c r="AW32" s="380"/>
      <c r="AX32" s="380"/>
      <c r="AY32" s="380"/>
      <c r="AZ32" s="380"/>
      <c r="BA32" s="380"/>
      <c r="BB32" s="380"/>
      <c r="BC32" s="380"/>
      <c r="BD32" s="380"/>
      <c r="BE32" s="380"/>
      <c r="BF32" s="380"/>
      <c r="BG32" s="380"/>
      <c r="BH32" s="380"/>
      <c r="BI32" s="380"/>
      <c r="BJ32" s="380"/>
      <c r="BK32" s="380"/>
      <c r="BL32" s="380"/>
      <c r="BM32" s="380"/>
      <c r="BN32" s="381"/>
      <c r="BO32" s="241"/>
      <c r="BP32" s="242"/>
      <c r="BQ32" s="242"/>
      <c r="BR32" s="242"/>
      <c r="BS32" s="242"/>
      <c r="BT32" s="242"/>
      <c r="BU32" s="242"/>
      <c r="BV32" s="242"/>
      <c r="BW32" s="242"/>
      <c r="BX32" s="242"/>
      <c r="BY32" s="242"/>
      <c r="BZ32" s="242"/>
      <c r="CA32" s="242"/>
      <c r="CB32" s="242"/>
      <c r="CC32" s="242"/>
      <c r="CD32" s="242"/>
      <c r="CE32" s="242"/>
      <c r="CF32" s="242"/>
      <c r="CG32" s="242"/>
      <c r="CH32" s="242"/>
      <c r="CI32" s="243"/>
      <c r="CJ32" s="384"/>
      <c r="CK32" s="380"/>
      <c r="CL32" s="380"/>
      <c r="CM32" s="380"/>
      <c r="CN32" s="380"/>
      <c r="CO32" s="380"/>
      <c r="CP32" s="380"/>
      <c r="CQ32" s="380"/>
      <c r="CR32" s="380"/>
      <c r="CS32" s="380"/>
      <c r="CT32" s="380"/>
      <c r="CU32" s="380"/>
      <c r="CV32" s="380"/>
      <c r="CW32" s="380"/>
      <c r="CX32" s="380"/>
      <c r="CY32" s="385"/>
    </row>
    <row r="33" spans="2:128" ht="9.9499999999999993" customHeight="1" thickBot="1" x14ac:dyDescent="0.3">
      <c r="B33" s="972"/>
      <c r="C33" s="348"/>
      <c r="D33" s="346"/>
      <c r="E33" s="346"/>
      <c r="F33" s="346"/>
      <c r="G33" s="346"/>
      <c r="H33" s="346"/>
      <c r="I33" s="346"/>
      <c r="J33" s="346"/>
      <c r="K33" s="346"/>
      <c r="L33" s="346"/>
      <c r="M33" s="346"/>
      <c r="N33" s="346"/>
      <c r="O33" s="346"/>
      <c r="P33" s="346"/>
      <c r="Q33" s="346"/>
      <c r="R33" s="346"/>
      <c r="S33" s="346"/>
      <c r="T33" s="346"/>
      <c r="U33" s="346"/>
      <c r="V33" s="346"/>
      <c r="W33" s="346"/>
      <c r="X33" s="346"/>
      <c r="Y33" s="346"/>
      <c r="Z33" s="346"/>
      <c r="AA33" s="346"/>
      <c r="AB33" s="346"/>
      <c r="AC33" s="346"/>
      <c r="AD33" s="346"/>
      <c r="AE33" s="347"/>
      <c r="AF33" s="357"/>
      <c r="AM33" s="1014"/>
      <c r="AN33" s="377"/>
      <c r="AO33" s="378"/>
      <c r="AP33" s="378"/>
      <c r="AQ33" s="378"/>
      <c r="AR33" s="378"/>
      <c r="AS33" s="378"/>
      <c r="AT33" s="378"/>
      <c r="AU33" s="378"/>
      <c r="AV33" s="378"/>
      <c r="AW33" s="378"/>
      <c r="AX33" s="378"/>
      <c r="AY33" s="378"/>
      <c r="AZ33" s="378"/>
      <c r="BA33" s="378"/>
      <c r="BB33" s="378"/>
      <c r="BC33" s="378"/>
      <c r="BD33" s="378"/>
      <c r="BE33" s="378"/>
      <c r="BF33" s="378"/>
      <c r="BG33" s="378"/>
      <c r="BH33" s="378"/>
      <c r="BI33" s="378"/>
      <c r="BJ33" s="378"/>
      <c r="BK33" s="378"/>
      <c r="BL33" s="378"/>
      <c r="BM33" s="378"/>
      <c r="BN33" s="378"/>
      <c r="BO33" s="378"/>
      <c r="BP33" s="378"/>
      <c r="BQ33" s="378"/>
      <c r="BR33" s="378"/>
      <c r="BS33" s="378"/>
      <c r="BT33" s="378"/>
      <c r="BU33" s="378"/>
      <c r="BV33" s="378"/>
      <c r="BW33" s="378"/>
      <c r="BX33" s="378"/>
      <c r="BY33" s="378"/>
      <c r="BZ33" s="378"/>
      <c r="CA33" s="378"/>
      <c r="CB33" s="378"/>
      <c r="CC33" s="378"/>
      <c r="CD33" s="378"/>
      <c r="CE33" s="378"/>
      <c r="CF33" s="378"/>
      <c r="CG33" s="378"/>
      <c r="CH33" s="378"/>
      <c r="CI33" s="378"/>
      <c r="CJ33" s="378"/>
      <c r="CK33" s="378"/>
      <c r="CL33" s="378"/>
      <c r="CM33" s="378"/>
      <c r="CN33" s="378"/>
      <c r="CO33" s="378"/>
      <c r="CP33" s="378"/>
      <c r="CQ33" s="378"/>
      <c r="CR33" s="378"/>
      <c r="CS33" s="378"/>
      <c r="CT33" s="378"/>
      <c r="CU33" s="378"/>
      <c r="CV33" s="378"/>
      <c r="CW33" s="378"/>
      <c r="CX33" s="378"/>
      <c r="CY33" s="383"/>
    </row>
    <row r="34" spans="2:128" s="244" customFormat="1" ht="54.95" customHeight="1" thickTop="1" thickBot="1" x14ac:dyDescent="0.3">
      <c r="B34" s="972"/>
      <c r="C34" s="983" t="s">
        <v>282</v>
      </c>
      <c r="D34" s="983"/>
      <c r="E34" s="983"/>
      <c r="F34" s="983"/>
      <c r="G34" s="983"/>
      <c r="H34" s="983"/>
      <c r="I34" s="983"/>
      <c r="J34" s="983"/>
      <c r="K34" s="983"/>
      <c r="L34" s="983"/>
      <c r="M34" s="983"/>
      <c r="N34" s="983"/>
      <c r="O34" s="983"/>
      <c r="P34" s="983"/>
      <c r="Q34" s="983"/>
      <c r="R34" s="983"/>
      <c r="S34" s="983"/>
      <c r="T34" s="983"/>
      <c r="U34" s="983"/>
      <c r="V34" s="983"/>
      <c r="W34" s="983"/>
      <c r="X34" s="983"/>
      <c r="Y34" s="983"/>
      <c r="Z34" s="983"/>
      <c r="AA34" s="983"/>
      <c r="AB34" s="983"/>
      <c r="AC34" s="983"/>
      <c r="AD34" s="983"/>
      <c r="AE34" s="983"/>
      <c r="AF34" s="357"/>
      <c r="AG34" s="53"/>
      <c r="AH34" s="53"/>
      <c r="AI34" s="245"/>
      <c r="AJ34" s="245"/>
      <c r="AK34" s="245"/>
      <c r="AM34" s="1014"/>
      <c r="AN34" s="1019" t="s">
        <v>282</v>
      </c>
      <c r="AO34" s="1019"/>
      <c r="AP34" s="1019"/>
      <c r="AQ34" s="1019"/>
      <c r="AR34" s="1019"/>
      <c r="AS34" s="1019"/>
      <c r="AT34" s="1019"/>
      <c r="AU34" s="1019"/>
      <c r="AV34" s="1019"/>
      <c r="AW34" s="1019"/>
      <c r="AX34" s="1019"/>
      <c r="AY34" s="1019"/>
      <c r="AZ34" s="1019"/>
      <c r="BA34" s="1019"/>
      <c r="BB34" s="1019"/>
      <c r="BC34" s="1019"/>
      <c r="BD34" s="1019"/>
      <c r="BE34" s="1019"/>
      <c r="BF34" s="1019"/>
      <c r="BG34" s="1019"/>
      <c r="BH34" s="1019"/>
      <c r="BI34" s="1019"/>
      <c r="BJ34" s="1019"/>
      <c r="BK34" s="1019"/>
      <c r="BL34" s="1019"/>
      <c r="BM34" s="1019"/>
      <c r="BN34" s="1019"/>
      <c r="BO34" s="1019"/>
      <c r="BP34" s="1019"/>
      <c r="BQ34" s="1019"/>
      <c r="BR34" s="1019"/>
      <c r="BS34" s="1019"/>
      <c r="BT34" s="1019"/>
      <c r="BU34" s="1019"/>
      <c r="BV34" s="1019"/>
      <c r="BW34" s="1019"/>
      <c r="BX34" s="1019"/>
      <c r="BY34" s="1019"/>
      <c r="BZ34" s="1019"/>
      <c r="CA34" s="1019"/>
      <c r="CB34" s="1019"/>
      <c r="CC34" s="1019"/>
      <c r="CD34" s="1019"/>
      <c r="CE34" s="1019"/>
      <c r="CF34" s="1019"/>
      <c r="CG34" s="1019"/>
      <c r="CH34" s="1019"/>
      <c r="CI34" s="1019"/>
      <c r="CJ34" s="1019"/>
      <c r="CK34" s="1019"/>
      <c r="CL34" s="1019"/>
      <c r="CM34" s="1019"/>
      <c r="CN34" s="1019"/>
      <c r="CO34" s="1019"/>
      <c r="CP34" s="1019"/>
      <c r="CQ34" s="1019"/>
      <c r="CR34" s="1019"/>
      <c r="CS34" s="1019"/>
      <c r="CT34" s="1019"/>
      <c r="CU34" s="1019"/>
      <c r="CV34" s="1019"/>
      <c r="CW34" s="1019"/>
      <c r="CX34" s="1019"/>
      <c r="CY34" s="1020"/>
      <c r="DA34" s="53"/>
      <c r="DB34" s="53"/>
      <c r="DD34" s="245"/>
      <c r="DE34" s="245"/>
      <c r="DF34" s="245"/>
      <c r="DG34" s="245"/>
      <c r="DH34" s="245"/>
      <c r="DI34" s="245"/>
      <c r="DJ34" s="245"/>
      <c r="DK34" s="245"/>
      <c r="DL34" s="245"/>
      <c r="DM34" s="245"/>
      <c r="DN34" s="245"/>
      <c r="DO34" s="245"/>
      <c r="DP34" s="245"/>
      <c r="DQ34" s="245"/>
      <c r="DR34" s="245"/>
      <c r="DS34" s="245"/>
      <c r="DT34" s="245"/>
      <c r="DU34" s="245"/>
    </row>
    <row r="35" spans="2:128" ht="20.100000000000001" customHeight="1" thickTop="1" thickBot="1" x14ac:dyDescent="0.3">
      <c r="B35" s="972"/>
      <c r="C35" s="957" t="s">
        <v>193</v>
      </c>
      <c r="D35" s="958"/>
      <c r="E35" s="958"/>
      <c r="F35" s="959" t="s">
        <v>194</v>
      </c>
      <c r="G35" s="959"/>
      <c r="H35" s="959"/>
      <c r="I35" s="959"/>
      <c r="J35" s="959"/>
      <c r="K35" s="959"/>
      <c r="L35" s="959"/>
      <c r="M35" s="960"/>
      <c r="N35" s="968" t="s">
        <v>195</v>
      </c>
      <c r="O35" s="969"/>
      <c r="P35" s="969"/>
      <c r="Q35" s="969"/>
      <c r="R35" s="969"/>
      <c r="S35" s="969"/>
      <c r="T35" s="969"/>
      <c r="U35" s="969"/>
      <c r="V35" s="970"/>
      <c r="W35" s="961" t="s">
        <v>196</v>
      </c>
      <c r="X35" s="953" t="s">
        <v>197</v>
      </c>
      <c r="Y35" s="898" t="s">
        <v>198</v>
      </c>
      <c r="Z35" s="898" t="s">
        <v>199</v>
      </c>
      <c r="AA35" s="898" t="s">
        <v>200</v>
      </c>
      <c r="AB35" s="900" t="s">
        <v>201</v>
      </c>
      <c r="AC35" s="953" t="s">
        <v>202</v>
      </c>
      <c r="AD35" s="900" t="s">
        <v>203</v>
      </c>
      <c r="AE35" s="1009" t="s">
        <v>204</v>
      </c>
      <c r="AF35" s="358"/>
      <c r="AM35" s="1014"/>
      <c r="AN35" s="939" t="s">
        <v>193</v>
      </c>
      <c r="AO35" s="940"/>
      <c r="AP35" s="940"/>
      <c r="AQ35" s="940"/>
      <c r="AR35" s="940"/>
      <c r="AS35" s="940"/>
      <c r="AT35" s="942"/>
      <c r="AU35" s="888" t="s">
        <v>194</v>
      </c>
      <c r="AV35" s="889"/>
      <c r="AW35" s="889"/>
      <c r="AX35" s="889"/>
      <c r="AY35" s="889"/>
      <c r="AZ35" s="889"/>
      <c r="BA35" s="889"/>
      <c r="BB35" s="889"/>
      <c r="BC35" s="889"/>
      <c r="BD35" s="889"/>
      <c r="BE35" s="889"/>
      <c r="BF35" s="889"/>
      <c r="BG35" s="889"/>
      <c r="BH35" s="889"/>
      <c r="BI35" s="889"/>
      <c r="BJ35" s="889"/>
      <c r="BK35" s="889"/>
      <c r="BL35" s="889"/>
      <c r="BM35" s="889"/>
      <c r="BN35" s="890"/>
      <c r="BO35" s="916" t="s">
        <v>301</v>
      </c>
      <c r="BP35" s="917"/>
      <c r="BQ35" s="917"/>
      <c r="BR35" s="917"/>
      <c r="BS35" s="917"/>
      <c r="BT35" s="917"/>
      <c r="BU35" s="917"/>
      <c r="BV35" s="917"/>
      <c r="BW35" s="917"/>
      <c r="BX35" s="917"/>
      <c r="BY35" s="917"/>
      <c r="BZ35" s="917"/>
      <c r="CA35" s="917"/>
      <c r="CB35" s="917"/>
      <c r="CC35" s="917"/>
      <c r="CD35" s="917"/>
      <c r="CE35" s="917"/>
      <c r="CF35" s="917"/>
      <c r="CG35" s="918"/>
      <c r="CH35" s="918"/>
      <c r="CI35" s="919"/>
      <c r="CJ35" s="922" t="s">
        <v>196</v>
      </c>
      <c r="CK35" s="816" t="s">
        <v>208</v>
      </c>
      <c r="CL35" s="817"/>
      <c r="CM35" s="818"/>
      <c r="CN35" s="816" t="s">
        <v>209</v>
      </c>
      <c r="CO35" s="817"/>
      <c r="CP35" s="818"/>
      <c r="CQ35" s="885" t="s">
        <v>199</v>
      </c>
      <c r="CR35" s="827" t="s">
        <v>210</v>
      </c>
      <c r="CS35" s="828"/>
      <c r="CT35" s="829"/>
      <c r="CU35" s="830" t="s">
        <v>211</v>
      </c>
      <c r="CV35" s="831"/>
      <c r="CW35" s="832"/>
      <c r="CX35" s="847" t="s">
        <v>212</v>
      </c>
      <c r="CY35" s="838" t="s">
        <v>302</v>
      </c>
    </row>
    <row r="36" spans="2:128" ht="15" customHeight="1" x14ac:dyDescent="0.25">
      <c r="B36" s="972"/>
      <c r="C36" s="974" t="s">
        <v>283</v>
      </c>
      <c r="D36" s="897" t="s">
        <v>284</v>
      </c>
      <c r="E36" s="986"/>
      <c r="F36" s="951" t="s">
        <v>216</v>
      </c>
      <c r="G36" s="897" t="s">
        <v>217</v>
      </c>
      <c r="H36" s="897"/>
      <c r="I36" s="897"/>
      <c r="J36" s="897"/>
      <c r="K36" s="897"/>
      <c r="L36" s="1012"/>
      <c r="M36" s="902" t="s">
        <v>218</v>
      </c>
      <c r="N36" s="143"/>
      <c r="O36" s="896" t="s">
        <v>219</v>
      </c>
      <c r="P36" s="897"/>
      <c r="Q36" s="897"/>
      <c r="R36" s="897"/>
      <c r="S36" s="897"/>
      <c r="T36" s="897"/>
      <c r="U36" s="902" t="s">
        <v>220</v>
      </c>
      <c r="V36" s="144"/>
      <c r="W36" s="961"/>
      <c r="X36" s="953"/>
      <c r="Y36" s="898"/>
      <c r="Z36" s="898"/>
      <c r="AA36" s="898"/>
      <c r="AB36" s="900"/>
      <c r="AC36" s="953"/>
      <c r="AD36" s="900"/>
      <c r="AE36" s="1010"/>
      <c r="AF36" s="357"/>
      <c r="AM36" s="1014"/>
      <c r="AN36" s="920" t="s">
        <v>283</v>
      </c>
      <c r="AO36" s="862" t="s">
        <v>284</v>
      </c>
      <c r="AP36" s="863"/>
      <c r="AQ36" s="864"/>
      <c r="AR36" s="862" t="s">
        <v>284</v>
      </c>
      <c r="AS36" s="863"/>
      <c r="AT36" s="864"/>
      <c r="AU36" s="865" t="s">
        <v>221</v>
      </c>
      <c r="AV36" s="866"/>
      <c r="AW36" s="867"/>
      <c r="AX36" s="909" t="s">
        <v>217</v>
      </c>
      <c r="AY36" s="911"/>
      <c r="AZ36" s="911"/>
      <c r="BA36" s="911"/>
      <c r="BB36" s="911"/>
      <c r="BC36" s="911"/>
      <c r="BD36" s="911"/>
      <c r="BE36" s="911"/>
      <c r="BF36" s="911"/>
      <c r="BG36" s="911"/>
      <c r="BH36" s="911"/>
      <c r="BI36" s="911"/>
      <c r="BJ36" s="911"/>
      <c r="BK36" s="911"/>
      <c r="BL36" s="911"/>
      <c r="BM36" s="912"/>
      <c r="BN36" s="937" t="s">
        <v>222</v>
      </c>
      <c r="BO36" s="145"/>
      <c r="BP36" s="909" t="s">
        <v>223</v>
      </c>
      <c r="BQ36" s="910"/>
      <c r="BR36" s="910"/>
      <c r="BS36" s="911"/>
      <c r="BT36" s="911"/>
      <c r="BU36" s="911"/>
      <c r="BV36" s="911"/>
      <c r="BW36" s="911"/>
      <c r="BX36" s="911"/>
      <c r="BY36" s="911"/>
      <c r="BZ36" s="911"/>
      <c r="CA36" s="911"/>
      <c r="CB36" s="911"/>
      <c r="CC36" s="911"/>
      <c r="CD36" s="911"/>
      <c r="CE36" s="912"/>
      <c r="CF36" s="813" t="s">
        <v>224</v>
      </c>
      <c r="CG36" s="814"/>
      <c r="CH36" s="815"/>
      <c r="CI36" s="146"/>
      <c r="CJ36" s="923"/>
      <c r="CK36" s="819" t="s">
        <v>161</v>
      </c>
      <c r="CL36" s="821" t="s">
        <v>68</v>
      </c>
      <c r="CM36" s="823" t="s">
        <v>162</v>
      </c>
      <c r="CN36" s="819" t="s">
        <v>161</v>
      </c>
      <c r="CO36" s="821" t="s">
        <v>68</v>
      </c>
      <c r="CP36" s="823" t="s">
        <v>162</v>
      </c>
      <c r="CQ36" s="886"/>
      <c r="CR36" s="819" t="s">
        <v>161</v>
      </c>
      <c r="CS36" s="821" t="s">
        <v>68</v>
      </c>
      <c r="CT36" s="823" t="s">
        <v>162</v>
      </c>
      <c r="CU36" s="819" t="s">
        <v>161</v>
      </c>
      <c r="CV36" s="821" t="s">
        <v>68</v>
      </c>
      <c r="CW36" s="823" t="s">
        <v>162</v>
      </c>
      <c r="CX36" s="849"/>
      <c r="CY36" s="839"/>
    </row>
    <row r="37" spans="2:128" ht="45" customHeight="1" thickBot="1" x14ac:dyDescent="0.3">
      <c r="B37" s="972"/>
      <c r="C37" s="975"/>
      <c r="D37" s="329" t="s">
        <v>285</v>
      </c>
      <c r="E37" s="330" t="s">
        <v>286</v>
      </c>
      <c r="F37" s="952"/>
      <c r="G37" s="310" t="s">
        <v>225</v>
      </c>
      <c r="H37" s="310" t="s">
        <v>226</v>
      </c>
      <c r="I37" s="310" t="s">
        <v>227</v>
      </c>
      <c r="J37" s="310" t="s">
        <v>228</v>
      </c>
      <c r="K37" s="310" t="s">
        <v>229</v>
      </c>
      <c r="L37" s="311" t="s">
        <v>230</v>
      </c>
      <c r="M37" s="903"/>
      <c r="N37" s="147"/>
      <c r="O37" s="319" t="s">
        <v>231</v>
      </c>
      <c r="P37" s="310" t="s">
        <v>232</v>
      </c>
      <c r="Q37" s="310" t="s">
        <v>233</v>
      </c>
      <c r="R37" s="310" t="s">
        <v>234</v>
      </c>
      <c r="S37" s="310" t="s">
        <v>235</v>
      </c>
      <c r="T37" s="310" t="s">
        <v>236</v>
      </c>
      <c r="U37" s="903"/>
      <c r="V37" s="148"/>
      <c r="W37" s="962"/>
      <c r="X37" s="954"/>
      <c r="Y37" s="899"/>
      <c r="Z37" s="899"/>
      <c r="AA37" s="899"/>
      <c r="AB37" s="901"/>
      <c r="AC37" s="954"/>
      <c r="AD37" s="901"/>
      <c r="AE37" s="1011"/>
      <c r="AF37" s="357"/>
      <c r="AM37" s="1014"/>
      <c r="AN37" s="921"/>
      <c r="AO37" s="149" t="s">
        <v>287</v>
      </c>
      <c r="AP37" s="557" t="s">
        <v>288</v>
      </c>
      <c r="AQ37" s="150" t="s">
        <v>162</v>
      </c>
      <c r="AR37" s="149" t="s">
        <v>289</v>
      </c>
      <c r="AS37" s="557" t="s">
        <v>290</v>
      </c>
      <c r="AT37" s="150" t="s">
        <v>162</v>
      </c>
      <c r="AU37" s="149" t="s">
        <v>161</v>
      </c>
      <c r="AV37" s="554" t="s">
        <v>68</v>
      </c>
      <c r="AW37" s="150" t="s">
        <v>162</v>
      </c>
      <c r="AX37" s="151" t="s">
        <v>238</v>
      </c>
      <c r="AY37" s="555" t="s">
        <v>239</v>
      </c>
      <c r="AZ37" s="152" t="s">
        <v>240</v>
      </c>
      <c r="BA37" s="152" t="s">
        <v>241</v>
      </c>
      <c r="BB37" s="555" t="s">
        <v>242</v>
      </c>
      <c r="BC37" s="152" t="s">
        <v>243</v>
      </c>
      <c r="BD37" s="152" t="s">
        <v>244</v>
      </c>
      <c r="BE37" s="555" t="s">
        <v>245</v>
      </c>
      <c r="BF37" s="152" t="s">
        <v>246</v>
      </c>
      <c r="BG37" s="152" t="s">
        <v>247</v>
      </c>
      <c r="BH37" s="555" t="s">
        <v>248</v>
      </c>
      <c r="BI37" s="152" t="s">
        <v>249</v>
      </c>
      <c r="BJ37" s="152" t="s">
        <v>250</v>
      </c>
      <c r="BK37" s="555" t="s">
        <v>251</v>
      </c>
      <c r="BL37" s="152" t="s">
        <v>252</v>
      </c>
      <c r="BM37" s="373" t="s">
        <v>253</v>
      </c>
      <c r="BN37" s="938"/>
      <c r="BO37" s="154"/>
      <c r="BP37" s="151" t="s">
        <v>254</v>
      </c>
      <c r="BQ37" s="555" t="s">
        <v>255</v>
      </c>
      <c r="BR37" s="152" t="s">
        <v>256</v>
      </c>
      <c r="BS37" s="152" t="s">
        <v>257</v>
      </c>
      <c r="BT37" s="555" t="s">
        <v>258</v>
      </c>
      <c r="BU37" s="152" t="s">
        <v>259</v>
      </c>
      <c r="BV37" s="152" t="s">
        <v>260</v>
      </c>
      <c r="BW37" s="555" t="s">
        <v>261</v>
      </c>
      <c r="BX37" s="152" t="s">
        <v>262</v>
      </c>
      <c r="BY37" s="152" t="s">
        <v>263</v>
      </c>
      <c r="BZ37" s="555" t="s">
        <v>264</v>
      </c>
      <c r="CA37" s="152" t="s">
        <v>265</v>
      </c>
      <c r="CB37" s="152" t="s">
        <v>266</v>
      </c>
      <c r="CC37" s="555" t="s">
        <v>267</v>
      </c>
      <c r="CD37" s="152" t="s">
        <v>268</v>
      </c>
      <c r="CE37" s="373" t="s">
        <v>269</v>
      </c>
      <c r="CF37" s="155" t="s">
        <v>161</v>
      </c>
      <c r="CG37" s="556" t="s">
        <v>68</v>
      </c>
      <c r="CH37" s="156" t="s">
        <v>162</v>
      </c>
      <c r="CI37" s="157"/>
      <c r="CJ37" s="924"/>
      <c r="CK37" s="820"/>
      <c r="CL37" s="822"/>
      <c r="CM37" s="824"/>
      <c r="CN37" s="820"/>
      <c r="CO37" s="822"/>
      <c r="CP37" s="824"/>
      <c r="CQ37" s="887"/>
      <c r="CR37" s="820"/>
      <c r="CS37" s="822"/>
      <c r="CT37" s="824"/>
      <c r="CU37" s="820"/>
      <c r="CV37" s="822"/>
      <c r="CW37" s="824"/>
      <c r="CX37" s="848"/>
      <c r="CY37" s="840" t="s">
        <v>68</v>
      </c>
      <c r="DD37" s="55" t="s">
        <v>164</v>
      </c>
      <c r="DE37" s="55" t="s">
        <v>165</v>
      </c>
      <c r="DF37" s="55" t="s">
        <v>166</v>
      </c>
      <c r="DG37" s="55" t="s">
        <v>167</v>
      </c>
      <c r="DH37" s="55" t="s">
        <v>168</v>
      </c>
      <c r="DI37" s="55" t="s">
        <v>169</v>
      </c>
      <c r="DJ37" s="55" t="s">
        <v>170</v>
      </c>
      <c r="DK37" s="55" t="s">
        <v>171</v>
      </c>
      <c r="DL37" s="55" t="s">
        <v>172</v>
      </c>
      <c r="DM37" s="55" t="s">
        <v>173</v>
      </c>
      <c r="DN37" s="55" t="s">
        <v>174</v>
      </c>
      <c r="DO37" s="55" t="s">
        <v>175</v>
      </c>
      <c r="DP37" s="55" t="s">
        <v>176</v>
      </c>
      <c r="DQ37" s="55" t="s">
        <v>177</v>
      </c>
      <c r="DR37" s="55" t="s">
        <v>178</v>
      </c>
      <c r="DS37" s="55" t="s">
        <v>179</v>
      </c>
      <c r="DT37" s="55" t="s">
        <v>180</v>
      </c>
      <c r="DU37" s="55" t="s">
        <v>181</v>
      </c>
    </row>
    <row r="38" spans="2:128" ht="30" customHeight="1" x14ac:dyDescent="0.25">
      <c r="B38" s="972"/>
      <c r="C38" s="331"/>
      <c r="D38" s="164"/>
      <c r="E38" s="165"/>
      <c r="F38" s="159"/>
      <c r="G38" s="160"/>
      <c r="H38" s="160"/>
      <c r="I38" s="160"/>
      <c r="J38" s="160"/>
      <c r="K38" s="160"/>
      <c r="L38" s="180">
        <f>SUM(G38:K38)</f>
        <v>0</v>
      </c>
      <c r="M38" s="257">
        <f>F38+L38</f>
        <v>0</v>
      </c>
      <c r="N38" s="247"/>
      <c r="O38" s="248"/>
      <c r="P38" s="249"/>
      <c r="Q38" s="249"/>
      <c r="R38" s="249"/>
      <c r="S38" s="249"/>
      <c r="T38" s="180">
        <f>SUM(O38:S38)</f>
        <v>0</v>
      </c>
      <c r="U38" s="299"/>
      <c r="V38" s="163"/>
      <c r="W38" s="183">
        <f>M38+T38+U38</f>
        <v>0</v>
      </c>
      <c r="X38" s="248"/>
      <c r="Y38" s="249"/>
      <c r="Z38" s="173">
        <f>F38+L38+T38+U38-X38-Y38</f>
        <v>0</v>
      </c>
      <c r="AA38" s="164"/>
      <c r="AB38" s="165"/>
      <c r="AC38" s="320"/>
      <c r="AD38" s="321"/>
      <c r="AE38" s="251"/>
      <c r="AF38" s="357"/>
      <c r="AG38" s="53">
        <f>IF(AND(AA38&lt;&gt;"",OR(AA38&lt;EXPEDIENTE!$I$25,AA38&gt;EXPEDIENTE!$I$29)),1,0)</f>
        <v>0</v>
      </c>
      <c r="AH38" s="53">
        <f>IF(AND(AB38&lt;&gt;"",OR(AB38&lt;EXPEDIENTE!$I$25,AB38&gt;EXPEDIENTE!$I$29)),1,0)</f>
        <v>0</v>
      </c>
      <c r="AM38" s="1014"/>
      <c r="AN38" s="558" t="str">
        <f t="shared" ref="AN38:AO45" si="73">IF(C38="","",C38)</f>
        <v/>
      </c>
      <c r="AO38" s="252" t="str">
        <f>IF(D38="","",D38)</f>
        <v/>
      </c>
      <c r="AP38" s="253"/>
      <c r="AQ38" s="254" t="str">
        <f>IF(AP38="",AO38,AP38)</f>
        <v/>
      </c>
      <c r="AR38" s="252" t="str">
        <f t="shared" ref="AR38:AR45" si="74">IF(E38="","",E38)</f>
        <v/>
      </c>
      <c r="AS38" s="253"/>
      <c r="AT38" s="254" t="str">
        <f>IF(AS38="",AR38,AS38)</f>
        <v/>
      </c>
      <c r="AU38" s="170">
        <f t="shared" ref="AU38:AU45" si="75">IF(F38="",0,F38)</f>
        <v>0</v>
      </c>
      <c r="AV38" s="171"/>
      <c r="AW38" s="172">
        <f>IF(AV38="",AU38,AV38)</f>
        <v>0</v>
      </c>
      <c r="AX38" s="170">
        <f t="shared" ref="AX38:AX45" si="76">IF(G38="",0,G38)</f>
        <v>0</v>
      </c>
      <c r="AY38" s="173"/>
      <c r="AZ38" s="174">
        <f>IF(AY38="",AX38,AY38)</f>
        <v>0</v>
      </c>
      <c r="BA38" s="174">
        <f t="shared" ref="BA38:BA45" si="77">IF(H38="",0,H38)</f>
        <v>0</v>
      </c>
      <c r="BB38" s="173"/>
      <c r="BC38" s="174">
        <f>IF(BB38="",BA38,BB38)</f>
        <v>0</v>
      </c>
      <c r="BD38" s="174">
        <f t="shared" ref="BD38:BD45" si="78">IF(I38="",0,I38)</f>
        <v>0</v>
      </c>
      <c r="BE38" s="173"/>
      <c r="BF38" s="174">
        <f>IF(BE38="",BD38,BE38)</f>
        <v>0</v>
      </c>
      <c r="BG38" s="174">
        <f t="shared" ref="BG38:BG45" si="79">IF(J38="",0,J38)</f>
        <v>0</v>
      </c>
      <c r="BH38" s="173"/>
      <c r="BI38" s="174">
        <f>IF(BH38="",BG38,BH38)</f>
        <v>0</v>
      </c>
      <c r="BJ38" s="174">
        <f t="shared" ref="BJ38:BJ45" si="80">IF(K38="",0,K38)</f>
        <v>0</v>
      </c>
      <c r="BK38" s="173"/>
      <c r="BL38" s="174">
        <f>IF(BK38="",BJ38,BK38)</f>
        <v>0</v>
      </c>
      <c r="BM38" s="175">
        <f>AZ38+BC38+BF38+BI38+BL38</f>
        <v>0</v>
      </c>
      <c r="BN38" s="176">
        <f>AW38+BM38</f>
        <v>0</v>
      </c>
      <c r="BO38" s="255"/>
      <c r="BP38" s="170">
        <f t="shared" ref="BP38:BP45" si="81">IF(O38="",0,O38)</f>
        <v>0</v>
      </c>
      <c r="BQ38" s="256"/>
      <c r="BR38" s="178">
        <f>IF(BQ38="",BP38,BQ38)</f>
        <v>0</v>
      </c>
      <c r="BS38" s="174">
        <f t="shared" ref="BS38:BS45" si="82">IF(P38="",0,P38)</f>
        <v>0</v>
      </c>
      <c r="BT38" s="180"/>
      <c r="BU38" s="174">
        <f>IF(BT38="",BS38,BT38)</f>
        <v>0</v>
      </c>
      <c r="BV38" s="174">
        <f t="shared" ref="BV38:BV45" si="83">IF(Q38="",0,Q38)</f>
        <v>0</v>
      </c>
      <c r="BW38" s="180"/>
      <c r="BX38" s="174">
        <f>IF(BW38="",BV38,BW38)</f>
        <v>0</v>
      </c>
      <c r="BY38" s="174">
        <f t="shared" ref="BY38:BY45" si="84">IF(R38="",0,R38)</f>
        <v>0</v>
      </c>
      <c r="BZ38" s="180"/>
      <c r="CA38" s="174">
        <f>IF(BZ38="",BY38,BZ38)</f>
        <v>0</v>
      </c>
      <c r="CB38" s="174">
        <f t="shared" ref="CB38:CB45" si="85">IF(S38="",0,S38)</f>
        <v>0</v>
      </c>
      <c r="CC38" s="180"/>
      <c r="CD38" s="174">
        <f>IF(CC38="",CB38,CC38)</f>
        <v>0</v>
      </c>
      <c r="CE38" s="257">
        <f>BR38+BU38+BX38+CA38+CD38</f>
        <v>0</v>
      </c>
      <c r="CF38" s="179">
        <f t="shared" ref="CF38:CF45" si="86">IF(U38="",0,U38)</f>
        <v>0</v>
      </c>
      <c r="CG38" s="180"/>
      <c r="CH38" s="181">
        <f>IF(CG38="",CF38,CG38)</f>
        <v>0</v>
      </c>
      <c r="CI38" s="182"/>
      <c r="CJ38" s="183">
        <f>BN38+CE38+CH38</f>
        <v>0</v>
      </c>
      <c r="CK38" s="179">
        <f t="shared" ref="CK38:CK45" si="87">IF(X38="",0,X38)</f>
        <v>0</v>
      </c>
      <c r="CL38" s="256"/>
      <c r="CM38" s="258">
        <f>IF(CL38="",CK38,CL38)</f>
        <v>0</v>
      </c>
      <c r="CN38" s="179">
        <f t="shared" ref="CN38:CN45" si="88">IF(Y38="",0,Y38)</f>
        <v>0</v>
      </c>
      <c r="CO38" s="180"/>
      <c r="CP38" s="181">
        <f>IF(CO38="",CN38,CO38)</f>
        <v>0</v>
      </c>
      <c r="CQ38" s="183">
        <f>AW38+BM38+CE38+CH38-CM38-CP38</f>
        <v>0</v>
      </c>
      <c r="CR38" s="252" t="str">
        <f t="shared" ref="CR38:CR45" si="89">IF(AA38="","",AA38)</f>
        <v/>
      </c>
      <c r="CS38" s="259"/>
      <c r="CT38" s="254" t="str">
        <f>IF(CS38="",CR38,CS38)</f>
        <v/>
      </c>
      <c r="CU38" s="252" t="str">
        <f t="shared" ref="CU38:CU45" si="90">IF(AB38="","",AB38)</f>
        <v/>
      </c>
      <c r="CV38" s="259"/>
      <c r="CW38" s="254" t="str">
        <f>IF(CV38="",CU38,CV38)</f>
        <v/>
      </c>
      <c r="CX38" s="191" t="str">
        <f>IF(DD38=0,"",DD38)</f>
        <v/>
      </c>
      <c r="CY38" s="192"/>
      <c r="DA38" s="53">
        <f>IF(AND(CT38&lt;&gt;"",OR(CT38&lt;EXPEDIENTE!$I$25,CT38&gt;EXPEDIENTE!$I$29)),1,0)</f>
        <v>0</v>
      </c>
      <c r="DB38" s="53">
        <f>IF(AND(CW38&lt;&gt;"",OR(CW38&lt;EXPEDIENTE!$I$25,CW38&gt;EXPEDIENTE!$I$29)),1,0)</f>
        <v>0</v>
      </c>
      <c r="DD38" s="55">
        <f t="shared" ref="DD38:DD45" si="91">SUM(DE38:DU38)</f>
        <v>0</v>
      </c>
      <c r="DE38" s="55">
        <f>IF(AS38="",0,1)</f>
        <v>0</v>
      </c>
      <c r="DF38" s="55">
        <f>IF(AV38="",0,1)</f>
        <v>0</v>
      </c>
      <c r="DG38" s="55">
        <f>IF(AY38="",0,1)</f>
        <v>0</v>
      </c>
      <c r="DH38" s="55">
        <f>IF(BB38="",0,1)</f>
        <v>0</v>
      </c>
      <c r="DI38" s="55">
        <f>IF(BE38="",0,1)</f>
        <v>0</v>
      </c>
      <c r="DJ38" s="55">
        <f>IF(BH38="",0,1)</f>
        <v>0</v>
      </c>
      <c r="DK38" s="55">
        <f>IF(BK38="",0,1)</f>
        <v>0</v>
      </c>
      <c r="DL38" s="55">
        <f>IF(BQ38="",0,1)</f>
        <v>0</v>
      </c>
      <c r="DM38" s="55">
        <f>IF(BT38="",0,1)</f>
        <v>0</v>
      </c>
      <c r="DN38" s="55">
        <f>IF(BW38="",0,1)</f>
        <v>0</v>
      </c>
      <c r="DO38" s="55">
        <f>IF(BZ38="",0,1)</f>
        <v>0</v>
      </c>
      <c r="DP38" s="55">
        <f>IF(CC38="",0,1)</f>
        <v>0</v>
      </c>
      <c r="DQ38" s="55">
        <f>IF(CG38="",0,1)</f>
        <v>0</v>
      </c>
      <c r="DR38" s="55">
        <f>IF(CL38="",0,1)</f>
        <v>0</v>
      </c>
      <c r="DS38" s="55">
        <f>IF(CO38="",0,1)</f>
        <v>0</v>
      </c>
      <c r="DT38" s="55">
        <f>IF(CS38="",0,1)</f>
        <v>0</v>
      </c>
      <c r="DU38" s="55">
        <f>IF(CV38="",0,1)</f>
        <v>0</v>
      </c>
      <c r="DW38" s="55">
        <f>IF(CY38&lt;&gt;"",MAX($DW$9:DW37)+1,0)</f>
        <v>0</v>
      </c>
      <c r="DX38" s="130" t="str">
        <f t="shared" ref="DX38:DX45" si="92">IF(DW38=0,"",CY38)</f>
        <v/>
      </c>
    </row>
    <row r="39" spans="2:128" ht="30" customHeight="1" x14ac:dyDescent="0.25">
      <c r="B39" s="972"/>
      <c r="C39" s="332"/>
      <c r="D39" s="73"/>
      <c r="E39" s="260"/>
      <c r="F39" s="194"/>
      <c r="G39" s="195"/>
      <c r="H39" s="195"/>
      <c r="I39" s="195"/>
      <c r="J39" s="195"/>
      <c r="K39" s="195"/>
      <c r="L39" s="203">
        <f>SUM(G39:K39)</f>
        <v>0</v>
      </c>
      <c r="M39" s="175">
        <f t="shared" ref="M39:M45" si="93">F39+L39</f>
        <v>0</v>
      </c>
      <c r="N39" s="247"/>
      <c r="O39" s="194"/>
      <c r="P39" s="195"/>
      <c r="Q39" s="195"/>
      <c r="R39" s="195"/>
      <c r="S39" s="195"/>
      <c r="T39" s="203">
        <f t="shared" ref="T39:T45" si="94">SUM(O39:S39)</f>
        <v>0</v>
      </c>
      <c r="U39" s="300"/>
      <c r="V39" s="163"/>
      <c r="W39" s="208">
        <f t="shared" ref="W39:W45" si="95">M39+T39+U39</f>
        <v>0</v>
      </c>
      <c r="X39" s="194"/>
      <c r="Y39" s="195"/>
      <c r="Z39" s="173">
        <f t="shared" ref="Z39:Z45" si="96">F39+L39+T39+U39-X39-Y39</f>
        <v>0</v>
      </c>
      <c r="AA39" s="164"/>
      <c r="AB39" s="165"/>
      <c r="AC39" s="322"/>
      <c r="AD39" s="323"/>
      <c r="AE39" s="261"/>
      <c r="AF39" s="357"/>
      <c r="AG39" s="53">
        <f>IF(AND(AA39&lt;&gt;"",OR(AA39&lt;EXPEDIENTE!$I$25,AA39&gt;EXPEDIENTE!$I$29)),1,0)</f>
        <v>0</v>
      </c>
      <c r="AH39" s="53">
        <f>IF(AND(AB39&lt;&gt;"",OR(AB39&lt;EXPEDIENTE!$I$25,AB39&gt;EXPEDIENTE!$I$29)),1,0)</f>
        <v>0</v>
      </c>
      <c r="AM39" s="1014"/>
      <c r="AN39" s="559" t="str">
        <f t="shared" si="73"/>
        <v/>
      </c>
      <c r="AO39" s="188" t="str">
        <f t="shared" si="73"/>
        <v/>
      </c>
      <c r="AP39" s="189"/>
      <c r="AQ39" s="190" t="str">
        <f t="shared" ref="AQ39:AQ45" si="97">IF(AP39="",AO39,AP39)</f>
        <v/>
      </c>
      <c r="AR39" s="188" t="str">
        <f t="shared" si="74"/>
        <v/>
      </c>
      <c r="AS39" s="189"/>
      <c r="AT39" s="190" t="str">
        <f t="shared" ref="AT39:AT45" si="98">IF(AS39="",AR39,AS39)</f>
        <v/>
      </c>
      <c r="AU39" s="170">
        <f t="shared" si="75"/>
        <v>0</v>
      </c>
      <c r="AV39" s="201"/>
      <c r="AW39" s="202">
        <f t="shared" ref="AW39:AW45" si="99">IF(AV39="",AU39,AV39)</f>
        <v>0</v>
      </c>
      <c r="AX39" s="200">
        <f t="shared" si="76"/>
        <v>0</v>
      </c>
      <c r="AY39" s="203"/>
      <c r="AZ39" s="204">
        <f t="shared" ref="AZ39:AZ45" si="100">IF(AY39="",AX39,AY39)</f>
        <v>0</v>
      </c>
      <c r="BA39" s="204">
        <f t="shared" si="77"/>
        <v>0</v>
      </c>
      <c r="BB39" s="203"/>
      <c r="BC39" s="204">
        <f t="shared" ref="BC39:BC45" si="101">IF(BB39="",BA39,BB39)</f>
        <v>0</v>
      </c>
      <c r="BD39" s="204">
        <f t="shared" si="78"/>
        <v>0</v>
      </c>
      <c r="BE39" s="203"/>
      <c r="BF39" s="204">
        <f t="shared" ref="BF39:BF45" si="102">IF(BE39="",BD39,BE39)</f>
        <v>0</v>
      </c>
      <c r="BG39" s="204">
        <f t="shared" si="79"/>
        <v>0</v>
      </c>
      <c r="BH39" s="203"/>
      <c r="BI39" s="204">
        <f t="shared" ref="BI39:BI45" si="103">IF(BH39="",BG39,BH39)</f>
        <v>0</v>
      </c>
      <c r="BJ39" s="204">
        <f t="shared" si="80"/>
        <v>0</v>
      </c>
      <c r="BK39" s="203"/>
      <c r="BL39" s="204">
        <f t="shared" ref="BL39:BL45" si="104">IF(BK39="",BJ39,BK39)</f>
        <v>0</v>
      </c>
      <c r="BM39" s="175">
        <f t="shared" ref="BM39:BM45" si="105">AZ39+BC39+BF39+BI39+BL39</f>
        <v>0</v>
      </c>
      <c r="BN39" s="205">
        <f t="shared" ref="BN39:BN45" si="106">AW39+BM39</f>
        <v>0</v>
      </c>
      <c r="BO39" s="255"/>
      <c r="BP39" s="200">
        <f t="shared" si="81"/>
        <v>0</v>
      </c>
      <c r="BQ39" s="201"/>
      <c r="BR39" s="206">
        <f t="shared" ref="BR39:BR45" si="107">IF(BQ39="",BP39,BQ39)</f>
        <v>0</v>
      </c>
      <c r="BS39" s="204">
        <f t="shared" si="82"/>
        <v>0</v>
      </c>
      <c r="BT39" s="203"/>
      <c r="BU39" s="204">
        <f t="shared" ref="BU39:BU45" si="108">IF(BT39="",BS39,BT39)</f>
        <v>0</v>
      </c>
      <c r="BV39" s="204">
        <f t="shared" si="83"/>
        <v>0</v>
      </c>
      <c r="BW39" s="203"/>
      <c r="BX39" s="204">
        <f t="shared" ref="BX39:BX45" si="109">IF(BW39="",BV39,BW39)</f>
        <v>0</v>
      </c>
      <c r="BY39" s="204">
        <f t="shared" si="84"/>
        <v>0</v>
      </c>
      <c r="BZ39" s="203"/>
      <c r="CA39" s="204">
        <f t="shared" ref="CA39:CA45" si="110">IF(BZ39="",BY39,BZ39)</f>
        <v>0</v>
      </c>
      <c r="CB39" s="204">
        <f t="shared" si="85"/>
        <v>0</v>
      </c>
      <c r="CC39" s="203"/>
      <c r="CD39" s="204">
        <f t="shared" ref="CD39:CD45" si="111">IF(CC39="",CB39,CC39)</f>
        <v>0</v>
      </c>
      <c r="CE39" s="175">
        <f t="shared" ref="CE39:CE45" si="112">BR39+BU39+BX39+CA39+CD39</f>
        <v>0</v>
      </c>
      <c r="CF39" s="200">
        <f t="shared" si="86"/>
        <v>0</v>
      </c>
      <c r="CG39" s="203"/>
      <c r="CH39" s="207">
        <f t="shared" ref="CH39:CH45" si="113">IF(CG39="",CF39,CG39)</f>
        <v>0</v>
      </c>
      <c r="CI39" s="182"/>
      <c r="CJ39" s="208">
        <f t="shared" ref="CJ39:CJ45" si="114">BN39+CE39+CH39</f>
        <v>0</v>
      </c>
      <c r="CK39" s="200">
        <f t="shared" si="87"/>
        <v>0</v>
      </c>
      <c r="CL39" s="201"/>
      <c r="CM39" s="202">
        <f t="shared" ref="CM39:CM45" si="115">IF(CL39="",CK39,CL39)</f>
        <v>0</v>
      </c>
      <c r="CN39" s="200">
        <f t="shared" si="88"/>
        <v>0</v>
      </c>
      <c r="CO39" s="173"/>
      <c r="CP39" s="262">
        <f t="shared" ref="CP39:CP45" si="116">IF(CO39="",CN39,CO39)</f>
        <v>0</v>
      </c>
      <c r="CQ39" s="184">
        <f t="shared" ref="CQ39:CQ45" si="117">AW39+BM39+CE39+CH39-CM39-CP39</f>
        <v>0</v>
      </c>
      <c r="CR39" s="188" t="str">
        <f t="shared" si="89"/>
        <v/>
      </c>
      <c r="CS39" s="189"/>
      <c r="CT39" s="190" t="str">
        <f t="shared" ref="CT39:CT45" si="118">IF(CS39="",CR39,CS39)</f>
        <v/>
      </c>
      <c r="CU39" s="188" t="str">
        <f t="shared" si="90"/>
        <v/>
      </c>
      <c r="CV39" s="189"/>
      <c r="CW39" s="190" t="str">
        <f t="shared" ref="CW39:CW45" si="119">IF(CV39="",CU39,CV39)</f>
        <v/>
      </c>
      <c r="CX39" s="209" t="str">
        <f t="shared" ref="CX39:CX45" si="120">IF(DD39=0,"",DD39)</f>
        <v/>
      </c>
      <c r="CY39" s="210"/>
      <c r="DA39" s="53">
        <f>IF(AND(CT39&lt;&gt;"",OR(CT39&lt;EXPEDIENTE!$I$25,CT39&gt;EXPEDIENTE!$I$29)),1,0)</f>
        <v>0</v>
      </c>
      <c r="DB39" s="53">
        <f>IF(AND(CW39&lt;&gt;"",OR(CW39&lt;EXPEDIENTE!$I$25,CW39&gt;EXPEDIENTE!$I$29)),1,0)</f>
        <v>0</v>
      </c>
      <c r="DD39" s="55">
        <f t="shared" si="91"/>
        <v>0</v>
      </c>
      <c r="DE39" s="55">
        <f t="shared" ref="DE39:DE45" si="121">IF(AS39="",0,1)</f>
        <v>0</v>
      </c>
      <c r="DF39" s="55">
        <f t="shared" ref="DF39:DF45" si="122">IF(AV39="",0,1)</f>
        <v>0</v>
      </c>
      <c r="DG39" s="55">
        <f t="shared" ref="DG39:DG45" si="123">IF(AY39="",0,1)</f>
        <v>0</v>
      </c>
      <c r="DH39" s="55">
        <f t="shared" ref="DH39:DH45" si="124">IF(BB39="",0,1)</f>
        <v>0</v>
      </c>
      <c r="DI39" s="55">
        <f t="shared" ref="DI39:DI45" si="125">IF(BE39="",0,1)</f>
        <v>0</v>
      </c>
      <c r="DJ39" s="55">
        <f t="shared" ref="DJ39:DJ45" si="126">IF(BH39="",0,1)</f>
        <v>0</v>
      </c>
      <c r="DK39" s="55">
        <f t="shared" ref="DK39:DK45" si="127">IF(BK39="",0,1)</f>
        <v>0</v>
      </c>
      <c r="DL39" s="55">
        <f t="shared" ref="DL39:DL45" si="128">IF(BQ39="",0,1)</f>
        <v>0</v>
      </c>
      <c r="DM39" s="55">
        <f t="shared" ref="DM39:DM45" si="129">IF(BT39="",0,1)</f>
        <v>0</v>
      </c>
      <c r="DN39" s="55">
        <f t="shared" ref="DN39:DN45" si="130">IF(BW39="",0,1)</f>
        <v>0</v>
      </c>
      <c r="DO39" s="55">
        <f t="shared" ref="DO39:DO45" si="131">IF(BZ39="",0,1)</f>
        <v>0</v>
      </c>
      <c r="DP39" s="55">
        <f t="shared" ref="DP39:DP45" si="132">IF(CC39="",0,1)</f>
        <v>0</v>
      </c>
      <c r="DQ39" s="55">
        <f t="shared" ref="DQ39:DQ45" si="133">IF(CG39="",0,1)</f>
        <v>0</v>
      </c>
      <c r="DR39" s="55">
        <f t="shared" ref="DR39:DR45" si="134">IF(CL39="",0,1)</f>
        <v>0</v>
      </c>
      <c r="DS39" s="55">
        <f t="shared" ref="DS39:DS45" si="135">IF(CO39="",0,1)</f>
        <v>0</v>
      </c>
      <c r="DT39" s="55">
        <f t="shared" ref="DT39:DT45" si="136">IF(CS39="",0,1)</f>
        <v>0</v>
      </c>
      <c r="DU39" s="55">
        <f t="shared" ref="DU39:DU45" si="137">IF(CV39="",0,1)</f>
        <v>0</v>
      </c>
      <c r="DW39" s="55">
        <f>IF(CY39&lt;&gt;"",MAX($DW$9:DW38)+1,0)</f>
        <v>0</v>
      </c>
      <c r="DX39" s="130" t="str">
        <f t="shared" si="92"/>
        <v/>
      </c>
    </row>
    <row r="40" spans="2:128" ht="30" customHeight="1" x14ac:dyDescent="0.25">
      <c r="B40" s="972"/>
      <c r="C40" s="332"/>
      <c r="D40" s="73"/>
      <c r="E40" s="260"/>
      <c r="F40" s="194"/>
      <c r="G40" s="195"/>
      <c r="H40" s="195"/>
      <c r="I40" s="195"/>
      <c r="J40" s="195"/>
      <c r="K40" s="195"/>
      <c r="L40" s="203">
        <f t="shared" ref="L40:L45" si="138">SUM(G40:K40)</f>
        <v>0</v>
      </c>
      <c r="M40" s="175">
        <f t="shared" si="93"/>
        <v>0</v>
      </c>
      <c r="N40" s="247"/>
      <c r="O40" s="194"/>
      <c r="P40" s="195"/>
      <c r="Q40" s="195"/>
      <c r="R40" s="195"/>
      <c r="S40" s="195"/>
      <c r="T40" s="203">
        <f t="shared" si="94"/>
        <v>0</v>
      </c>
      <c r="U40" s="300"/>
      <c r="V40" s="163"/>
      <c r="W40" s="208">
        <f t="shared" si="95"/>
        <v>0</v>
      </c>
      <c r="X40" s="194"/>
      <c r="Y40" s="195"/>
      <c r="Z40" s="173">
        <f t="shared" si="96"/>
        <v>0</v>
      </c>
      <c r="AA40" s="164"/>
      <c r="AB40" s="165"/>
      <c r="AC40" s="322"/>
      <c r="AD40" s="323"/>
      <c r="AE40" s="261"/>
      <c r="AF40" s="357"/>
      <c r="AG40" s="53">
        <f>IF(AND(AA40&lt;&gt;"",OR(AA40&lt;EXPEDIENTE!$I$25,AA40&gt;EXPEDIENTE!$I$29)),1,0)</f>
        <v>0</v>
      </c>
      <c r="AH40" s="53">
        <f>IF(AND(AB40&lt;&gt;"",OR(AB40&lt;EXPEDIENTE!$I$25,AB40&gt;EXPEDIENTE!$I$29)),1,0)</f>
        <v>0</v>
      </c>
      <c r="AM40" s="1014"/>
      <c r="AN40" s="559" t="str">
        <f t="shared" si="73"/>
        <v/>
      </c>
      <c r="AO40" s="188" t="str">
        <f t="shared" si="73"/>
        <v/>
      </c>
      <c r="AP40" s="189"/>
      <c r="AQ40" s="190" t="str">
        <f t="shared" si="97"/>
        <v/>
      </c>
      <c r="AR40" s="188" t="str">
        <f t="shared" si="74"/>
        <v/>
      </c>
      <c r="AS40" s="189"/>
      <c r="AT40" s="190" t="str">
        <f t="shared" si="98"/>
        <v/>
      </c>
      <c r="AU40" s="170">
        <f t="shared" si="75"/>
        <v>0</v>
      </c>
      <c r="AV40" s="201"/>
      <c r="AW40" s="202">
        <f t="shared" si="99"/>
        <v>0</v>
      </c>
      <c r="AX40" s="200">
        <f t="shared" si="76"/>
        <v>0</v>
      </c>
      <c r="AY40" s="203"/>
      <c r="AZ40" s="204">
        <f t="shared" si="100"/>
        <v>0</v>
      </c>
      <c r="BA40" s="204">
        <f t="shared" si="77"/>
        <v>0</v>
      </c>
      <c r="BB40" s="203"/>
      <c r="BC40" s="204">
        <f t="shared" si="101"/>
        <v>0</v>
      </c>
      <c r="BD40" s="204">
        <f t="shared" si="78"/>
        <v>0</v>
      </c>
      <c r="BE40" s="203"/>
      <c r="BF40" s="204">
        <f t="shared" si="102"/>
        <v>0</v>
      </c>
      <c r="BG40" s="204">
        <f t="shared" si="79"/>
        <v>0</v>
      </c>
      <c r="BH40" s="203"/>
      <c r="BI40" s="204">
        <f t="shared" si="103"/>
        <v>0</v>
      </c>
      <c r="BJ40" s="204">
        <f t="shared" si="80"/>
        <v>0</v>
      </c>
      <c r="BK40" s="203"/>
      <c r="BL40" s="204">
        <f t="shared" si="104"/>
        <v>0</v>
      </c>
      <c r="BM40" s="175">
        <f t="shared" si="105"/>
        <v>0</v>
      </c>
      <c r="BN40" s="205">
        <f t="shared" si="106"/>
        <v>0</v>
      </c>
      <c r="BO40" s="255"/>
      <c r="BP40" s="200">
        <f t="shared" si="81"/>
        <v>0</v>
      </c>
      <c r="BQ40" s="201"/>
      <c r="BR40" s="206">
        <f t="shared" si="107"/>
        <v>0</v>
      </c>
      <c r="BS40" s="204">
        <f t="shared" si="82"/>
        <v>0</v>
      </c>
      <c r="BT40" s="203"/>
      <c r="BU40" s="204">
        <f t="shared" si="108"/>
        <v>0</v>
      </c>
      <c r="BV40" s="204">
        <f t="shared" si="83"/>
        <v>0</v>
      </c>
      <c r="BW40" s="203"/>
      <c r="BX40" s="204">
        <f t="shared" si="109"/>
        <v>0</v>
      </c>
      <c r="BY40" s="204">
        <f t="shared" si="84"/>
        <v>0</v>
      </c>
      <c r="BZ40" s="203"/>
      <c r="CA40" s="204">
        <f t="shared" si="110"/>
        <v>0</v>
      </c>
      <c r="CB40" s="204">
        <f t="shared" si="85"/>
        <v>0</v>
      </c>
      <c r="CC40" s="203"/>
      <c r="CD40" s="204">
        <f t="shared" si="111"/>
        <v>0</v>
      </c>
      <c r="CE40" s="175">
        <f t="shared" si="112"/>
        <v>0</v>
      </c>
      <c r="CF40" s="200">
        <f t="shared" si="86"/>
        <v>0</v>
      </c>
      <c r="CG40" s="203"/>
      <c r="CH40" s="207">
        <f t="shared" si="113"/>
        <v>0</v>
      </c>
      <c r="CI40" s="182"/>
      <c r="CJ40" s="208">
        <f t="shared" si="114"/>
        <v>0</v>
      </c>
      <c r="CK40" s="200">
        <f t="shared" si="87"/>
        <v>0</v>
      </c>
      <c r="CL40" s="201"/>
      <c r="CM40" s="202">
        <f t="shared" si="115"/>
        <v>0</v>
      </c>
      <c r="CN40" s="200">
        <f t="shared" si="88"/>
        <v>0</v>
      </c>
      <c r="CO40" s="173"/>
      <c r="CP40" s="262">
        <f t="shared" si="116"/>
        <v>0</v>
      </c>
      <c r="CQ40" s="184">
        <f t="shared" si="117"/>
        <v>0</v>
      </c>
      <c r="CR40" s="188" t="str">
        <f t="shared" si="89"/>
        <v/>
      </c>
      <c r="CS40" s="189"/>
      <c r="CT40" s="190" t="str">
        <f t="shared" si="118"/>
        <v/>
      </c>
      <c r="CU40" s="188" t="str">
        <f t="shared" si="90"/>
        <v/>
      </c>
      <c r="CV40" s="189"/>
      <c r="CW40" s="190" t="str">
        <f t="shared" si="119"/>
        <v/>
      </c>
      <c r="CX40" s="209" t="str">
        <f t="shared" si="120"/>
        <v/>
      </c>
      <c r="CY40" s="210"/>
      <c r="DA40" s="53">
        <f>IF(AND(CT40&lt;&gt;"",OR(CT40&lt;EXPEDIENTE!$I$25,CT40&gt;EXPEDIENTE!$I$29)),1,0)</f>
        <v>0</v>
      </c>
      <c r="DB40" s="53">
        <f>IF(AND(CW40&lt;&gt;"",OR(CW40&lt;EXPEDIENTE!$I$25,CW40&gt;EXPEDIENTE!$I$29)),1,0)</f>
        <v>0</v>
      </c>
      <c r="DD40" s="55">
        <f t="shared" si="91"/>
        <v>0</v>
      </c>
      <c r="DE40" s="55">
        <f t="shared" si="121"/>
        <v>0</v>
      </c>
      <c r="DF40" s="55">
        <f t="shared" si="122"/>
        <v>0</v>
      </c>
      <c r="DG40" s="55">
        <f t="shared" si="123"/>
        <v>0</v>
      </c>
      <c r="DH40" s="55">
        <f t="shared" si="124"/>
        <v>0</v>
      </c>
      <c r="DI40" s="55">
        <f t="shared" si="125"/>
        <v>0</v>
      </c>
      <c r="DJ40" s="55">
        <f t="shared" si="126"/>
        <v>0</v>
      </c>
      <c r="DK40" s="55">
        <f t="shared" si="127"/>
        <v>0</v>
      </c>
      <c r="DL40" s="55">
        <f t="shared" si="128"/>
        <v>0</v>
      </c>
      <c r="DM40" s="55">
        <f t="shared" si="129"/>
        <v>0</v>
      </c>
      <c r="DN40" s="55">
        <f t="shared" si="130"/>
        <v>0</v>
      </c>
      <c r="DO40" s="55">
        <f t="shared" si="131"/>
        <v>0</v>
      </c>
      <c r="DP40" s="55">
        <f t="shared" si="132"/>
        <v>0</v>
      </c>
      <c r="DQ40" s="55">
        <f t="shared" si="133"/>
        <v>0</v>
      </c>
      <c r="DR40" s="55">
        <f t="shared" si="134"/>
        <v>0</v>
      </c>
      <c r="DS40" s="55">
        <f t="shared" si="135"/>
        <v>0</v>
      </c>
      <c r="DT40" s="55">
        <f t="shared" si="136"/>
        <v>0</v>
      </c>
      <c r="DU40" s="55">
        <f t="shared" si="137"/>
        <v>0</v>
      </c>
      <c r="DW40" s="55">
        <f>IF(CY40&lt;&gt;"",MAX($DW$9:DW39)+1,0)</f>
        <v>0</v>
      </c>
      <c r="DX40" s="130" t="str">
        <f t="shared" si="92"/>
        <v/>
      </c>
    </row>
    <row r="41" spans="2:128" ht="30" customHeight="1" x14ac:dyDescent="0.25">
      <c r="B41" s="972"/>
      <c r="C41" s="332"/>
      <c r="D41" s="73"/>
      <c r="E41" s="260"/>
      <c r="F41" s="194"/>
      <c r="G41" s="195"/>
      <c r="H41" s="195"/>
      <c r="I41" s="195"/>
      <c r="J41" s="195"/>
      <c r="K41" s="195"/>
      <c r="L41" s="203">
        <f t="shared" ref="L41:L43" si="139">SUM(G41:K41)</f>
        <v>0</v>
      </c>
      <c r="M41" s="175">
        <f t="shared" ref="M41:M43" si="140">F41+L41</f>
        <v>0</v>
      </c>
      <c r="N41" s="247"/>
      <c r="O41" s="194"/>
      <c r="P41" s="195"/>
      <c r="Q41" s="195"/>
      <c r="R41" s="195"/>
      <c r="S41" s="195"/>
      <c r="T41" s="203">
        <f t="shared" si="94"/>
        <v>0</v>
      </c>
      <c r="U41" s="300"/>
      <c r="V41" s="163"/>
      <c r="W41" s="208">
        <f t="shared" si="95"/>
        <v>0</v>
      </c>
      <c r="X41" s="194"/>
      <c r="Y41" s="195"/>
      <c r="Z41" s="173">
        <f t="shared" si="96"/>
        <v>0</v>
      </c>
      <c r="AA41" s="164"/>
      <c r="AB41" s="165"/>
      <c r="AC41" s="322"/>
      <c r="AD41" s="323"/>
      <c r="AE41" s="261"/>
      <c r="AF41" s="357"/>
      <c r="AG41" s="53">
        <f>IF(AND(AA41&lt;&gt;"",OR(AA41&lt;EXPEDIENTE!$I$25,AA41&gt;EXPEDIENTE!$I$29)),1,0)</f>
        <v>0</v>
      </c>
      <c r="AH41" s="53">
        <f>IF(AND(AB41&lt;&gt;"",OR(AB41&lt;EXPEDIENTE!$I$25,AB41&gt;EXPEDIENTE!$I$29)),1,0)</f>
        <v>0</v>
      </c>
      <c r="AM41" s="1014"/>
      <c r="AN41" s="559" t="str">
        <f t="shared" si="73"/>
        <v/>
      </c>
      <c r="AO41" s="188" t="str">
        <f t="shared" si="73"/>
        <v/>
      </c>
      <c r="AP41" s="189"/>
      <c r="AQ41" s="190" t="str">
        <f t="shared" si="97"/>
        <v/>
      </c>
      <c r="AR41" s="188" t="str">
        <f t="shared" si="74"/>
        <v/>
      </c>
      <c r="AS41" s="189"/>
      <c r="AT41" s="190" t="str">
        <f t="shared" si="98"/>
        <v/>
      </c>
      <c r="AU41" s="170">
        <f t="shared" si="75"/>
        <v>0</v>
      </c>
      <c r="AV41" s="201"/>
      <c r="AW41" s="202">
        <f t="shared" si="99"/>
        <v>0</v>
      </c>
      <c r="AX41" s="200">
        <f t="shared" si="76"/>
        <v>0</v>
      </c>
      <c r="AY41" s="203"/>
      <c r="AZ41" s="204">
        <f t="shared" si="100"/>
        <v>0</v>
      </c>
      <c r="BA41" s="204">
        <f t="shared" si="77"/>
        <v>0</v>
      </c>
      <c r="BB41" s="203"/>
      <c r="BC41" s="204">
        <f t="shared" si="101"/>
        <v>0</v>
      </c>
      <c r="BD41" s="204">
        <f t="shared" si="78"/>
        <v>0</v>
      </c>
      <c r="BE41" s="203"/>
      <c r="BF41" s="204">
        <f t="shared" si="102"/>
        <v>0</v>
      </c>
      <c r="BG41" s="204">
        <f t="shared" si="79"/>
        <v>0</v>
      </c>
      <c r="BH41" s="203"/>
      <c r="BI41" s="204">
        <f t="shared" si="103"/>
        <v>0</v>
      </c>
      <c r="BJ41" s="204">
        <f t="shared" si="80"/>
        <v>0</v>
      </c>
      <c r="BK41" s="203"/>
      <c r="BL41" s="204">
        <f t="shared" si="104"/>
        <v>0</v>
      </c>
      <c r="BM41" s="175">
        <f t="shared" si="105"/>
        <v>0</v>
      </c>
      <c r="BN41" s="205">
        <f t="shared" si="106"/>
        <v>0</v>
      </c>
      <c r="BO41" s="255"/>
      <c r="BP41" s="200">
        <f t="shared" si="81"/>
        <v>0</v>
      </c>
      <c r="BQ41" s="201"/>
      <c r="BR41" s="206">
        <f t="shared" si="107"/>
        <v>0</v>
      </c>
      <c r="BS41" s="204">
        <f t="shared" si="82"/>
        <v>0</v>
      </c>
      <c r="BT41" s="203"/>
      <c r="BU41" s="204">
        <f t="shared" si="108"/>
        <v>0</v>
      </c>
      <c r="BV41" s="204">
        <f t="shared" si="83"/>
        <v>0</v>
      </c>
      <c r="BW41" s="203"/>
      <c r="BX41" s="204">
        <f t="shared" si="109"/>
        <v>0</v>
      </c>
      <c r="BY41" s="204">
        <f t="shared" si="84"/>
        <v>0</v>
      </c>
      <c r="BZ41" s="203"/>
      <c r="CA41" s="204">
        <f t="shared" si="110"/>
        <v>0</v>
      </c>
      <c r="CB41" s="204">
        <f t="shared" si="85"/>
        <v>0</v>
      </c>
      <c r="CC41" s="203"/>
      <c r="CD41" s="204">
        <f t="shared" si="111"/>
        <v>0</v>
      </c>
      <c r="CE41" s="175">
        <f t="shared" si="112"/>
        <v>0</v>
      </c>
      <c r="CF41" s="200">
        <f t="shared" si="86"/>
        <v>0</v>
      </c>
      <c r="CG41" s="203"/>
      <c r="CH41" s="207">
        <f t="shared" si="113"/>
        <v>0</v>
      </c>
      <c r="CI41" s="182"/>
      <c r="CJ41" s="208">
        <f t="shared" si="114"/>
        <v>0</v>
      </c>
      <c r="CK41" s="200">
        <f t="shared" si="87"/>
        <v>0</v>
      </c>
      <c r="CL41" s="201"/>
      <c r="CM41" s="202">
        <f t="shared" si="115"/>
        <v>0</v>
      </c>
      <c r="CN41" s="200">
        <f t="shared" si="88"/>
        <v>0</v>
      </c>
      <c r="CO41" s="173"/>
      <c r="CP41" s="262">
        <f t="shared" si="116"/>
        <v>0</v>
      </c>
      <c r="CQ41" s="184">
        <f t="shared" si="117"/>
        <v>0</v>
      </c>
      <c r="CR41" s="188" t="str">
        <f t="shared" si="89"/>
        <v/>
      </c>
      <c r="CS41" s="189"/>
      <c r="CT41" s="190" t="str">
        <f t="shared" si="118"/>
        <v/>
      </c>
      <c r="CU41" s="188" t="str">
        <f t="shared" si="90"/>
        <v/>
      </c>
      <c r="CV41" s="189"/>
      <c r="CW41" s="190" t="str">
        <f t="shared" si="119"/>
        <v/>
      </c>
      <c r="CX41" s="209" t="str">
        <f t="shared" si="120"/>
        <v/>
      </c>
      <c r="CY41" s="210"/>
      <c r="DA41" s="53">
        <f>IF(AND(CT41&lt;&gt;"",OR(CT41&lt;EXPEDIENTE!$I$25,CT41&gt;EXPEDIENTE!$I$29)),1,0)</f>
        <v>0</v>
      </c>
      <c r="DB41" s="53">
        <f>IF(AND(CW41&lt;&gt;"",OR(CW41&lt;EXPEDIENTE!$I$25,CW41&gt;EXPEDIENTE!$I$29)),1,0)</f>
        <v>0</v>
      </c>
      <c r="DD41" s="55">
        <f t="shared" si="91"/>
        <v>0</v>
      </c>
      <c r="DE41" s="55">
        <f t="shared" si="121"/>
        <v>0</v>
      </c>
      <c r="DF41" s="55">
        <f t="shared" si="122"/>
        <v>0</v>
      </c>
      <c r="DG41" s="55">
        <f t="shared" si="123"/>
        <v>0</v>
      </c>
      <c r="DH41" s="55">
        <f t="shared" si="124"/>
        <v>0</v>
      </c>
      <c r="DI41" s="55">
        <f t="shared" si="125"/>
        <v>0</v>
      </c>
      <c r="DJ41" s="55">
        <f t="shared" si="126"/>
        <v>0</v>
      </c>
      <c r="DK41" s="55">
        <f t="shared" si="127"/>
        <v>0</v>
      </c>
      <c r="DL41" s="55">
        <f t="shared" si="128"/>
        <v>0</v>
      </c>
      <c r="DM41" s="55">
        <f t="shared" si="129"/>
        <v>0</v>
      </c>
      <c r="DN41" s="55">
        <f t="shared" si="130"/>
        <v>0</v>
      </c>
      <c r="DO41" s="55">
        <f t="shared" si="131"/>
        <v>0</v>
      </c>
      <c r="DP41" s="55">
        <f t="shared" si="132"/>
        <v>0</v>
      </c>
      <c r="DQ41" s="55">
        <f t="shared" si="133"/>
        <v>0</v>
      </c>
      <c r="DR41" s="55">
        <f t="shared" si="134"/>
        <v>0</v>
      </c>
      <c r="DS41" s="55">
        <f t="shared" si="135"/>
        <v>0</v>
      </c>
      <c r="DT41" s="55">
        <f t="shared" si="136"/>
        <v>0</v>
      </c>
      <c r="DU41" s="55">
        <f t="shared" si="137"/>
        <v>0</v>
      </c>
      <c r="DW41" s="55">
        <f>IF(CY41&lt;&gt;"",MAX($DW$9:DW40)+1,0)</f>
        <v>0</v>
      </c>
      <c r="DX41" s="130" t="str">
        <f t="shared" si="92"/>
        <v/>
      </c>
    </row>
    <row r="42" spans="2:128" ht="30" customHeight="1" x14ac:dyDescent="0.25">
      <c r="B42" s="972"/>
      <c r="C42" s="332"/>
      <c r="D42" s="73"/>
      <c r="E42" s="260"/>
      <c r="F42" s="194"/>
      <c r="G42" s="195"/>
      <c r="H42" s="195"/>
      <c r="I42" s="195"/>
      <c r="J42" s="195"/>
      <c r="K42" s="195"/>
      <c r="L42" s="203">
        <f t="shared" si="139"/>
        <v>0</v>
      </c>
      <c r="M42" s="175">
        <f t="shared" si="140"/>
        <v>0</v>
      </c>
      <c r="N42" s="247"/>
      <c r="O42" s="194"/>
      <c r="P42" s="195"/>
      <c r="Q42" s="195"/>
      <c r="R42" s="195"/>
      <c r="S42" s="195"/>
      <c r="T42" s="203">
        <f t="shared" si="94"/>
        <v>0</v>
      </c>
      <c r="U42" s="300"/>
      <c r="V42" s="163"/>
      <c r="W42" s="208">
        <f t="shared" si="95"/>
        <v>0</v>
      </c>
      <c r="X42" s="194"/>
      <c r="Y42" s="195"/>
      <c r="Z42" s="173">
        <f t="shared" si="96"/>
        <v>0</v>
      </c>
      <c r="AA42" s="164"/>
      <c r="AB42" s="165"/>
      <c r="AC42" s="322"/>
      <c r="AD42" s="323"/>
      <c r="AE42" s="261"/>
      <c r="AF42" s="357"/>
      <c r="AG42" s="53">
        <f>IF(AND(AA42&lt;&gt;"",OR(AA42&lt;EXPEDIENTE!$I$25,AA42&gt;EXPEDIENTE!$I$29)),1,0)</f>
        <v>0</v>
      </c>
      <c r="AH42" s="53">
        <f>IF(AND(AB42&lt;&gt;"",OR(AB42&lt;EXPEDIENTE!$I$25,AB42&gt;EXPEDIENTE!$I$29)),1,0)</f>
        <v>0</v>
      </c>
      <c r="AM42" s="1014"/>
      <c r="AN42" s="559" t="str">
        <f t="shared" si="73"/>
        <v/>
      </c>
      <c r="AO42" s="188" t="str">
        <f t="shared" si="73"/>
        <v/>
      </c>
      <c r="AP42" s="189"/>
      <c r="AQ42" s="190" t="str">
        <f t="shared" si="97"/>
        <v/>
      </c>
      <c r="AR42" s="188" t="str">
        <f t="shared" si="74"/>
        <v/>
      </c>
      <c r="AS42" s="189"/>
      <c r="AT42" s="190" t="str">
        <f t="shared" si="98"/>
        <v/>
      </c>
      <c r="AU42" s="170">
        <f t="shared" si="75"/>
        <v>0</v>
      </c>
      <c r="AV42" s="201"/>
      <c r="AW42" s="202">
        <f t="shared" si="99"/>
        <v>0</v>
      </c>
      <c r="AX42" s="200">
        <f t="shared" si="76"/>
        <v>0</v>
      </c>
      <c r="AY42" s="203"/>
      <c r="AZ42" s="204">
        <f t="shared" si="100"/>
        <v>0</v>
      </c>
      <c r="BA42" s="204">
        <f t="shared" si="77"/>
        <v>0</v>
      </c>
      <c r="BB42" s="203"/>
      <c r="BC42" s="204">
        <f t="shared" si="101"/>
        <v>0</v>
      </c>
      <c r="BD42" s="204">
        <f t="shared" si="78"/>
        <v>0</v>
      </c>
      <c r="BE42" s="203"/>
      <c r="BF42" s="204">
        <f t="shared" si="102"/>
        <v>0</v>
      </c>
      <c r="BG42" s="204">
        <f t="shared" si="79"/>
        <v>0</v>
      </c>
      <c r="BH42" s="203"/>
      <c r="BI42" s="204">
        <f t="shared" si="103"/>
        <v>0</v>
      </c>
      <c r="BJ42" s="204">
        <f t="shared" si="80"/>
        <v>0</v>
      </c>
      <c r="BK42" s="203"/>
      <c r="BL42" s="204">
        <f t="shared" si="104"/>
        <v>0</v>
      </c>
      <c r="BM42" s="175">
        <f t="shared" si="105"/>
        <v>0</v>
      </c>
      <c r="BN42" s="205">
        <f t="shared" si="106"/>
        <v>0</v>
      </c>
      <c r="BO42" s="255"/>
      <c r="BP42" s="264">
        <f t="shared" si="81"/>
        <v>0</v>
      </c>
      <c r="BQ42" s="265"/>
      <c r="BR42" s="266">
        <f t="shared" si="107"/>
        <v>0</v>
      </c>
      <c r="BS42" s="267">
        <f t="shared" si="82"/>
        <v>0</v>
      </c>
      <c r="BT42" s="268"/>
      <c r="BU42" s="267">
        <f t="shared" si="108"/>
        <v>0</v>
      </c>
      <c r="BV42" s="267">
        <f t="shared" si="83"/>
        <v>0</v>
      </c>
      <c r="BW42" s="268"/>
      <c r="BX42" s="267">
        <f t="shared" si="109"/>
        <v>0</v>
      </c>
      <c r="BY42" s="267">
        <f t="shared" si="84"/>
        <v>0</v>
      </c>
      <c r="BZ42" s="268"/>
      <c r="CA42" s="267">
        <f t="shared" si="110"/>
        <v>0</v>
      </c>
      <c r="CB42" s="267">
        <f t="shared" si="85"/>
        <v>0</v>
      </c>
      <c r="CC42" s="268"/>
      <c r="CD42" s="267">
        <f t="shared" si="111"/>
        <v>0</v>
      </c>
      <c r="CE42" s="175">
        <f t="shared" si="112"/>
        <v>0</v>
      </c>
      <c r="CF42" s="200">
        <f t="shared" si="86"/>
        <v>0</v>
      </c>
      <c r="CG42" s="203"/>
      <c r="CH42" s="207">
        <f t="shared" si="113"/>
        <v>0</v>
      </c>
      <c r="CI42" s="182"/>
      <c r="CJ42" s="208">
        <f t="shared" si="114"/>
        <v>0</v>
      </c>
      <c r="CK42" s="200">
        <f t="shared" si="87"/>
        <v>0</v>
      </c>
      <c r="CL42" s="201"/>
      <c r="CM42" s="202">
        <f t="shared" si="115"/>
        <v>0</v>
      </c>
      <c r="CN42" s="200">
        <f t="shared" si="88"/>
        <v>0</v>
      </c>
      <c r="CO42" s="173"/>
      <c r="CP42" s="262">
        <f t="shared" si="116"/>
        <v>0</v>
      </c>
      <c r="CQ42" s="184">
        <f t="shared" si="117"/>
        <v>0</v>
      </c>
      <c r="CR42" s="188" t="str">
        <f t="shared" si="89"/>
        <v/>
      </c>
      <c r="CS42" s="189"/>
      <c r="CT42" s="190" t="str">
        <f t="shared" si="118"/>
        <v/>
      </c>
      <c r="CU42" s="188" t="str">
        <f t="shared" si="90"/>
        <v/>
      </c>
      <c r="CV42" s="189"/>
      <c r="CW42" s="190" t="str">
        <f t="shared" si="119"/>
        <v/>
      </c>
      <c r="CX42" s="209" t="str">
        <f t="shared" si="120"/>
        <v/>
      </c>
      <c r="CY42" s="210"/>
      <c r="DA42" s="53">
        <f>IF(AND(CT42&lt;&gt;"",OR(CT42&lt;EXPEDIENTE!$I$25,CT42&gt;EXPEDIENTE!$I$29)),1,0)</f>
        <v>0</v>
      </c>
      <c r="DB42" s="53">
        <f>IF(AND(CW42&lt;&gt;"",OR(CW42&lt;EXPEDIENTE!$I$25,CW42&gt;EXPEDIENTE!$I$29)),1,0)</f>
        <v>0</v>
      </c>
      <c r="DD42" s="55">
        <f t="shared" si="91"/>
        <v>0</v>
      </c>
      <c r="DE42" s="55">
        <f t="shared" si="121"/>
        <v>0</v>
      </c>
      <c r="DF42" s="55">
        <f t="shared" si="122"/>
        <v>0</v>
      </c>
      <c r="DG42" s="55">
        <f t="shared" si="123"/>
        <v>0</v>
      </c>
      <c r="DH42" s="55">
        <f t="shared" si="124"/>
        <v>0</v>
      </c>
      <c r="DI42" s="55">
        <f t="shared" si="125"/>
        <v>0</v>
      </c>
      <c r="DJ42" s="55">
        <f t="shared" si="126"/>
        <v>0</v>
      </c>
      <c r="DK42" s="55">
        <f t="shared" si="127"/>
        <v>0</v>
      </c>
      <c r="DL42" s="55">
        <f t="shared" si="128"/>
        <v>0</v>
      </c>
      <c r="DM42" s="55">
        <f t="shared" si="129"/>
        <v>0</v>
      </c>
      <c r="DN42" s="55">
        <f t="shared" si="130"/>
        <v>0</v>
      </c>
      <c r="DO42" s="55">
        <f t="shared" si="131"/>
        <v>0</v>
      </c>
      <c r="DP42" s="55">
        <f t="shared" si="132"/>
        <v>0</v>
      </c>
      <c r="DQ42" s="55">
        <f t="shared" si="133"/>
        <v>0</v>
      </c>
      <c r="DR42" s="55">
        <f t="shared" si="134"/>
        <v>0</v>
      </c>
      <c r="DS42" s="55">
        <f t="shared" si="135"/>
        <v>0</v>
      </c>
      <c r="DT42" s="55">
        <f t="shared" si="136"/>
        <v>0</v>
      </c>
      <c r="DU42" s="55">
        <f t="shared" si="137"/>
        <v>0</v>
      </c>
      <c r="DW42" s="55">
        <f>IF(CY42&lt;&gt;"",MAX($DW$9:DW41)+1,0)</f>
        <v>0</v>
      </c>
      <c r="DX42" s="130" t="str">
        <f t="shared" si="92"/>
        <v/>
      </c>
    </row>
    <row r="43" spans="2:128" ht="30" customHeight="1" x14ac:dyDescent="0.25">
      <c r="B43" s="972"/>
      <c r="C43" s="332"/>
      <c r="D43" s="73"/>
      <c r="E43" s="260"/>
      <c r="F43" s="194"/>
      <c r="G43" s="195"/>
      <c r="H43" s="195"/>
      <c r="I43" s="195"/>
      <c r="J43" s="195"/>
      <c r="K43" s="195"/>
      <c r="L43" s="203">
        <f t="shared" si="139"/>
        <v>0</v>
      </c>
      <c r="M43" s="175">
        <f t="shared" si="140"/>
        <v>0</v>
      </c>
      <c r="N43" s="247"/>
      <c r="O43" s="194"/>
      <c r="P43" s="195"/>
      <c r="Q43" s="195"/>
      <c r="R43" s="195"/>
      <c r="S43" s="195"/>
      <c r="T43" s="203">
        <f t="shared" si="94"/>
        <v>0</v>
      </c>
      <c r="U43" s="300"/>
      <c r="V43" s="163"/>
      <c r="W43" s="208">
        <f t="shared" si="95"/>
        <v>0</v>
      </c>
      <c r="X43" s="194"/>
      <c r="Y43" s="195"/>
      <c r="Z43" s="173">
        <f t="shared" si="96"/>
        <v>0</v>
      </c>
      <c r="AA43" s="164"/>
      <c r="AB43" s="165"/>
      <c r="AC43" s="322"/>
      <c r="AD43" s="323"/>
      <c r="AE43" s="261"/>
      <c r="AF43" s="357"/>
      <c r="AG43" s="53">
        <f>IF(AND(AA43&lt;&gt;"",OR(AA43&lt;EXPEDIENTE!$I$25,AA43&gt;EXPEDIENTE!$I$29)),1,0)</f>
        <v>0</v>
      </c>
      <c r="AH43" s="53">
        <f>IF(AND(AB43&lt;&gt;"",OR(AB43&lt;EXPEDIENTE!$I$25,AB43&gt;EXPEDIENTE!$I$29)),1,0)</f>
        <v>0</v>
      </c>
      <c r="AM43" s="1014"/>
      <c r="AN43" s="559" t="str">
        <f t="shared" si="73"/>
        <v/>
      </c>
      <c r="AO43" s="188" t="str">
        <f t="shared" si="73"/>
        <v/>
      </c>
      <c r="AP43" s="189"/>
      <c r="AQ43" s="190" t="str">
        <f t="shared" si="97"/>
        <v/>
      </c>
      <c r="AR43" s="188" t="str">
        <f t="shared" si="74"/>
        <v/>
      </c>
      <c r="AS43" s="189"/>
      <c r="AT43" s="190" t="str">
        <f t="shared" si="98"/>
        <v/>
      </c>
      <c r="AU43" s="170">
        <f t="shared" si="75"/>
        <v>0</v>
      </c>
      <c r="AV43" s="201"/>
      <c r="AW43" s="202">
        <f t="shared" si="99"/>
        <v>0</v>
      </c>
      <c r="AX43" s="200">
        <f t="shared" si="76"/>
        <v>0</v>
      </c>
      <c r="AY43" s="203"/>
      <c r="AZ43" s="204">
        <f t="shared" si="100"/>
        <v>0</v>
      </c>
      <c r="BA43" s="204">
        <f t="shared" si="77"/>
        <v>0</v>
      </c>
      <c r="BB43" s="203"/>
      <c r="BC43" s="204">
        <f t="shared" si="101"/>
        <v>0</v>
      </c>
      <c r="BD43" s="204">
        <f t="shared" si="78"/>
        <v>0</v>
      </c>
      <c r="BE43" s="203"/>
      <c r="BF43" s="204">
        <f t="shared" si="102"/>
        <v>0</v>
      </c>
      <c r="BG43" s="204">
        <f t="shared" si="79"/>
        <v>0</v>
      </c>
      <c r="BH43" s="203"/>
      <c r="BI43" s="204">
        <f t="shared" si="103"/>
        <v>0</v>
      </c>
      <c r="BJ43" s="204">
        <f t="shared" si="80"/>
        <v>0</v>
      </c>
      <c r="BK43" s="203"/>
      <c r="BL43" s="204">
        <f t="shared" si="104"/>
        <v>0</v>
      </c>
      <c r="BM43" s="175">
        <f t="shared" si="105"/>
        <v>0</v>
      </c>
      <c r="BN43" s="205">
        <f t="shared" si="106"/>
        <v>0</v>
      </c>
      <c r="BO43" s="255"/>
      <c r="BP43" s="264">
        <f t="shared" si="81"/>
        <v>0</v>
      </c>
      <c r="BQ43" s="265"/>
      <c r="BR43" s="266">
        <f t="shared" si="107"/>
        <v>0</v>
      </c>
      <c r="BS43" s="267">
        <f t="shared" si="82"/>
        <v>0</v>
      </c>
      <c r="BT43" s="268"/>
      <c r="BU43" s="267">
        <f t="shared" si="108"/>
        <v>0</v>
      </c>
      <c r="BV43" s="267">
        <f t="shared" si="83"/>
        <v>0</v>
      </c>
      <c r="BW43" s="268"/>
      <c r="BX43" s="267">
        <f t="shared" si="109"/>
        <v>0</v>
      </c>
      <c r="BY43" s="267">
        <f t="shared" si="84"/>
        <v>0</v>
      </c>
      <c r="BZ43" s="268"/>
      <c r="CA43" s="267">
        <f t="shared" si="110"/>
        <v>0</v>
      </c>
      <c r="CB43" s="267">
        <f t="shared" si="85"/>
        <v>0</v>
      </c>
      <c r="CC43" s="268"/>
      <c r="CD43" s="267">
        <f t="shared" si="111"/>
        <v>0</v>
      </c>
      <c r="CE43" s="175">
        <f t="shared" si="112"/>
        <v>0</v>
      </c>
      <c r="CF43" s="200">
        <f t="shared" si="86"/>
        <v>0</v>
      </c>
      <c r="CG43" s="203"/>
      <c r="CH43" s="207">
        <f t="shared" si="113"/>
        <v>0</v>
      </c>
      <c r="CI43" s="182"/>
      <c r="CJ43" s="208">
        <f t="shared" si="114"/>
        <v>0</v>
      </c>
      <c r="CK43" s="200">
        <f t="shared" si="87"/>
        <v>0</v>
      </c>
      <c r="CL43" s="201"/>
      <c r="CM43" s="202">
        <f t="shared" si="115"/>
        <v>0</v>
      </c>
      <c r="CN43" s="200">
        <f t="shared" si="88"/>
        <v>0</v>
      </c>
      <c r="CO43" s="173"/>
      <c r="CP43" s="262">
        <f t="shared" si="116"/>
        <v>0</v>
      </c>
      <c r="CQ43" s="184">
        <f t="shared" si="117"/>
        <v>0</v>
      </c>
      <c r="CR43" s="188" t="str">
        <f t="shared" si="89"/>
        <v/>
      </c>
      <c r="CS43" s="189"/>
      <c r="CT43" s="190" t="str">
        <f t="shared" si="118"/>
        <v/>
      </c>
      <c r="CU43" s="188" t="str">
        <f t="shared" si="90"/>
        <v/>
      </c>
      <c r="CV43" s="189"/>
      <c r="CW43" s="190" t="str">
        <f t="shared" si="119"/>
        <v/>
      </c>
      <c r="CX43" s="209" t="str">
        <f t="shared" si="120"/>
        <v/>
      </c>
      <c r="CY43" s="210"/>
      <c r="DA43" s="53">
        <f>IF(AND(CT43&lt;&gt;"",OR(CT43&lt;EXPEDIENTE!$I$25,CT43&gt;EXPEDIENTE!$I$29)),1,0)</f>
        <v>0</v>
      </c>
      <c r="DB43" s="53">
        <f>IF(AND(CW43&lt;&gt;"",OR(CW43&lt;EXPEDIENTE!$I$25,CW43&gt;EXPEDIENTE!$I$29)),1,0)</f>
        <v>0</v>
      </c>
      <c r="DD43" s="55">
        <f t="shared" si="91"/>
        <v>0</v>
      </c>
      <c r="DE43" s="55">
        <f t="shared" si="121"/>
        <v>0</v>
      </c>
      <c r="DF43" s="55">
        <f t="shared" si="122"/>
        <v>0</v>
      </c>
      <c r="DG43" s="55">
        <f t="shared" si="123"/>
        <v>0</v>
      </c>
      <c r="DH43" s="55">
        <f t="shared" si="124"/>
        <v>0</v>
      </c>
      <c r="DI43" s="55">
        <f t="shared" si="125"/>
        <v>0</v>
      </c>
      <c r="DJ43" s="55">
        <f t="shared" si="126"/>
        <v>0</v>
      </c>
      <c r="DK43" s="55">
        <f t="shared" si="127"/>
        <v>0</v>
      </c>
      <c r="DL43" s="55">
        <f t="shared" si="128"/>
        <v>0</v>
      </c>
      <c r="DM43" s="55">
        <f t="shared" si="129"/>
        <v>0</v>
      </c>
      <c r="DN43" s="55">
        <f t="shared" si="130"/>
        <v>0</v>
      </c>
      <c r="DO43" s="55">
        <f t="shared" si="131"/>
        <v>0</v>
      </c>
      <c r="DP43" s="55">
        <f t="shared" si="132"/>
        <v>0</v>
      </c>
      <c r="DQ43" s="55">
        <f t="shared" si="133"/>
        <v>0</v>
      </c>
      <c r="DR43" s="55">
        <f t="shared" si="134"/>
        <v>0</v>
      </c>
      <c r="DS43" s="55">
        <f t="shared" si="135"/>
        <v>0</v>
      </c>
      <c r="DT43" s="55">
        <f t="shared" si="136"/>
        <v>0</v>
      </c>
      <c r="DU43" s="55">
        <f t="shared" si="137"/>
        <v>0</v>
      </c>
      <c r="DW43" s="55">
        <f>IF(CY43&lt;&gt;"",MAX($DW$9:DW42)+1,0)</f>
        <v>0</v>
      </c>
      <c r="DX43" s="130" t="str">
        <f t="shared" si="92"/>
        <v/>
      </c>
    </row>
    <row r="44" spans="2:128" ht="30" customHeight="1" x14ac:dyDescent="0.25">
      <c r="B44" s="972"/>
      <c r="C44" s="332"/>
      <c r="D44" s="73"/>
      <c r="E44" s="260"/>
      <c r="F44" s="194"/>
      <c r="G44" s="195"/>
      <c r="H44" s="195"/>
      <c r="I44" s="195"/>
      <c r="J44" s="195"/>
      <c r="K44" s="195"/>
      <c r="L44" s="203">
        <f t="shared" si="138"/>
        <v>0</v>
      </c>
      <c r="M44" s="175">
        <f t="shared" si="93"/>
        <v>0</v>
      </c>
      <c r="N44" s="247"/>
      <c r="O44" s="194"/>
      <c r="P44" s="195"/>
      <c r="Q44" s="195"/>
      <c r="R44" s="195"/>
      <c r="S44" s="195"/>
      <c r="T44" s="203">
        <f t="shared" si="94"/>
        <v>0</v>
      </c>
      <c r="U44" s="300"/>
      <c r="V44" s="163"/>
      <c r="W44" s="208">
        <f t="shared" si="95"/>
        <v>0</v>
      </c>
      <c r="X44" s="194"/>
      <c r="Y44" s="195"/>
      <c r="Z44" s="173">
        <f t="shared" si="96"/>
        <v>0</v>
      </c>
      <c r="AA44" s="164"/>
      <c r="AB44" s="165"/>
      <c r="AC44" s="322"/>
      <c r="AD44" s="323"/>
      <c r="AE44" s="261"/>
      <c r="AF44" s="357"/>
      <c r="AG44" s="53">
        <f>IF(AND(AA44&lt;&gt;"",OR(AA44&lt;EXPEDIENTE!$I$25,AA44&gt;EXPEDIENTE!$I$29)),1,0)</f>
        <v>0</v>
      </c>
      <c r="AH44" s="53">
        <f>IF(AND(AB44&lt;&gt;"",OR(AB44&lt;EXPEDIENTE!$I$25,AB44&gt;EXPEDIENTE!$I$29)),1,0)</f>
        <v>0</v>
      </c>
      <c r="AM44" s="1014"/>
      <c r="AN44" s="559" t="str">
        <f t="shared" si="73"/>
        <v/>
      </c>
      <c r="AO44" s="188" t="str">
        <f t="shared" si="73"/>
        <v/>
      </c>
      <c r="AP44" s="189"/>
      <c r="AQ44" s="190" t="str">
        <f t="shared" si="97"/>
        <v/>
      </c>
      <c r="AR44" s="188" t="str">
        <f t="shared" si="74"/>
        <v/>
      </c>
      <c r="AS44" s="189"/>
      <c r="AT44" s="190" t="str">
        <f t="shared" si="98"/>
        <v/>
      </c>
      <c r="AU44" s="170">
        <f t="shared" si="75"/>
        <v>0</v>
      </c>
      <c r="AV44" s="201"/>
      <c r="AW44" s="202">
        <f t="shared" si="99"/>
        <v>0</v>
      </c>
      <c r="AX44" s="200">
        <f t="shared" si="76"/>
        <v>0</v>
      </c>
      <c r="AY44" s="203"/>
      <c r="AZ44" s="204">
        <f t="shared" si="100"/>
        <v>0</v>
      </c>
      <c r="BA44" s="204">
        <f t="shared" si="77"/>
        <v>0</v>
      </c>
      <c r="BB44" s="203"/>
      <c r="BC44" s="204">
        <f t="shared" si="101"/>
        <v>0</v>
      </c>
      <c r="BD44" s="204">
        <f t="shared" si="78"/>
        <v>0</v>
      </c>
      <c r="BE44" s="203"/>
      <c r="BF44" s="204">
        <f t="shared" si="102"/>
        <v>0</v>
      </c>
      <c r="BG44" s="204">
        <f t="shared" si="79"/>
        <v>0</v>
      </c>
      <c r="BH44" s="203"/>
      <c r="BI44" s="204">
        <f t="shared" si="103"/>
        <v>0</v>
      </c>
      <c r="BJ44" s="204">
        <f t="shared" si="80"/>
        <v>0</v>
      </c>
      <c r="BK44" s="203"/>
      <c r="BL44" s="204">
        <f t="shared" si="104"/>
        <v>0</v>
      </c>
      <c r="BM44" s="175">
        <f t="shared" si="105"/>
        <v>0</v>
      </c>
      <c r="BN44" s="205">
        <f t="shared" si="106"/>
        <v>0</v>
      </c>
      <c r="BO44" s="255"/>
      <c r="BP44" s="264">
        <f t="shared" si="81"/>
        <v>0</v>
      </c>
      <c r="BQ44" s="265"/>
      <c r="BR44" s="266">
        <f t="shared" si="107"/>
        <v>0</v>
      </c>
      <c r="BS44" s="267">
        <f t="shared" si="82"/>
        <v>0</v>
      </c>
      <c r="BT44" s="268"/>
      <c r="BU44" s="267">
        <f t="shared" si="108"/>
        <v>0</v>
      </c>
      <c r="BV44" s="267">
        <f t="shared" si="83"/>
        <v>0</v>
      </c>
      <c r="BW44" s="268"/>
      <c r="BX44" s="267">
        <f t="shared" si="109"/>
        <v>0</v>
      </c>
      <c r="BY44" s="267">
        <f t="shared" si="84"/>
        <v>0</v>
      </c>
      <c r="BZ44" s="268"/>
      <c r="CA44" s="267">
        <f t="shared" si="110"/>
        <v>0</v>
      </c>
      <c r="CB44" s="267">
        <f t="shared" si="85"/>
        <v>0</v>
      </c>
      <c r="CC44" s="268"/>
      <c r="CD44" s="267">
        <f t="shared" si="111"/>
        <v>0</v>
      </c>
      <c r="CE44" s="175">
        <f t="shared" si="112"/>
        <v>0</v>
      </c>
      <c r="CF44" s="200">
        <f t="shared" si="86"/>
        <v>0</v>
      </c>
      <c r="CG44" s="203"/>
      <c r="CH44" s="207">
        <f t="shared" si="113"/>
        <v>0</v>
      </c>
      <c r="CI44" s="182"/>
      <c r="CJ44" s="208">
        <f t="shared" si="114"/>
        <v>0</v>
      </c>
      <c r="CK44" s="200">
        <f t="shared" si="87"/>
        <v>0</v>
      </c>
      <c r="CL44" s="201"/>
      <c r="CM44" s="202">
        <f t="shared" si="115"/>
        <v>0</v>
      </c>
      <c r="CN44" s="200">
        <f t="shared" si="88"/>
        <v>0</v>
      </c>
      <c r="CO44" s="173"/>
      <c r="CP44" s="262">
        <f t="shared" si="116"/>
        <v>0</v>
      </c>
      <c r="CQ44" s="184">
        <f t="shared" si="117"/>
        <v>0</v>
      </c>
      <c r="CR44" s="188" t="str">
        <f t="shared" si="89"/>
        <v/>
      </c>
      <c r="CS44" s="189"/>
      <c r="CT44" s="190" t="str">
        <f t="shared" si="118"/>
        <v/>
      </c>
      <c r="CU44" s="188" t="str">
        <f t="shared" si="90"/>
        <v/>
      </c>
      <c r="CV44" s="189"/>
      <c r="CW44" s="190" t="str">
        <f t="shared" si="119"/>
        <v/>
      </c>
      <c r="CX44" s="209" t="str">
        <f t="shared" si="120"/>
        <v/>
      </c>
      <c r="CY44" s="210"/>
      <c r="DA44" s="53">
        <f>IF(AND(CT44&lt;&gt;"",OR(CT44&lt;EXPEDIENTE!$I$25,CT44&gt;EXPEDIENTE!$I$29)),1,0)</f>
        <v>0</v>
      </c>
      <c r="DB44" s="53">
        <f>IF(AND(CW44&lt;&gt;"",OR(CW44&lt;EXPEDIENTE!$I$25,CW44&gt;EXPEDIENTE!$I$29)),1,0)</f>
        <v>0</v>
      </c>
      <c r="DD44" s="55">
        <f t="shared" si="91"/>
        <v>0</v>
      </c>
      <c r="DE44" s="55">
        <f t="shared" si="121"/>
        <v>0</v>
      </c>
      <c r="DF44" s="55">
        <f t="shared" si="122"/>
        <v>0</v>
      </c>
      <c r="DG44" s="55">
        <f t="shared" si="123"/>
        <v>0</v>
      </c>
      <c r="DH44" s="55">
        <f t="shared" si="124"/>
        <v>0</v>
      </c>
      <c r="DI44" s="55">
        <f t="shared" si="125"/>
        <v>0</v>
      </c>
      <c r="DJ44" s="55">
        <f t="shared" si="126"/>
        <v>0</v>
      </c>
      <c r="DK44" s="55">
        <f t="shared" si="127"/>
        <v>0</v>
      </c>
      <c r="DL44" s="55">
        <f t="shared" si="128"/>
        <v>0</v>
      </c>
      <c r="DM44" s="55">
        <f t="shared" si="129"/>
        <v>0</v>
      </c>
      <c r="DN44" s="55">
        <f t="shared" si="130"/>
        <v>0</v>
      </c>
      <c r="DO44" s="55">
        <f t="shared" si="131"/>
        <v>0</v>
      </c>
      <c r="DP44" s="55">
        <f t="shared" si="132"/>
        <v>0</v>
      </c>
      <c r="DQ44" s="55">
        <f t="shared" si="133"/>
        <v>0</v>
      </c>
      <c r="DR44" s="55">
        <f t="shared" si="134"/>
        <v>0</v>
      </c>
      <c r="DS44" s="55">
        <f t="shared" si="135"/>
        <v>0</v>
      </c>
      <c r="DT44" s="55">
        <f t="shared" si="136"/>
        <v>0</v>
      </c>
      <c r="DU44" s="55">
        <f t="shared" si="137"/>
        <v>0</v>
      </c>
      <c r="DW44" s="55">
        <f>IF(CY44&lt;&gt;"",MAX($DW$9:DW43)+1,0)</f>
        <v>0</v>
      </c>
      <c r="DX44" s="130" t="str">
        <f t="shared" si="92"/>
        <v/>
      </c>
    </row>
    <row r="45" spans="2:128" ht="30" customHeight="1" thickBot="1" x14ac:dyDescent="0.3">
      <c r="B45" s="972"/>
      <c r="C45" s="333"/>
      <c r="D45" s="269"/>
      <c r="E45" s="270"/>
      <c r="F45" s="215"/>
      <c r="G45" s="213"/>
      <c r="H45" s="213"/>
      <c r="I45" s="213"/>
      <c r="J45" s="213"/>
      <c r="K45" s="213"/>
      <c r="L45" s="268">
        <f t="shared" si="138"/>
        <v>0</v>
      </c>
      <c r="M45" s="696">
        <f t="shared" si="93"/>
        <v>0</v>
      </c>
      <c r="N45" s="247"/>
      <c r="O45" s="215"/>
      <c r="P45" s="216"/>
      <c r="Q45" s="216"/>
      <c r="R45" s="216"/>
      <c r="S45" s="216"/>
      <c r="T45" s="227">
        <f t="shared" si="94"/>
        <v>0</v>
      </c>
      <c r="U45" s="301"/>
      <c r="V45" s="163"/>
      <c r="W45" s="697">
        <f t="shared" si="95"/>
        <v>0</v>
      </c>
      <c r="X45" s="212"/>
      <c r="Y45" s="213"/>
      <c r="Z45" s="698">
        <f t="shared" si="96"/>
        <v>0</v>
      </c>
      <c r="AA45" s="218"/>
      <c r="AB45" s="219"/>
      <c r="AC45" s="324"/>
      <c r="AD45" s="325"/>
      <c r="AE45" s="302"/>
      <c r="AF45" s="357"/>
      <c r="AG45" s="53">
        <f>IF(AND(AA45&lt;&gt;"",OR(AA45&lt;EXPEDIENTE!$I$25,AA45&gt;EXPEDIENTE!$I$29)),1,0)</f>
        <v>0</v>
      </c>
      <c r="AH45" s="53">
        <f>IF(AND(AB45&lt;&gt;"",OR(AB45&lt;EXPEDIENTE!$I$25,AB45&gt;EXPEDIENTE!$I$29)),1,0)</f>
        <v>0</v>
      </c>
      <c r="AM45" s="1014"/>
      <c r="AN45" s="560" t="str">
        <f t="shared" si="73"/>
        <v/>
      </c>
      <c r="AO45" s="236" t="str">
        <f t="shared" si="73"/>
        <v/>
      </c>
      <c r="AP45" s="237"/>
      <c r="AQ45" s="238" t="str">
        <f t="shared" si="97"/>
        <v/>
      </c>
      <c r="AR45" s="236" t="str">
        <f t="shared" si="74"/>
        <v/>
      </c>
      <c r="AS45" s="237"/>
      <c r="AT45" s="238" t="str">
        <f t="shared" si="98"/>
        <v/>
      </c>
      <c r="AU45" s="272">
        <f t="shared" si="75"/>
        <v>0</v>
      </c>
      <c r="AV45" s="225"/>
      <c r="AW45" s="226">
        <f t="shared" si="99"/>
        <v>0</v>
      </c>
      <c r="AX45" s="224">
        <f t="shared" si="76"/>
        <v>0</v>
      </c>
      <c r="AY45" s="227"/>
      <c r="AZ45" s="228">
        <f t="shared" si="100"/>
        <v>0</v>
      </c>
      <c r="BA45" s="228">
        <f t="shared" si="77"/>
        <v>0</v>
      </c>
      <c r="BB45" s="227"/>
      <c r="BC45" s="228">
        <f t="shared" si="101"/>
        <v>0</v>
      </c>
      <c r="BD45" s="228">
        <f t="shared" si="78"/>
        <v>0</v>
      </c>
      <c r="BE45" s="227"/>
      <c r="BF45" s="228">
        <f t="shared" si="102"/>
        <v>0</v>
      </c>
      <c r="BG45" s="228">
        <f t="shared" si="79"/>
        <v>0</v>
      </c>
      <c r="BH45" s="227"/>
      <c r="BI45" s="228">
        <f t="shared" si="103"/>
        <v>0</v>
      </c>
      <c r="BJ45" s="228">
        <f t="shared" si="80"/>
        <v>0</v>
      </c>
      <c r="BK45" s="227"/>
      <c r="BL45" s="228">
        <f t="shared" si="104"/>
        <v>0</v>
      </c>
      <c r="BM45" s="229">
        <f t="shared" si="105"/>
        <v>0</v>
      </c>
      <c r="BN45" s="205">
        <f t="shared" si="106"/>
        <v>0</v>
      </c>
      <c r="BO45" s="255"/>
      <c r="BP45" s="224">
        <f t="shared" si="81"/>
        <v>0</v>
      </c>
      <c r="BQ45" s="225"/>
      <c r="BR45" s="231">
        <f t="shared" si="107"/>
        <v>0</v>
      </c>
      <c r="BS45" s="228">
        <f t="shared" si="82"/>
        <v>0</v>
      </c>
      <c r="BT45" s="227"/>
      <c r="BU45" s="228">
        <f t="shared" si="108"/>
        <v>0</v>
      </c>
      <c r="BV45" s="228">
        <f t="shared" si="83"/>
        <v>0</v>
      </c>
      <c r="BW45" s="227"/>
      <c r="BX45" s="228">
        <f t="shared" si="109"/>
        <v>0</v>
      </c>
      <c r="BY45" s="228">
        <f t="shared" si="84"/>
        <v>0</v>
      </c>
      <c r="BZ45" s="227"/>
      <c r="CA45" s="228">
        <f t="shared" si="110"/>
        <v>0</v>
      </c>
      <c r="CB45" s="228">
        <f t="shared" si="85"/>
        <v>0</v>
      </c>
      <c r="CC45" s="227"/>
      <c r="CD45" s="228">
        <f t="shared" si="111"/>
        <v>0</v>
      </c>
      <c r="CE45" s="229">
        <f t="shared" si="112"/>
        <v>0</v>
      </c>
      <c r="CF45" s="224">
        <f t="shared" si="86"/>
        <v>0</v>
      </c>
      <c r="CG45" s="227"/>
      <c r="CH45" s="232">
        <f t="shared" si="113"/>
        <v>0</v>
      </c>
      <c r="CI45" s="182"/>
      <c r="CJ45" s="230">
        <f t="shared" si="114"/>
        <v>0</v>
      </c>
      <c r="CK45" s="224">
        <f t="shared" si="87"/>
        <v>0</v>
      </c>
      <c r="CL45" s="225"/>
      <c r="CM45" s="226">
        <f t="shared" si="115"/>
        <v>0</v>
      </c>
      <c r="CN45" s="224">
        <f t="shared" si="88"/>
        <v>0</v>
      </c>
      <c r="CO45" s="273"/>
      <c r="CP45" s="274">
        <f t="shared" si="116"/>
        <v>0</v>
      </c>
      <c r="CQ45" s="275">
        <f t="shared" si="117"/>
        <v>0</v>
      </c>
      <c r="CR45" s="236" t="str">
        <f t="shared" si="89"/>
        <v/>
      </c>
      <c r="CS45" s="237"/>
      <c r="CT45" s="238" t="str">
        <f t="shared" si="118"/>
        <v/>
      </c>
      <c r="CU45" s="236" t="str">
        <f t="shared" si="90"/>
        <v/>
      </c>
      <c r="CV45" s="237"/>
      <c r="CW45" s="238" t="str">
        <f t="shared" si="119"/>
        <v/>
      </c>
      <c r="CX45" s="239" t="str">
        <f t="shared" si="120"/>
        <v/>
      </c>
      <c r="CY45" s="240"/>
      <c r="DA45" s="53">
        <f>IF(AND(CT45&lt;&gt;"",OR(CT45&lt;EXPEDIENTE!$I$25,CT45&gt;EXPEDIENTE!$I$29)),1,0)</f>
        <v>0</v>
      </c>
      <c r="DB45" s="53">
        <f>IF(AND(CW45&lt;&gt;"",OR(CW45&lt;EXPEDIENTE!$I$25,CW45&gt;EXPEDIENTE!$I$29)),1,0)</f>
        <v>0</v>
      </c>
      <c r="DD45" s="55">
        <f t="shared" si="91"/>
        <v>0</v>
      </c>
      <c r="DE45" s="55">
        <f t="shared" si="121"/>
        <v>0</v>
      </c>
      <c r="DF45" s="55">
        <f t="shared" si="122"/>
        <v>0</v>
      </c>
      <c r="DG45" s="55">
        <f t="shared" si="123"/>
        <v>0</v>
      </c>
      <c r="DH45" s="55">
        <f t="shared" si="124"/>
        <v>0</v>
      </c>
      <c r="DI45" s="55">
        <f t="shared" si="125"/>
        <v>0</v>
      </c>
      <c r="DJ45" s="55">
        <f t="shared" si="126"/>
        <v>0</v>
      </c>
      <c r="DK45" s="55">
        <f t="shared" si="127"/>
        <v>0</v>
      </c>
      <c r="DL45" s="55">
        <f t="shared" si="128"/>
        <v>0</v>
      </c>
      <c r="DM45" s="55">
        <f t="shared" si="129"/>
        <v>0</v>
      </c>
      <c r="DN45" s="55">
        <f t="shared" si="130"/>
        <v>0</v>
      </c>
      <c r="DO45" s="55">
        <f t="shared" si="131"/>
        <v>0</v>
      </c>
      <c r="DP45" s="55">
        <f t="shared" si="132"/>
        <v>0</v>
      </c>
      <c r="DQ45" s="55">
        <f t="shared" si="133"/>
        <v>0</v>
      </c>
      <c r="DR45" s="55">
        <f t="shared" si="134"/>
        <v>0</v>
      </c>
      <c r="DS45" s="55">
        <f t="shared" si="135"/>
        <v>0</v>
      </c>
      <c r="DT45" s="55">
        <f t="shared" si="136"/>
        <v>0</v>
      </c>
      <c r="DU45" s="55">
        <f t="shared" si="137"/>
        <v>0</v>
      </c>
      <c r="DW45" s="55">
        <f>IF(CY45&lt;&gt;"",MAX($DW$9:DW44)+1,0)</f>
        <v>0</v>
      </c>
      <c r="DX45" s="130" t="str">
        <f t="shared" si="92"/>
        <v/>
      </c>
    </row>
    <row r="46" spans="2:128" ht="9.9499999999999993" customHeight="1" thickBot="1" x14ac:dyDescent="0.3">
      <c r="B46" s="972"/>
      <c r="C46" s="336"/>
      <c r="D46" s="337"/>
      <c r="E46" s="337"/>
      <c r="F46" s="337"/>
      <c r="G46" s="337"/>
      <c r="H46" s="337"/>
      <c r="I46" s="337"/>
      <c r="J46" s="337"/>
      <c r="K46" s="337"/>
      <c r="L46" s="337"/>
      <c r="M46" s="338"/>
      <c r="N46" s="349"/>
      <c r="O46" s="354"/>
      <c r="P46" s="354"/>
      <c r="Q46" s="354"/>
      <c r="R46" s="354"/>
      <c r="S46" s="354"/>
      <c r="T46" s="354"/>
      <c r="U46" s="354"/>
      <c r="V46" s="351"/>
      <c r="W46" s="339"/>
      <c r="X46" s="337"/>
      <c r="Y46" s="337"/>
      <c r="Z46" s="337"/>
      <c r="AA46" s="337"/>
      <c r="AB46" s="337"/>
      <c r="AC46" s="337"/>
      <c r="AD46" s="337"/>
      <c r="AE46" s="337"/>
      <c r="AF46" s="357"/>
      <c r="AM46" s="1014"/>
      <c r="AN46" s="379"/>
      <c r="AO46" s="393"/>
      <c r="AP46" s="393"/>
      <c r="AQ46" s="393"/>
      <c r="AR46" s="393"/>
      <c r="AS46" s="393"/>
      <c r="AT46" s="393"/>
      <c r="AU46" s="393"/>
      <c r="AV46" s="393"/>
      <c r="AW46" s="393"/>
      <c r="AX46" s="393"/>
      <c r="AY46" s="393"/>
      <c r="AZ46" s="393"/>
      <c r="BA46" s="393"/>
      <c r="BB46" s="393"/>
      <c r="BC46" s="393"/>
      <c r="BD46" s="393"/>
      <c r="BE46" s="393"/>
      <c r="BF46" s="393"/>
      <c r="BG46" s="393"/>
      <c r="BH46" s="393"/>
      <c r="BI46" s="393"/>
      <c r="BJ46" s="393"/>
      <c r="BK46" s="393"/>
      <c r="BL46" s="393"/>
      <c r="BM46" s="393"/>
      <c r="BN46" s="400"/>
      <c r="BO46" s="404"/>
      <c r="BP46" s="405"/>
      <c r="BQ46" s="405"/>
      <c r="BR46" s="405"/>
      <c r="BS46" s="405"/>
      <c r="BT46" s="405"/>
      <c r="BU46" s="405"/>
      <c r="BV46" s="405"/>
      <c r="BW46" s="405"/>
      <c r="BX46" s="405"/>
      <c r="BY46" s="405"/>
      <c r="BZ46" s="405"/>
      <c r="CA46" s="405"/>
      <c r="CB46" s="405"/>
      <c r="CC46" s="405"/>
      <c r="CD46" s="405"/>
      <c r="CE46" s="405"/>
      <c r="CF46" s="352"/>
      <c r="CG46" s="352"/>
      <c r="CH46" s="352"/>
      <c r="CI46" s="406"/>
      <c r="CJ46" s="384"/>
      <c r="CK46" s="380"/>
      <c r="CL46" s="380"/>
      <c r="CM46" s="380"/>
      <c r="CN46" s="380"/>
      <c r="CO46" s="380"/>
      <c r="CP46" s="380"/>
      <c r="CQ46" s="380"/>
      <c r="CR46" s="380"/>
      <c r="CS46" s="380"/>
      <c r="CT46" s="380"/>
      <c r="CU46" s="380"/>
      <c r="CV46" s="380"/>
      <c r="CW46" s="380"/>
      <c r="CX46" s="380"/>
      <c r="CY46" s="385"/>
    </row>
    <row r="47" spans="2:128" ht="9.9499999999999993" customHeight="1" thickBot="1" x14ac:dyDescent="0.3">
      <c r="B47" s="972"/>
      <c r="C47" s="348"/>
      <c r="D47" s="341"/>
      <c r="E47" s="341"/>
      <c r="F47" s="341"/>
      <c r="G47" s="341"/>
      <c r="H47" s="341"/>
      <c r="I47" s="341"/>
      <c r="J47" s="341"/>
      <c r="K47" s="341"/>
      <c r="L47" s="341"/>
      <c r="M47" s="341"/>
      <c r="N47" s="341"/>
      <c r="O47" s="341"/>
      <c r="P47" s="341"/>
      <c r="Q47" s="341"/>
      <c r="R47" s="341"/>
      <c r="S47" s="341"/>
      <c r="T47" s="341"/>
      <c r="U47" s="341"/>
      <c r="V47" s="341"/>
      <c r="W47" s="341"/>
      <c r="X47" s="341"/>
      <c r="Y47" s="341"/>
      <c r="Z47" s="341"/>
      <c r="AA47" s="341"/>
      <c r="AB47" s="341"/>
      <c r="AC47" s="341"/>
      <c r="AD47" s="341"/>
      <c r="AE47" s="341"/>
      <c r="AF47" s="357"/>
      <c r="AM47" s="1014"/>
      <c r="AN47" s="377"/>
      <c r="AO47" s="378"/>
      <c r="AP47" s="378"/>
      <c r="AQ47" s="378"/>
      <c r="AR47" s="378"/>
      <c r="AS47" s="378"/>
      <c r="AT47" s="378"/>
      <c r="AU47" s="378"/>
      <c r="AV47" s="378"/>
      <c r="AW47" s="378"/>
      <c r="AX47" s="378"/>
      <c r="AY47" s="378"/>
      <c r="AZ47" s="378"/>
      <c r="BA47" s="378"/>
      <c r="BB47" s="378"/>
      <c r="BC47" s="378"/>
      <c r="BD47" s="378"/>
      <c r="BE47" s="378"/>
      <c r="BF47" s="378"/>
      <c r="BG47" s="378"/>
      <c r="BH47" s="378"/>
      <c r="BI47" s="378"/>
      <c r="BJ47" s="378"/>
      <c r="BK47" s="378"/>
      <c r="BL47" s="393"/>
      <c r="BM47" s="393"/>
      <c r="BN47" s="393"/>
      <c r="BO47" s="382"/>
      <c r="BP47" s="382"/>
      <c r="BQ47" s="382"/>
      <c r="BR47" s="382"/>
      <c r="BS47" s="382"/>
      <c r="BT47" s="382"/>
      <c r="BU47" s="382"/>
      <c r="BV47" s="382"/>
      <c r="BW47" s="382"/>
      <c r="BX47" s="382"/>
      <c r="BY47" s="382"/>
      <c r="BZ47" s="382"/>
      <c r="CA47" s="382"/>
      <c r="CB47" s="382"/>
      <c r="CC47" s="382"/>
      <c r="CD47" s="382"/>
      <c r="CE47" s="382"/>
      <c r="CF47" s="382"/>
      <c r="CG47" s="382"/>
      <c r="CH47" s="382"/>
      <c r="CI47" s="382"/>
      <c r="CJ47" s="393"/>
      <c r="CK47" s="393"/>
      <c r="CL47" s="393"/>
      <c r="CM47" s="393"/>
      <c r="CN47" s="393"/>
      <c r="CO47" s="393"/>
      <c r="CP47" s="393"/>
      <c r="CQ47" s="393"/>
      <c r="CR47" s="393"/>
      <c r="CS47" s="393"/>
      <c r="CT47" s="393"/>
      <c r="CU47" s="393"/>
      <c r="CV47" s="393"/>
      <c r="CW47" s="393"/>
      <c r="CX47" s="393"/>
      <c r="CY47" s="394"/>
    </row>
    <row r="48" spans="2:128" ht="9.9499999999999993" customHeight="1" thickTop="1" thickBot="1" x14ac:dyDescent="0.3">
      <c r="B48" s="972"/>
      <c r="C48" s="841" t="str">
        <f>CONCATENATE("SEGURIDAD SOCIAL EMPRESA EJERCICIO ",YEAR(EXPEDIENTE!F25)+2)</f>
        <v>SEGURIDAD SOCIAL EMPRESA EJERCICIO 2027</v>
      </c>
      <c r="D48" s="841"/>
      <c r="E48" s="841"/>
      <c r="F48" s="841"/>
      <c r="G48" s="841"/>
      <c r="H48" s="841"/>
      <c r="I48" s="841"/>
      <c r="J48" s="841"/>
      <c r="K48" s="841"/>
      <c r="L48" s="841"/>
      <c r="M48" s="841"/>
      <c r="N48" s="353"/>
      <c r="O48" s="365"/>
      <c r="P48" s="365"/>
      <c r="Q48" s="365"/>
      <c r="R48" s="365"/>
      <c r="S48" s="365"/>
      <c r="T48" s="365"/>
      <c r="U48" s="365"/>
      <c r="V48" s="365"/>
      <c r="W48" s="365"/>
      <c r="X48" s="365"/>
      <c r="Y48" s="365"/>
      <c r="Z48" s="365"/>
      <c r="AA48" s="365"/>
      <c r="AB48" s="365"/>
      <c r="AC48" s="365"/>
      <c r="AD48" s="365"/>
      <c r="AE48" s="365"/>
      <c r="AF48" s="363"/>
      <c r="AL48" s="82"/>
      <c r="AM48" s="1014"/>
      <c r="AN48" s="843" t="str">
        <f>CONCATENATE("SEGURIDAD SOCIAL EMPRESA EJERCICIO ",YEAR(EXPEDIENTE!$F$25)+2)</f>
        <v>SEGURIDAD SOCIAL EMPRESA EJERCICIO 2027</v>
      </c>
      <c r="AO48" s="843"/>
      <c r="AP48" s="843"/>
      <c r="AQ48" s="843"/>
      <c r="AR48" s="843"/>
      <c r="AS48" s="843"/>
      <c r="AT48" s="843"/>
      <c r="AU48" s="843"/>
      <c r="AV48" s="843"/>
      <c r="AW48" s="843"/>
      <c r="AX48" s="843"/>
      <c r="AY48" s="843"/>
      <c r="AZ48" s="843"/>
      <c r="BA48" s="843"/>
      <c r="BB48" s="843"/>
      <c r="BC48" s="843"/>
      <c r="BD48" s="843"/>
      <c r="BE48" s="843"/>
      <c r="BF48" s="843"/>
      <c r="BG48" s="843"/>
      <c r="BH48" s="843"/>
      <c r="BI48" s="843"/>
      <c r="BJ48" s="843"/>
      <c r="BK48" s="843"/>
      <c r="BL48" s="843"/>
      <c r="BM48" s="843"/>
      <c r="BN48" s="843"/>
      <c r="BO48" s="843"/>
      <c r="BP48" s="843"/>
      <c r="BQ48" s="843"/>
      <c r="BR48" s="843"/>
      <c r="BS48" s="844"/>
      <c r="BT48" s="368"/>
      <c r="BU48" s="368"/>
      <c r="BV48" s="368"/>
      <c r="BW48" s="368"/>
      <c r="BX48" s="368"/>
      <c r="BY48" s="368"/>
      <c r="BZ48" s="368"/>
      <c r="CA48" s="368"/>
      <c r="CB48" s="368"/>
      <c r="CC48" s="368"/>
      <c r="CD48" s="368"/>
      <c r="CE48" s="368"/>
      <c r="CF48" s="368"/>
      <c r="CG48" s="368"/>
      <c r="CH48" s="368"/>
      <c r="CI48" s="368"/>
      <c r="CJ48" s="368"/>
      <c r="CK48" s="368"/>
      <c r="CL48" s="368"/>
      <c r="CM48" s="368"/>
      <c r="CN48" s="368"/>
      <c r="CO48" s="368"/>
      <c r="CP48" s="368"/>
      <c r="CQ48" s="368"/>
      <c r="CR48" s="368"/>
      <c r="CS48" s="368"/>
      <c r="CT48" s="368"/>
      <c r="CU48" s="368"/>
      <c r="CV48" s="368"/>
      <c r="CW48" s="368"/>
      <c r="CX48" s="368"/>
      <c r="CY48" s="368"/>
      <c r="CZ48" s="82"/>
    </row>
    <row r="49" spans="2:128" ht="24.95" customHeight="1" thickTop="1" thickBot="1" x14ac:dyDescent="0.3">
      <c r="B49" s="972"/>
      <c r="C49" s="842"/>
      <c r="D49" s="842"/>
      <c r="E49" s="842"/>
      <c r="F49" s="842"/>
      <c r="G49" s="842"/>
      <c r="H49" s="842"/>
      <c r="I49" s="842"/>
      <c r="J49" s="842"/>
      <c r="K49" s="842"/>
      <c r="L49" s="842"/>
      <c r="M49" s="842"/>
      <c r="N49" s="362"/>
      <c r="AM49" s="1014"/>
      <c r="AN49" s="845"/>
      <c r="AO49" s="845"/>
      <c r="AP49" s="845"/>
      <c r="AQ49" s="845"/>
      <c r="AR49" s="845"/>
      <c r="AS49" s="845"/>
      <c r="AT49" s="845"/>
      <c r="AU49" s="845"/>
      <c r="AV49" s="845"/>
      <c r="AW49" s="845"/>
      <c r="AX49" s="845"/>
      <c r="AY49" s="845"/>
      <c r="AZ49" s="845"/>
      <c r="BA49" s="845"/>
      <c r="BB49" s="845"/>
      <c r="BC49" s="845"/>
      <c r="BD49" s="845"/>
      <c r="BE49" s="845"/>
      <c r="BF49" s="845"/>
      <c r="BG49" s="845"/>
      <c r="BH49" s="845"/>
      <c r="BI49" s="845"/>
      <c r="BJ49" s="845"/>
      <c r="BK49" s="845"/>
      <c r="BL49" s="845"/>
      <c r="BM49" s="845"/>
      <c r="BN49" s="845"/>
      <c r="BO49" s="845"/>
      <c r="BP49" s="845"/>
      <c r="BQ49" s="845"/>
      <c r="BR49" s="845"/>
      <c r="BS49" s="846"/>
      <c r="CY49" s="81"/>
      <c r="CZ49" s="53"/>
      <c r="DB49" s="47"/>
    </row>
    <row r="50" spans="2:128" ht="20.100000000000001" customHeight="1" thickTop="1" thickBot="1" x14ac:dyDescent="0.3">
      <c r="B50" s="972"/>
      <c r="C50" s="987" t="s">
        <v>91</v>
      </c>
      <c r="D50" s="989" t="str">
        <f>IF(OR(SUM(T20:T31)&gt;0,SUM(T38:T45)&gt;0),"BASE
COTIZACIÓN
SUBVENCIO.","BASE
COTIZACIÓN")</f>
        <v>BASE
COTIZACIÓN</v>
      </c>
      <c r="E50" s="989" t="s">
        <v>291</v>
      </c>
      <c r="F50" s="989" t="s">
        <v>292</v>
      </c>
      <c r="G50" s="989" t="s">
        <v>293</v>
      </c>
      <c r="H50" s="989" t="s">
        <v>294</v>
      </c>
      <c r="I50" s="1043" t="s">
        <v>295</v>
      </c>
      <c r="J50" s="992" t="s">
        <v>204</v>
      </c>
      <c r="K50" s="993"/>
      <c r="L50" s="993"/>
      <c r="M50" s="994"/>
      <c r="N50" s="362"/>
      <c r="AM50" s="1014"/>
      <c r="AN50" s="853" t="s">
        <v>91</v>
      </c>
      <c r="AO50" s="1016" t="s">
        <v>296</v>
      </c>
      <c r="AP50" s="1017"/>
      <c r="AQ50" s="1018"/>
      <c r="AR50" s="923" t="s">
        <v>291</v>
      </c>
      <c r="AS50" s="855"/>
      <c r="AT50" s="856"/>
      <c r="AU50" s="834" t="s">
        <v>297</v>
      </c>
      <c r="AV50" s="835"/>
      <c r="AW50" s="836"/>
      <c r="AX50" s="834" t="s">
        <v>298</v>
      </c>
      <c r="AY50" s="835"/>
      <c r="AZ50" s="836"/>
      <c r="BA50" s="923" t="s">
        <v>294</v>
      </c>
      <c r="BB50" s="855"/>
      <c r="BC50" s="856"/>
      <c r="BD50" s="834" t="s">
        <v>299</v>
      </c>
      <c r="BE50" s="835"/>
      <c r="BF50" s="836"/>
      <c r="BG50" s="847" t="s">
        <v>212</v>
      </c>
      <c r="BH50" s="871" t="s">
        <v>213</v>
      </c>
      <c r="BI50" s="872"/>
      <c r="BJ50" s="872"/>
      <c r="BK50" s="872"/>
      <c r="BL50" s="872"/>
      <c r="BM50" s="872"/>
      <c r="BN50" s="872"/>
      <c r="BO50" s="872"/>
      <c r="BP50" s="872"/>
      <c r="BQ50" s="872"/>
      <c r="BR50" s="872"/>
      <c r="BS50" s="873"/>
      <c r="DA50" s="47"/>
      <c r="DB50" s="47"/>
      <c r="DC50" s="53"/>
    </row>
    <row r="51" spans="2:128" ht="50.1" customHeight="1" thickBot="1" x14ac:dyDescent="0.3">
      <c r="B51" s="972"/>
      <c r="C51" s="988"/>
      <c r="D51" s="899"/>
      <c r="E51" s="899"/>
      <c r="F51" s="899"/>
      <c r="G51" s="899"/>
      <c r="H51" s="899"/>
      <c r="I51" s="901"/>
      <c r="J51" s="995"/>
      <c r="K51" s="996"/>
      <c r="L51" s="996"/>
      <c r="M51" s="997"/>
      <c r="N51" s="357"/>
      <c r="AM51" s="1014"/>
      <c r="AN51" s="854"/>
      <c r="AO51" s="149" t="s">
        <v>161</v>
      </c>
      <c r="AP51" s="557" t="s">
        <v>68</v>
      </c>
      <c r="AQ51" s="150" t="s">
        <v>162</v>
      </c>
      <c r="AR51" s="924"/>
      <c r="AS51" s="855"/>
      <c r="AT51" s="856"/>
      <c r="AU51" s="276" t="s">
        <v>161</v>
      </c>
      <c r="AV51" s="561" t="s">
        <v>68</v>
      </c>
      <c r="AW51" s="277" t="s">
        <v>162</v>
      </c>
      <c r="AX51" s="276" t="s">
        <v>161</v>
      </c>
      <c r="AY51" s="562" t="s">
        <v>68</v>
      </c>
      <c r="AZ51" s="277" t="s">
        <v>162</v>
      </c>
      <c r="BA51" s="924"/>
      <c r="BB51" s="855"/>
      <c r="BC51" s="856"/>
      <c r="BD51" s="276" t="s">
        <v>161</v>
      </c>
      <c r="BE51" s="562" t="s">
        <v>68</v>
      </c>
      <c r="BF51" s="277" t="s">
        <v>162</v>
      </c>
      <c r="BG51" s="848"/>
      <c r="BH51" s="874"/>
      <c r="BI51" s="875"/>
      <c r="BJ51" s="875"/>
      <c r="BK51" s="875"/>
      <c r="BL51" s="875"/>
      <c r="BM51" s="875"/>
      <c r="BN51" s="875"/>
      <c r="BO51" s="875"/>
      <c r="BP51" s="875"/>
      <c r="BQ51" s="875"/>
      <c r="BR51" s="875"/>
      <c r="BS51" s="876"/>
      <c r="DA51" s="47"/>
      <c r="DB51" s="47"/>
      <c r="DD51" s="55" t="s">
        <v>164</v>
      </c>
      <c r="DE51" s="55" t="s">
        <v>300</v>
      </c>
      <c r="DF51" s="55" t="s">
        <v>166</v>
      </c>
      <c r="DG51" s="55" t="s">
        <v>167</v>
      </c>
      <c r="DH51" s="55" t="s">
        <v>169</v>
      </c>
      <c r="DU51" s="47"/>
    </row>
    <row r="52" spans="2:128" ht="30" customHeight="1" x14ac:dyDescent="0.25">
      <c r="B52" s="972"/>
      <c r="C52" s="389" t="s">
        <v>270</v>
      </c>
      <c r="D52" s="160"/>
      <c r="E52" s="203">
        <f>ROUND(D52*$F$15,2)</f>
        <v>0</v>
      </c>
      <c r="F52" s="160"/>
      <c r="G52" s="160"/>
      <c r="H52" s="699">
        <f>E52+F52-G52</f>
        <v>0</v>
      </c>
      <c r="I52" s="342"/>
      <c r="J52" s="1006"/>
      <c r="K52" s="1007"/>
      <c r="L52" s="1007"/>
      <c r="M52" s="1008"/>
      <c r="N52" s="357"/>
      <c r="P52" s="837" t="str">
        <f>IF(OR(SUM(T20:T31)&gt;0,SUM(T38:T45)&gt;0),"NOTA:
Se ha minorado el importe subvencionable de alguna de las nóminas del ejercicio.
En consecuencia, en la columna:
''BASE
COTIZACIÓN
SUBVENCIO.''
se deberá reflejar la base de cotización mensual restándole dicha minoración.","")</f>
        <v/>
      </c>
      <c r="Q52" s="837"/>
      <c r="AG52" s="53">
        <f>IF(AND(I52&lt;&gt;"",OR(I52&lt;EXPEDIENTE!$I$25,I52&gt;EXPEDIENTE!$I$29)),1,0)</f>
        <v>0</v>
      </c>
      <c r="AI52" s="53">
        <f>IF(DATE(YEAR(EXPEDIENTE!$I$25)+2,MONTH(DATEVALUE($C52&amp;"1")),1)&gt;=DATE(YEAR(EXPEDIENTE!$I$25),MONTH(EXPEDIENTE!$I$25),1),0,1)</f>
        <v>0</v>
      </c>
      <c r="AJ52" s="53" t="e">
        <f>IF(DATE(YEAR(EXPEDIENTE!$I$25)+2,MONTH(DATEVALUE($C52&amp;"1")),1)&lt;=DATE(YEAR(EXPEDIENTE!$I$27),MONTH(EXPEDIENTE!$I$27),1),0,1)</f>
        <v>#VALUE!</v>
      </c>
      <c r="AK52" s="53" t="e">
        <f>SUM(AI52:AJ52)</f>
        <v>#VALUE!</v>
      </c>
      <c r="AM52" s="1014"/>
      <c r="AN52" s="387" t="s">
        <v>270</v>
      </c>
      <c r="AO52" s="179">
        <f>IF(D52="",0,D52)</f>
        <v>0</v>
      </c>
      <c r="AP52" s="180"/>
      <c r="AQ52" s="181">
        <f>IF(AP52="",AO52,AP52)</f>
        <v>0</v>
      </c>
      <c r="AR52" s="183">
        <f t="shared" ref="AR52:AR63" si="141">IFERROR(ROUND(AQ52*$AT$15,2),0)</f>
        <v>0</v>
      </c>
      <c r="AS52" s="855"/>
      <c r="AT52" s="856"/>
      <c r="AU52" s="179">
        <f>IF(F52="",0,F52)</f>
        <v>0</v>
      </c>
      <c r="AV52" s="180"/>
      <c r="AW52" s="181">
        <f>IF(AV52="",AU52,AV52)</f>
        <v>0</v>
      </c>
      <c r="AX52" s="170">
        <f>IF(G52="",0,G52)</f>
        <v>0</v>
      </c>
      <c r="AY52" s="173"/>
      <c r="AZ52" s="262">
        <f>IF(AY52="",AX52,AY52)</f>
        <v>0</v>
      </c>
      <c r="BA52" s="278">
        <f t="shared" ref="BA52:BA63" si="142">IFERROR(AR52+AW52-AZ52,0)</f>
        <v>0</v>
      </c>
      <c r="BB52" s="855"/>
      <c r="BC52" s="856"/>
      <c r="BD52" s="252" t="str">
        <f t="shared" ref="BD52:BD63" si="143">IF(I52="","",I52)</f>
        <v/>
      </c>
      <c r="BE52" s="259"/>
      <c r="BF52" s="254" t="str">
        <f>IF(BE52="",BD52,BE52)</f>
        <v/>
      </c>
      <c r="BG52" s="191" t="str">
        <f>IF(DD52=0,"",DD52)</f>
        <v/>
      </c>
      <c r="BH52" s="880"/>
      <c r="BI52" s="881"/>
      <c r="BJ52" s="881"/>
      <c r="BK52" s="881"/>
      <c r="BL52" s="881"/>
      <c r="BM52" s="881"/>
      <c r="BN52" s="881"/>
      <c r="BO52" s="881"/>
      <c r="BP52" s="881"/>
      <c r="BQ52" s="881"/>
      <c r="BR52" s="881"/>
      <c r="BS52" s="882"/>
      <c r="DA52" s="53">
        <f>IF(AND(BE52&lt;&gt;"",OR(BE52&lt;EXPEDIENTE!$I$25,BE52&gt;EXPEDIENTE!$I$29)),1,0)</f>
        <v>0</v>
      </c>
      <c r="DB52" s="47"/>
      <c r="DD52" s="55">
        <f t="shared" ref="DD52:DD63" si="144">SUM(DE52:DT52)</f>
        <v>0</v>
      </c>
      <c r="DE52" s="55">
        <f>IF(AP52="",0,1)</f>
        <v>0</v>
      </c>
      <c r="DF52" s="55">
        <f>IF(AV52="",0,1)</f>
        <v>0</v>
      </c>
      <c r="DG52" s="55">
        <f>IF(AY52="",0,1)</f>
        <v>0</v>
      </c>
      <c r="DH52" s="55">
        <f t="shared" ref="DH52:DH63" si="145">IF(BE52="",0,1)</f>
        <v>0</v>
      </c>
      <c r="DU52" s="47"/>
      <c r="DW52" s="55">
        <f>IF(BH52&lt;&gt;"",MAX($DW$9:DW51)+1,0)</f>
        <v>0</v>
      </c>
      <c r="DX52" s="130" t="str">
        <f>IF(DW52=0,"",BH52)</f>
        <v/>
      </c>
    </row>
    <row r="53" spans="2:128" ht="30" customHeight="1" x14ac:dyDescent="0.25">
      <c r="B53" s="972"/>
      <c r="C53" s="390" t="s">
        <v>271</v>
      </c>
      <c r="D53" s="195"/>
      <c r="E53" s="203">
        <f t="shared" ref="E53:E63" si="146">ROUND(D53*$F$15,2)</f>
        <v>0</v>
      </c>
      <c r="F53" s="195"/>
      <c r="G53" s="195"/>
      <c r="H53" s="692">
        <f t="shared" ref="H53:H63" si="147">E53+F53-G53</f>
        <v>0</v>
      </c>
      <c r="I53" s="343"/>
      <c r="J53" s="1001"/>
      <c r="K53" s="1002"/>
      <c r="L53" s="1002"/>
      <c r="M53" s="1003"/>
      <c r="N53" s="357"/>
      <c r="O53" s="633"/>
      <c r="P53" s="837"/>
      <c r="Q53" s="837"/>
      <c r="AG53" s="53">
        <f>IF(AND(I53&lt;&gt;"",OR(I53&lt;EXPEDIENTE!$I$25,I53&gt;EXPEDIENTE!$I$29)),1,0)</f>
        <v>0</v>
      </c>
      <c r="AI53" s="53">
        <f>IF(DATE(YEAR(EXPEDIENTE!$I$25)+2,MONTH(DATEVALUE($C53&amp;"1")),1)&gt;=DATE(YEAR(EXPEDIENTE!$I$25),MONTH(EXPEDIENTE!$I$25),1),0,1)</f>
        <v>0</v>
      </c>
      <c r="AJ53" s="53" t="e">
        <f>IF(DATE(YEAR(EXPEDIENTE!$I$25)+2,MONTH(DATEVALUE($C53&amp;"1")),1)&lt;=DATE(YEAR(EXPEDIENTE!$I$27),MONTH(EXPEDIENTE!$I$27),1),0,1)</f>
        <v>#VALUE!</v>
      </c>
      <c r="AK53" s="53" t="e">
        <f t="shared" ref="AK53:AK63" si="148">SUM(AI53:AJ53)</f>
        <v>#VALUE!</v>
      </c>
      <c r="AM53" s="1014"/>
      <c r="AN53" s="388" t="s">
        <v>271</v>
      </c>
      <c r="AO53" s="200">
        <f t="shared" ref="AO53:AO63" si="149">IF(D53="",0,D53)</f>
        <v>0</v>
      </c>
      <c r="AP53" s="203"/>
      <c r="AQ53" s="207">
        <f t="shared" ref="AQ53:AQ63" si="150">IF(AP53="",AO53,AP53)</f>
        <v>0</v>
      </c>
      <c r="AR53" s="208">
        <f t="shared" si="141"/>
        <v>0</v>
      </c>
      <c r="AS53" s="855"/>
      <c r="AT53" s="856"/>
      <c r="AU53" s="200">
        <f t="shared" ref="AU53:AU63" si="151">IF(F53="",0,F53)</f>
        <v>0</v>
      </c>
      <c r="AV53" s="203"/>
      <c r="AW53" s="207">
        <f t="shared" ref="AW53:AW63" si="152">IF(AV53="",AU53,AV53)</f>
        <v>0</v>
      </c>
      <c r="AX53" s="200">
        <f t="shared" ref="AX53:AX63" si="153">IF(G53="",0,G53)</f>
        <v>0</v>
      </c>
      <c r="AY53" s="203"/>
      <c r="AZ53" s="207">
        <f t="shared" ref="AZ53:AZ63" si="154">IF(AY53="",AX53,AY53)</f>
        <v>0</v>
      </c>
      <c r="BA53" s="279">
        <f t="shared" si="142"/>
        <v>0</v>
      </c>
      <c r="BB53" s="855"/>
      <c r="BC53" s="856"/>
      <c r="BD53" s="185" t="str">
        <f t="shared" si="143"/>
        <v/>
      </c>
      <c r="BE53" s="253"/>
      <c r="BF53" s="187" t="str">
        <f t="shared" ref="BF53:BF63" si="155">IF(BE53="",BD53,BE53)</f>
        <v/>
      </c>
      <c r="BG53" s="280" t="str">
        <f t="shared" ref="BG53:BG63" si="156">IF(DD53=0,"",DD53)</f>
        <v/>
      </c>
      <c r="BH53" s="868"/>
      <c r="BI53" s="869"/>
      <c r="BJ53" s="869"/>
      <c r="BK53" s="869"/>
      <c r="BL53" s="869"/>
      <c r="BM53" s="869"/>
      <c r="BN53" s="869"/>
      <c r="BO53" s="869"/>
      <c r="BP53" s="869"/>
      <c r="BQ53" s="869"/>
      <c r="BR53" s="869"/>
      <c r="BS53" s="870"/>
      <c r="DA53" s="53">
        <f>IF(AND(BE53&lt;&gt;"",OR(BE53&lt;EXPEDIENTE!$I$25,BE53&gt;EXPEDIENTE!$I$29)),1,0)</f>
        <v>0</v>
      </c>
      <c r="DB53" s="47"/>
      <c r="DD53" s="55">
        <f t="shared" si="144"/>
        <v>0</v>
      </c>
      <c r="DE53" s="55">
        <f t="shared" ref="DE53:DE63" si="157">IF(AP53="",0,1)</f>
        <v>0</v>
      </c>
      <c r="DF53" s="55">
        <f t="shared" ref="DF53:DF63" si="158">IF(AV53="",0,1)</f>
        <v>0</v>
      </c>
      <c r="DG53" s="55">
        <f t="shared" ref="DG53:DG63" si="159">IF(AY53="",0,1)</f>
        <v>0</v>
      </c>
      <c r="DH53" s="55">
        <f t="shared" si="145"/>
        <v>0</v>
      </c>
      <c r="DU53" s="47"/>
      <c r="DW53" s="55">
        <f>IF(BH53&lt;&gt;"",MAX($DW$9:DW52)+1,0)</f>
        <v>0</v>
      </c>
      <c r="DX53" s="130" t="str">
        <f t="shared" ref="DX53:DX63" si="160">IF(DW53=0,"",BH53)</f>
        <v/>
      </c>
    </row>
    <row r="54" spans="2:128" ht="30" customHeight="1" x14ac:dyDescent="0.25">
      <c r="B54" s="972"/>
      <c r="C54" s="390" t="s">
        <v>272</v>
      </c>
      <c r="D54" s="195"/>
      <c r="E54" s="203">
        <f t="shared" si="146"/>
        <v>0</v>
      </c>
      <c r="F54" s="195"/>
      <c r="G54" s="195"/>
      <c r="H54" s="692">
        <f t="shared" si="147"/>
        <v>0</v>
      </c>
      <c r="I54" s="343"/>
      <c r="J54" s="1001"/>
      <c r="K54" s="1002"/>
      <c r="L54" s="1002"/>
      <c r="M54" s="1003"/>
      <c r="N54" s="364"/>
      <c r="O54" s="633"/>
      <c r="P54" s="837"/>
      <c r="Q54" s="837"/>
      <c r="AG54" s="53">
        <f>IF(AND(I54&lt;&gt;"",OR(I54&lt;EXPEDIENTE!$I$25,I54&gt;EXPEDIENTE!$I$29)),1,0)</f>
        <v>0</v>
      </c>
      <c r="AI54" s="53">
        <f>IF(DATE(YEAR(EXPEDIENTE!$I$25)+2,MONTH(DATEVALUE($C54&amp;"1")),1)&gt;=DATE(YEAR(EXPEDIENTE!$I$25),MONTH(EXPEDIENTE!$I$25),1),0,1)</f>
        <v>0</v>
      </c>
      <c r="AJ54" s="53" t="e">
        <f>IF(DATE(YEAR(EXPEDIENTE!$I$25)+2,MONTH(DATEVALUE($C54&amp;"1")),1)&lt;=DATE(YEAR(EXPEDIENTE!$I$27),MONTH(EXPEDIENTE!$I$27),1),0,1)</f>
        <v>#VALUE!</v>
      </c>
      <c r="AK54" s="53" t="e">
        <f t="shared" si="148"/>
        <v>#VALUE!</v>
      </c>
      <c r="AM54" s="1014"/>
      <c r="AN54" s="388" t="s">
        <v>272</v>
      </c>
      <c r="AO54" s="200">
        <f t="shared" si="149"/>
        <v>0</v>
      </c>
      <c r="AP54" s="203"/>
      <c r="AQ54" s="207">
        <f t="shared" si="150"/>
        <v>0</v>
      </c>
      <c r="AR54" s="208">
        <f t="shared" si="141"/>
        <v>0</v>
      </c>
      <c r="AS54" s="855"/>
      <c r="AT54" s="856"/>
      <c r="AU54" s="200">
        <f t="shared" si="151"/>
        <v>0</v>
      </c>
      <c r="AV54" s="203"/>
      <c r="AW54" s="207">
        <f t="shared" si="152"/>
        <v>0</v>
      </c>
      <c r="AX54" s="200">
        <f t="shared" si="153"/>
        <v>0</v>
      </c>
      <c r="AY54" s="203"/>
      <c r="AZ54" s="207">
        <f t="shared" si="154"/>
        <v>0</v>
      </c>
      <c r="BA54" s="279">
        <f t="shared" si="142"/>
        <v>0</v>
      </c>
      <c r="BB54" s="855"/>
      <c r="BC54" s="856"/>
      <c r="BD54" s="185" t="str">
        <f t="shared" si="143"/>
        <v/>
      </c>
      <c r="BE54" s="253"/>
      <c r="BF54" s="187" t="str">
        <f t="shared" si="155"/>
        <v/>
      </c>
      <c r="BG54" s="280" t="str">
        <f t="shared" si="156"/>
        <v/>
      </c>
      <c r="BH54" s="868"/>
      <c r="BI54" s="869"/>
      <c r="BJ54" s="869"/>
      <c r="BK54" s="869"/>
      <c r="BL54" s="869"/>
      <c r="BM54" s="869"/>
      <c r="BN54" s="869"/>
      <c r="BO54" s="869"/>
      <c r="BP54" s="869"/>
      <c r="BQ54" s="869"/>
      <c r="BR54" s="869"/>
      <c r="BS54" s="870"/>
      <c r="DA54" s="53">
        <f>IF(AND(BE54&lt;&gt;"",OR(BE54&lt;EXPEDIENTE!$I$25,BE54&gt;EXPEDIENTE!$I$29)),1,0)</f>
        <v>0</v>
      </c>
      <c r="DB54" s="47"/>
      <c r="DD54" s="55">
        <f t="shared" si="144"/>
        <v>0</v>
      </c>
      <c r="DE54" s="55">
        <f t="shared" si="157"/>
        <v>0</v>
      </c>
      <c r="DF54" s="55">
        <f t="shared" si="158"/>
        <v>0</v>
      </c>
      <c r="DG54" s="55">
        <f t="shared" si="159"/>
        <v>0</v>
      </c>
      <c r="DH54" s="55">
        <f t="shared" si="145"/>
        <v>0</v>
      </c>
      <c r="DU54" s="47"/>
      <c r="DW54" s="55">
        <f>IF(BH54&lt;&gt;"",MAX($DW$9:DW53)+1,0)</f>
        <v>0</v>
      </c>
      <c r="DX54" s="130" t="str">
        <f t="shared" si="160"/>
        <v/>
      </c>
    </row>
    <row r="55" spans="2:128" ht="30" customHeight="1" x14ac:dyDescent="0.25">
      <c r="B55" s="972"/>
      <c r="C55" s="390" t="s">
        <v>273</v>
      </c>
      <c r="D55" s="195"/>
      <c r="E55" s="203">
        <f t="shared" si="146"/>
        <v>0</v>
      </c>
      <c r="F55" s="195"/>
      <c r="G55" s="195"/>
      <c r="H55" s="692">
        <f t="shared" si="147"/>
        <v>0</v>
      </c>
      <c r="I55" s="343"/>
      <c r="J55" s="1001"/>
      <c r="K55" s="1002"/>
      <c r="L55" s="1002"/>
      <c r="M55" s="1003"/>
      <c r="N55" s="364"/>
      <c r="O55" s="633"/>
      <c r="P55" s="837"/>
      <c r="Q55" s="837"/>
      <c r="AG55" s="53">
        <f>IF(AND(I55&lt;&gt;"",OR(I55&lt;EXPEDIENTE!$I$25,I55&gt;EXPEDIENTE!$I$29)),1,0)</f>
        <v>0</v>
      </c>
      <c r="AI55" s="53">
        <f>IF(DATE(YEAR(EXPEDIENTE!$I$25)+2,MONTH(DATEVALUE($C55&amp;"1")),1)&gt;=DATE(YEAR(EXPEDIENTE!$I$25),MONTH(EXPEDIENTE!$I$25),1),0,1)</f>
        <v>0</v>
      </c>
      <c r="AJ55" s="53" t="e">
        <f>IF(DATE(YEAR(EXPEDIENTE!$I$25)+2,MONTH(DATEVALUE($C55&amp;"1")),1)&lt;=DATE(YEAR(EXPEDIENTE!$I$27),MONTH(EXPEDIENTE!$I$27),1),0,1)</f>
        <v>#VALUE!</v>
      </c>
      <c r="AK55" s="53" t="e">
        <f t="shared" si="148"/>
        <v>#VALUE!</v>
      </c>
      <c r="AM55" s="1014"/>
      <c r="AN55" s="388" t="s">
        <v>273</v>
      </c>
      <c r="AO55" s="200">
        <f t="shared" si="149"/>
        <v>0</v>
      </c>
      <c r="AP55" s="203"/>
      <c r="AQ55" s="207">
        <f t="shared" si="150"/>
        <v>0</v>
      </c>
      <c r="AR55" s="208">
        <f t="shared" si="141"/>
        <v>0</v>
      </c>
      <c r="AS55" s="855"/>
      <c r="AT55" s="856"/>
      <c r="AU55" s="200">
        <f t="shared" si="151"/>
        <v>0</v>
      </c>
      <c r="AV55" s="203"/>
      <c r="AW55" s="207">
        <f t="shared" si="152"/>
        <v>0</v>
      </c>
      <c r="AX55" s="200">
        <f t="shared" si="153"/>
        <v>0</v>
      </c>
      <c r="AY55" s="203"/>
      <c r="AZ55" s="207">
        <f t="shared" si="154"/>
        <v>0</v>
      </c>
      <c r="BA55" s="279">
        <f t="shared" si="142"/>
        <v>0</v>
      </c>
      <c r="BB55" s="855"/>
      <c r="BC55" s="856"/>
      <c r="BD55" s="185" t="str">
        <f t="shared" si="143"/>
        <v/>
      </c>
      <c r="BE55" s="253"/>
      <c r="BF55" s="187" t="str">
        <f t="shared" si="155"/>
        <v/>
      </c>
      <c r="BG55" s="280" t="str">
        <f t="shared" si="156"/>
        <v/>
      </c>
      <c r="BH55" s="868"/>
      <c r="BI55" s="869"/>
      <c r="BJ55" s="869"/>
      <c r="BK55" s="869"/>
      <c r="BL55" s="869"/>
      <c r="BM55" s="869"/>
      <c r="BN55" s="869"/>
      <c r="BO55" s="869"/>
      <c r="BP55" s="869"/>
      <c r="BQ55" s="869"/>
      <c r="BR55" s="869"/>
      <c r="BS55" s="870"/>
      <c r="DA55" s="53">
        <f>IF(AND(BE55&lt;&gt;"",OR(BE55&lt;EXPEDIENTE!$I$25,BE55&gt;EXPEDIENTE!$I$29)),1,0)</f>
        <v>0</v>
      </c>
      <c r="DB55" s="47"/>
      <c r="DD55" s="55">
        <f t="shared" si="144"/>
        <v>0</v>
      </c>
      <c r="DE55" s="55">
        <f t="shared" si="157"/>
        <v>0</v>
      </c>
      <c r="DF55" s="55">
        <f t="shared" si="158"/>
        <v>0</v>
      </c>
      <c r="DG55" s="55">
        <f t="shared" si="159"/>
        <v>0</v>
      </c>
      <c r="DH55" s="55">
        <f t="shared" si="145"/>
        <v>0</v>
      </c>
      <c r="DU55" s="47"/>
      <c r="DW55" s="55">
        <f>IF(BH55&lt;&gt;"",MAX($DW$9:DW54)+1,0)</f>
        <v>0</v>
      </c>
      <c r="DX55" s="130" t="str">
        <f t="shared" si="160"/>
        <v/>
      </c>
    </row>
    <row r="56" spans="2:128" ht="30" customHeight="1" x14ac:dyDescent="0.25">
      <c r="B56" s="972"/>
      <c r="C56" s="390" t="s">
        <v>274</v>
      </c>
      <c r="D56" s="195"/>
      <c r="E56" s="203">
        <f t="shared" si="146"/>
        <v>0</v>
      </c>
      <c r="F56" s="195"/>
      <c r="G56" s="195"/>
      <c r="H56" s="692">
        <f t="shared" si="147"/>
        <v>0</v>
      </c>
      <c r="I56" s="343"/>
      <c r="J56" s="1001"/>
      <c r="K56" s="1002"/>
      <c r="L56" s="1002"/>
      <c r="M56" s="1003"/>
      <c r="N56" s="364"/>
      <c r="O56" s="633"/>
      <c r="P56" s="837"/>
      <c r="Q56" s="837"/>
      <c r="AG56" s="53">
        <f>IF(AND(I56&lt;&gt;"",OR(I56&lt;EXPEDIENTE!$I$25,I56&gt;EXPEDIENTE!$I$29)),1,0)</f>
        <v>0</v>
      </c>
      <c r="AI56" s="53">
        <f>IF(DATE(YEAR(EXPEDIENTE!$I$25)+2,MONTH(DATEVALUE($C56&amp;"1")),1)&gt;=DATE(YEAR(EXPEDIENTE!$I$25),MONTH(EXPEDIENTE!$I$25),1),0,1)</f>
        <v>0</v>
      </c>
      <c r="AJ56" s="53" t="e">
        <f>IF(DATE(YEAR(EXPEDIENTE!$I$25)+2,MONTH(DATEVALUE($C56&amp;"1")),1)&lt;=DATE(YEAR(EXPEDIENTE!$I$27),MONTH(EXPEDIENTE!$I$27),1),0,1)</f>
        <v>#VALUE!</v>
      </c>
      <c r="AK56" s="53" t="e">
        <f t="shared" si="148"/>
        <v>#VALUE!</v>
      </c>
      <c r="AM56" s="1014"/>
      <c r="AN56" s="388" t="s">
        <v>274</v>
      </c>
      <c r="AO56" s="200">
        <f t="shared" si="149"/>
        <v>0</v>
      </c>
      <c r="AP56" s="203"/>
      <c r="AQ56" s="207">
        <f t="shared" si="150"/>
        <v>0</v>
      </c>
      <c r="AR56" s="208">
        <f t="shared" si="141"/>
        <v>0</v>
      </c>
      <c r="AS56" s="855"/>
      <c r="AT56" s="856"/>
      <c r="AU56" s="200">
        <f t="shared" si="151"/>
        <v>0</v>
      </c>
      <c r="AV56" s="203"/>
      <c r="AW56" s="207">
        <f t="shared" si="152"/>
        <v>0</v>
      </c>
      <c r="AX56" s="200">
        <f t="shared" si="153"/>
        <v>0</v>
      </c>
      <c r="AY56" s="203"/>
      <c r="AZ56" s="207">
        <f t="shared" si="154"/>
        <v>0</v>
      </c>
      <c r="BA56" s="279">
        <f t="shared" si="142"/>
        <v>0</v>
      </c>
      <c r="BB56" s="855"/>
      <c r="BC56" s="856"/>
      <c r="BD56" s="185" t="str">
        <f t="shared" si="143"/>
        <v/>
      </c>
      <c r="BE56" s="253"/>
      <c r="BF56" s="187" t="str">
        <f t="shared" si="155"/>
        <v/>
      </c>
      <c r="BG56" s="280" t="str">
        <f t="shared" si="156"/>
        <v/>
      </c>
      <c r="BH56" s="868"/>
      <c r="BI56" s="869"/>
      <c r="BJ56" s="869"/>
      <c r="BK56" s="869"/>
      <c r="BL56" s="869"/>
      <c r="BM56" s="869"/>
      <c r="BN56" s="869"/>
      <c r="BO56" s="869"/>
      <c r="BP56" s="869"/>
      <c r="BQ56" s="869"/>
      <c r="BR56" s="869"/>
      <c r="BS56" s="870"/>
      <c r="DA56" s="53">
        <f>IF(AND(BE56&lt;&gt;"",OR(BE56&lt;EXPEDIENTE!$I$25,BE56&gt;EXPEDIENTE!$I$29)),1,0)</f>
        <v>0</v>
      </c>
      <c r="DB56" s="47"/>
      <c r="DD56" s="55">
        <f t="shared" si="144"/>
        <v>0</v>
      </c>
      <c r="DE56" s="55">
        <f t="shared" si="157"/>
        <v>0</v>
      </c>
      <c r="DF56" s="55">
        <f t="shared" si="158"/>
        <v>0</v>
      </c>
      <c r="DG56" s="55">
        <f t="shared" si="159"/>
        <v>0</v>
      </c>
      <c r="DH56" s="55">
        <f t="shared" si="145"/>
        <v>0</v>
      </c>
      <c r="DU56" s="47"/>
      <c r="DW56" s="55">
        <f>IF(BH56&lt;&gt;"",MAX($DW$9:DW55)+1,0)</f>
        <v>0</v>
      </c>
      <c r="DX56" s="130" t="str">
        <f t="shared" si="160"/>
        <v/>
      </c>
    </row>
    <row r="57" spans="2:128" ht="30" customHeight="1" x14ac:dyDescent="0.25">
      <c r="B57" s="972"/>
      <c r="C57" s="390" t="s">
        <v>275</v>
      </c>
      <c r="D57" s="195"/>
      <c r="E57" s="203">
        <f t="shared" si="146"/>
        <v>0</v>
      </c>
      <c r="F57" s="195"/>
      <c r="G57" s="195"/>
      <c r="H57" s="692">
        <f t="shared" si="147"/>
        <v>0</v>
      </c>
      <c r="I57" s="343"/>
      <c r="J57" s="1001"/>
      <c r="K57" s="1002"/>
      <c r="L57" s="1002"/>
      <c r="M57" s="1003"/>
      <c r="N57" s="364"/>
      <c r="O57" s="633"/>
      <c r="P57" s="837"/>
      <c r="Q57" s="837"/>
      <c r="AG57" s="53">
        <f>IF(AND(I57&lt;&gt;"",OR(I57&lt;EXPEDIENTE!$I$25,I57&gt;EXPEDIENTE!$I$29)),1,0)</f>
        <v>0</v>
      </c>
      <c r="AI57" s="53">
        <f>IF(DATE(YEAR(EXPEDIENTE!$I$25)+2,MONTH(DATEVALUE($C57&amp;"1")),1)&gt;=DATE(YEAR(EXPEDIENTE!$I$25),MONTH(EXPEDIENTE!$I$25),1),0,1)</f>
        <v>0</v>
      </c>
      <c r="AJ57" s="53" t="e">
        <f>IF(DATE(YEAR(EXPEDIENTE!$I$25)+2,MONTH(DATEVALUE($C57&amp;"1")),1)&lt;=DATE(YEAR(EXPEDIENTE!$I$27),MONTH(EXPEDIENTE!$I$27),1),0,1)</f>
        <v>#VALUE!</v>
      </c>
      <c r="AK57" s="53" t="e">
        <f t="shared" si="148"/>
        <v>#VALUE!</v>
      </c>
      <c r="AM57" s="1014"/>
      <c r="AN57" s="388" t="s">
        <v>275</v>
      </c>
      <c r="AO57" s="200">
        <f t="shared" si="149"/>
        <v>0</v>
      </c>
      <c r="AP57" s="203"/>
      <c r="AQ57" s="207">
        <f t="shared" si="150"/>
        <v>0</v>
      </c>
      <c r="AR57" s="208">
        <f t="shared" si="141"/>
        <v>0</v>
      </c>
      <c r="AS57" s="855"/>
      <c r="AT57" s="856"/>
      <c r="AU57" s="200">
        <f t="shared" si="151"/>
        <v>0</v>
      </c>
      <c r="AV57" s="203"/>
      <c r="AW57" s="207">
        <f t="shared" si="152"/>
        <v>0</v>
      </c>
      <c r="AX57" s="200">
        <f t="shared" si="153"/>
        <v>0</v>
      </c>
      <c r="AY57" s="203"/>
      <c r="AZ57" s="207">
        <f t="shared" si="154"/>
        <v>0</v>
      </c>
      <c r="BA57" s="279">
        <f t="shared" si="142"/>
        <v>0</v>
      </c>
      <c r="BB57" s="855"/>
      <c r="BC57" s="856"/>
      <c r="BD57" s="185" t="str">
        <f t="shared" si="143"/>
        <v/>
      </c>
      <c r="BE57" s="253"/>
      <c r="BF57" s="187" t="str">
        <f t="shared" si="155"/>
        <v/>
      </c>
      <c r="BG57" s="280" t="str">
        <f t="shared" si="156"/>
        <v/>
      </c>
      <c r="BH57" s="868"/>
      <c r="BI57" s="869"/>
      <c r="BJ57" s="869"/>
      <c r="BK57" s="869"/>
      <c r="BL57" s="869"/>
      <c r="BM57" s="869"/>
      <c r="BN57" s="869"/>
      <c r="BO57" s="869"/>
      <c r="BP57" s="869"/>
      <c r="BQ57" s="869"/>
      <c r="BR57" s="869"/>
      <c r="BS57" s="870"/>
      <c r="DA57" s="53">
        <f>IF(AND(BE57&lt;&gt;"",OR(BE57&lt;EXPEDIENTE!$I$25,BE57&gt;EXPEDIENTE!$I$29)),1,0)</f>
        <v>0</v>
      </c>
      <c r="DB57" s="47"/>
      <c r="DD57" s="55">
        <f t="shared" si="144"/>
        <v>0</v>
      </c>
      <c r="DE57" s="55">
        <f t="shared" si="157"/>
        <v>0</v>
      </c>
      <c r="DF57" s="55">
        <f t="shared" si="158"/>
        <v>0</v>
      </c>
      <c r="DG57" s="55">
        <f t="shared" si="159"/>
        <v>0</v>
      </c>
      <c r="DH57" s="55">
        <f t="shared" si="145"/>
        <v>0</v>
      </c>
      <c r="DU57" s="47"/>
      <c r="DW57" s="55">
        <f>IF(BH57&lt;&gt;"",MAX($DW$9:DW56)+1,0)</f>
        <v>0</v>
      </c>
      <c r="DX57" s="130" t="str">
        <f t="shared" si="160"/>
        <v/>
      </c>
    </row>
    <row r="58" spans="2:128" ht="30" customHeight="1" x14ac:dyDescent="0.25">
      <c r="B58" s="972"/>
      <c r="C58" s="390" t="s">
        <v>276</v>
      </c>
      <c r="D58" s="195"/>
      <c r="E58" s="203">
        <f t="shared" si="146"/>
        <v>0</v>
      </c>
      <c r="F58" s="195"/>
      <c r="G58" s="195"/>
      <c r="H58" s="692">
        <f t="shared" si="147"/>
        <v>0</v>
      </c>
      <c r="I58" s="343"/>
      <c r="J58" s="1001"/>
      <c r="K58" s="1002"/>
      <c r="L58" s="1002"/>
      <c r="M58" s="1003"/>
      <c r="N58" s="364"/>
      <c r="O58" s="633"/>
      <c r="P58" s="837"/>
      <c r="Q58" s="837"/>
      <c r="AG58" s="53">
        <f>IF(AND(I58&lt;&gt;"",OR(I58&lt;EXPEDIENTE!$I$25,I58&gt;EXPEDIENTE!$I$29)),1,0)</f>
        <v>0</v>
      </c>
      <c r="AI58" s="53">
        <f>IF(DATE(YEAR(EXPEDIENTE!$I$25)+2,MONTH(DATEVALUE($C58&amp;"1")),1)&gt;=DATE(YEAR(EXPEDIENTE!$I$25),MONTH(EXPEDIENTE!$I$25),1),0,1)</f>
        <v>0</v>
      </c>
      <c r="AJ58" s="53" t="e">
        <f>IF(DATE(YEAR(EXPEDIENTE!$I$25)+2,MONTH(DATEVALUE($C58&amp;"1")),1)&lt;=DATE(YEAR(EXPEDIENTE!$I$27),MONTH(EXPEDIENTE!$I$27),1),0,1)</f>
        <v>#VALUE!</v>
      </c>
      <c r="AK58" s="53" t="e">
        <f t="shared" si="148"/>
        <v>#VALUE!</v>
      </c>
      <c r="AM58" s="1014"/>
      <c r="AN58" s="388" t="s">
        <v>276</v>
      </c>
      <c r="AO58" s="200">
        <f t="shared" si="149"/>
        <v>0</v>
      </c>
      <c r="AP58" s="203"/>
      <c r="AQ58" s="207">
        <f t="shared" si="150"/>
        <v>0</v>
      </c>
      <c r="AR58" s="208">
        <f t="shared" si="141"/>
        <v>0</v>
      </c>
      <c r="AS58" s="855"/>
      <c r="AT58" s="856"/>
      <c r="AU58" s="200">
        <f t="shared" si="151"/>
        <v>0</v>
      </c>
      <c r="AV58" s="203"/>
      <c r="AW58" s="207">
        <f t="shared" si="152"/>
        <v>0</v>
      </c>
      <c r="AX58" s="200">
        <f t="shared" si="153"/>
        <v>0</v>
      </c>
      <c r="AY58" s="203"/>
      <c r="AZ58" s="207">
        <f t="shared" si="154"/>
        <v>0</v>
      </c>
      <c r="BA58" s="279">
        <f t="shared" si="142"/>
        <v>0</v>
      </c>
      <c r="BB58" s="855"/>
      <c r="BC58" s="856"/>
      <c r="BD58" s="185" t="str">
        <f t="shared" si="143"/>
        <v/>
      </c>
      <c r="BE58" s="253"/>
      <c r="BF58" s="187" t="str">
        <f t="shared" si="155"/>
        <v/>
      </c>
      <c r="BG58" s="280" t="str">
        <f t="shared" si="156"/>
        <v/>
      </c>
      <c r="BH58" s="868"/>
      <c r="BI58" s="869"/>
      <c r="BJ58" s="869"/>
      <c r="BK58" s="869"/>
      <c r="BL58" s="869"/>
      <c r="BM58" s="869"/>
      <c r="BN58" s="869"/>
      <c r="BO58" s="869"/>
      <c r="BP58" s="869"/>
      <c r="BQ58" s="869"/>
      <c r="BR58" s="869"/>
      <c r="BS58" s="870"/>
      <c r="DA58" s="53">
        <f>IF(AND(BE58&lt;&gt;"",OR(BE58&lt;EXPEDIENTE!$I$25,BE58&gt;EXPEDIENTE!$I$29)),1,0)</f>
        <v>0</v>
      </c>
      <c r="DB58" s="47"/>
      <c r="DD58" s="55">
        <f t="shared" si="144"/>
        <v>0</v>
      </c>
      <c r="DE58" s="55">
        <f t="shared" si="157"/>
        <v>0</v>
      </c>
      <c r="DF58" s="55">
        <f t="shared" si="158"/>
        <v>0</v>
      </c>
      <c r="DG58" s="55">
        <f t="shared" si="159"/>
        <v>0</v>
      </c>
      <c r="DH58" s="55">
        <f t="shared" si="145"/>
        <v>0</v>
      </c>
      <c r="DU58" s="47"/>
      <c r="DW58" s="55">
        <f>IF(BH58&lt;&gt;"",MAX($DW$9:DW57)+1,0)</f>
        <v>0</v>
      </c>
      <c r="DX58" s="130" t="str">
        <f t="shared" si="160"/>
        <v/>
      </c>
    </row>
    <row r="59" spans="2:128" ht="30" customHeight="1" x14ac:dyDescent="0.25">
      <c r="B59" s="972"/>
      <c r="C59" s="390" t="s">
        <v>277</v>
      </c>
      <c r="D59" s="195"/>
      <c r="E59" s="203">
        <f t="shared" si="146"/>
        <v>0</v>
      </c>
      <c r="F59" s="195"/>
      <c r="G59" s="195"/>
      <c r="H59" s="692">
        <f t="shared" si="147"/>
        <v>0</v>
      </c>
      <c r="I59" s="343"/>
      <c r="J59" s="1001"/>
      <c r="K59" s="1002"/>
      <c r="L59" s="1002"/>
      <c r="M59" s="1003"/>
      <c r="N59" s="364"/>
      <c r="O59" s="633"/>
      <c r="P59" s="837"/>
      <c r="Q59" s="837"/>
      <c r="AG59" s="53">
        <f>IF(AND(I59&lt;&gt;"",OR(I59&lt;EXPEDIENTE!$I$25,I59&gt;EXPEDIENTE!$I$29)),1,0)</f>
        <v>0</v>
      </c>
      <c r="AI59" s="53">
        <f>IF(DATE(YEAR(EXPEDIENTE!$I$25)+2,MONTH(DATEVALUE($C59&amp;"1")),1)&gt;=DATE(YEAR(EXPEDIENTE!$I$25),MONTH(EXPEDIENTE!$I$25),1),0,1)</f>
        <v>0</v>
      </c>
      <c r="AJ59" s="53" t="e">
        <f>IF(DATE(YEAR(EXPEDIENTE!$I$25)+2,MONTH(DATEVALUE($C59&amp;"1")),1)&lt;=DATE(YEAR(EXPEDIENTE!$I$27),MONTH(EXPEDIENTE!$I$27),1),0,1)</f>
        <v>#VALUE!</v>
      </c>
      <c r="AK59" s="53" t="e">
        <f t="shared" si="148"/>
        <v>#VALUE!</v>
      </c>
      <c r="AM59" s="1014"/>
      <c r="AN59" s="388" t="s">
        <v>277</v>
      </c>
      <c r="AO59" s="200">
        <f t="shared" si="149"/>
        <v>0</v>
      </c>
      <c r="AP59" s="203"/>
      <c r="AQ59" s="207">
        <f t="shared" si="150"/>
        <v>0</v>
      </c>
      <c r="AR59" s="208">
        <f t="shared" si="141"/>
        <v>0</v>
      </c>
      <c r="AS59" s="855"/>
      <c r="AT59" s="856"/>
      <c r="AU59" s="200">
        <f t="shared" si="151"/>
        <v>0</v>
      </c>
      <c r="AV59" s="203"/>
      <c r="AW59" s="207">
        <f t="shared" si="152"/>
        <v>0</v>
      </c>
      <c r="AX59" s="200">
        <f t="shared" si="153"/>
        <v>0</v>
      </c>
      <c r="AY59" s="203"/>
      <c r="AZ59" s="207">
        <f t="shared" si="154"/>
        <v>0</v>
      </c>
      <c r="BA59" s="279">
        <f t="shared" si="142"/>
        <v>0</v>
      </c>
      <c r="BB59" s="855"/>
      <c r="BC59" s="856"/>
      <c r="BD59" s="185" t="str">
        <f t="shared" si="143"/>
        <v/>
      </c>
      <c r="BE59" s="253"/>
      <c r="BF59" s="187" t="str">
        <f t="shared" si="155"/>
        <v/>
      </c>
      <c r="BG59" s="280" t="str">
        <f t="shared" si="156"/>
        <v/>
      </c>
      <c r="BH59" s="868"/>
      <c r="BI59" s="869"/>
      <c r="BJ59" s="869"/>
      <c r="BK59" s="869"/>
      <c r="BL59" s="869"/>
      <c r="BM59" s="869"/>
      <c r="BN59" s="869"/>
      <c r="BO59" s="869"/>
      <c r="BP59" s="869"/>
      <c r="BQ59" s="869"/>
      <c r="BR59" s="869"/>
      <c r="BS59" s="870"/>
      <c r="DA59" s="53">
        <f>IF(AND(BE59&lt;&gt;"",OR(BE59&lt;EXPEDIENTE!$I$25,BE59&gt;EXPEDIENTE!$I$29)),1,0)</f>
        <v>0</v>
      </c>
      <c r="DB59" s="47"/>
      <c r="DD59" s="55">
        <f t="shared" si="144"/>
        <v>0</v>
      </c>
      <c r="DE59" s="55">
        <f t="shared" si="157"/>
        <v>0</v>
      </c>
      <c r="DF59" s="55">
        <f t="shared" si="158"/>
        <v>0</v>
      </c>
      <c r="DG59" s="55">
        <f t="shared" si="159"/>
        <v>0</v>
      </c>
      <c r="DH59" s="55">
        <f t="shared" si="145"/>
        <v>0</v>
      </c>
      <c r="DU59" s="47"/>
      <c r="DW59" s="55">
        <f>IF(BH59&lt;&gt;"",MAX($DW$9:DW58)+1,0)</f>
        <v>0</v>
      </c>
      <c r="DX59" s="130" t="str">
        <f t="shared" si="160"/>
        <v/>
      </c>
    </row>
    <row r="60" spans="2:128" ht="30" customHeight="1" x14ac:dyDescent="0.25">
      <c r="B60" s="972"/>
      <c r="C60" s="390" t="s">
        <v>278</v>
      </c>
      <c r="D60" s="195"/>
      <c r="E60" s="203">
        <f t="shared" si="146"/>
        <v>0</v>
      </c>
      <c r="F60" s="195"/>
      <c r="G60" s="195"/>
      <c r="H60" s="692">
        <f t="shared" si="147"/>
        <v>0</v>
      </c>
      <c r="I60" s="343"/>
      <c r="J60" s="1001"/>
      <c r="K60" s="1002"/>
      <c r="L60" s="1002"/>
      <c r="M60" s="1003"/>
      <c r="N60" s="364"/>
      <c r="O60" s="633"/>
      <c r="P60" s="837"/>
      <c r="Q60" s="837"/>
      <c r="AG60" s="53">
        <f>IF(AND(I60&lt;&gt;"",OR(I60&lt;EXPEDIENTE!$I$25,I60&gt;EXPEDIENTE!$I$29)),1,0)</f>
        <v>0</v>
      </c>
      <c r="AI60" s="53">
        <f>IF(DATE(YEAR(EXPEDIENTE!$I$25)+2,MONTH(DATEVALUE($C60&amp;"1")),1)&gt;=DATE(YEAR(EXPEDIENTE!$I$25),MONTH(EXPEDIENTE!$I$25),1),0,1)</f>
        <v>0</v>
      </c>
      <c r="AJ60" s="53" t="e">
        <f>IF(DATE(YEAR(EXPEDIENTE!$I$25)+2,MONTH(DATEVALUE($C60&amp;"1")),1)&lt;=DATE(YEAR(EXPEDIENTE!$I$27),MONTH(EXPEDIENTE!$I$27),1),0,1)</f>
        <v>#VALUE!</v>
      </c>
      <c r="AK60" s="53" t="e">
        <f t="shared" si="148"/>
        <v>#VALUE!</v>
      </c>
      <c r="AM60" s="1014"/>
      <c r="AN60" s="388" t="s">
        <v>278</v>
      </c>
      <c r="AO60" s="200">
        <f t="shared" si="149"/>
        <v>0</v>
      </c>
      <c r="AP60" s="203"/>
      <c r="AQ60" s="207">
        <f t="shared" si="150"/>
        <v>0</v>
      </c>
      <c r="AR60" s="208">
        <f t="shared" si="141"/>
        <v>0</v>
      </c>
      <c r="AS60" s="855"/>
      <c r="AT60" s="856"/>
      <c r="AU60" s="200">
        <f t="shared" si="151"/>
        <v>0</v>
      </c>
      <c r="AV60" s="203"/>
      <c r="AW60" s="207">
        <f t="shared" si="152"/>
        <v>0</v>
      </c>
      <c r="AX60" s="200">
        <f t="shared" si="153"/>
        <v>0</v>
      </c>
      <c r="AY60" s="203"/>
      <c r="AZ60" s="207">
        <f t="shared" si="154"/>
        <v>0</v>
      </c>
      <c r="BA60" s="279">
        <f t="shared" si="142"/>
        <v>0</v>
      </c>
      <c r="BB60" s="855"/>
      <c r="BC60" s="856"/>
      <c r="BD60" s="185" t="str">
        <f t="shared" si="143"/>
        <v/>
      </c>
      <c r="BE60" s="253"/>
      <c r="BF60" s="187" t="str">
        <f t="shared" si="155"/>
        <v/>
      </c>
      <c r="BG60" s="280" t="str">
        <f t="shared" si="156"/>
        <v/>
      </c>
      <c r="BH60" s="868"/>
      <c r="BI60" s="869"/>
      <c r="BJ60" s="869"/>
      <c r="BK60" s="869"/>
      <c r="BL60" s="869"/>
      <c r="BM60" s="869"/>
      <c r="BN60" s="869"/>
      <c r="BO60" s="869"/>
      <c r="BP60" s="869"/>
      <c r="BQ60" s="869"/>
      <c r="BR60" s="869"/>
      <c r="BS60" s="870"/>
      <c r="DA60" s="53">
        <f>IF(AND(BE60&lt;&gt;"",OR(BE60&lt;EXPEDIENTE!$I$25,BE60&gt;EXPEDIENTE!$I$29)),1,0)</f>
        <v>0</v>
      </c>
      <c r="DB60" s="47"/>
      <c r="DD60" s="55">
        <f t="shared" si="144"/>
        <v>0</v>
      </c>
      <c r="DE60" s="55">
        <f t="shared" si="157"/>
        <v>0</v>
      </c>
      <c r="DF60" s="55">
        <f t="shared" si="158"/>
        <v>0</v>
      </c>
      <c r="DG60" s="55">
        <f t="shared" si="159"/>
        <v>0</v>
      </c>
      <c r="DH60" s="55">
        <f t="shared" si="145"/>
        <v>0</v>
      </c>
      <c r="DU60" s="47"/>
      <c r="DW60" s="55">
        <f>IF(BH60&lt;&gt;"",MAX($DW$9:DW59)+1,0)</f>
        <v>0</v>
      </c>
      <c r="DX60" s="130" t="str">
        <f t="shared" si="160"/>
        <v/>
      </c>
    </row>
    <row r="61" spans="2:128" ht="30" customHeight="1" x14ac:dyDescent="0.25">
      <c r="B61" s="972"/>
      <c r="C61" s="390" t="s">
        <v>279</v>
      </c>
      <c r="D61" s="195"/>
      <c r="E61" s="203">
        <f t="shared" si="146"/>
        <v>0</v>
      </c>
      <c r="F61" s="195"/>
      <c r="G61" s="195"/>
      <c r="H61" s="692">
        <f t="shared" si="147"/>
        <v>0</v>
      </c>
      <c r="I61" s="343"/>
      <c r="J61" s="1001"/>
      <c r="K61" s="1002"/>
      <c r="L61" s="1002"/>
      <c r="M61" s="1003"/>
      <c r="N61" s="364"/>
      <c r="O61" s="633"/>
      <c r="P61" s="837"/>
      <c r="Q61" s="837"/>
      <c r="AG61" s="53">
        <f>IF(AND(I61&lt;&gt;"",OR(I61&lt;EXPEDIENTE!$I$25,I61&gt;EXPEDIENTE!$I$29)),1,0)</f>
        <v>0</v>
      </c>
      <c r="AI61" s="53">
        <f>IF(DATE(YEAR(EXPEDIENTE!$I$25)+2,MONTH(DATEVALUE($C61&amp;"1")),1)&gt;=DATE(YEAR(EXPEDIENTE!$I$25),MONTH(EXPEDIENTE!$I$25),1),0,1)</f>
        <v>0</v>
      </c>
      <c r="AJ61" s="53" t="e">
        <f>IF(DATE(YEAR(EXPEDIENTE!$I$25)+2,MONTH(DATEVALUE($C61&amp;"1")),1)&lt;=DATE(YEAR(EXPEDIENTE!$I$27),MONTH(EXPEDIENTE!$I$27),1),0,1)</f>
        <v>#VALUE!</v>
      </c>
      <c r="AK61" s="53" t="e">
        <f t="shared" si="148"/>
        <v>#VALUE!</v>
      </c>
      <c r="AM61" s="1014"/>
      <c r="AN61" s="388" t="s">
        <v>279</v>
      </c>
      <c r="AO61" s="200">
        <f t="shared" si="149"/>
        <v>0</v>
      </c>
      <c r="AP61" s="203"/>
      <c r="AQ61" s="207">
        <f t="shared" si="150"/>
        <v>0</v>
      </c>
      <c r="AR61" s="208">
        <f t="shared" si="141"/>
        <v>0</v>
      </c>
      <c r="AS61" s="855"/>
      <c r="AT61" s="856"/>
      <c r="AU61" s="200">
        <f t="shared" si="151"/>
        <v>0</v>
      </c>
      <c r="AV61" s="203"/>
      <c r="AW61" s="207">
        <f t="shared" si="152"/>
        <v>0</v>
      </c>
      <c r="AX61" s="200">
        <f t="shared" si="153"/>
        <v>0</v>
      </c>
      <c r="AY61" s="203"/>
      <c r="AZ61" s="207">
        <f t="shared" si="154"/>
        <v>0</v>
      </c>
      <c r="BA61" s="279">
        <f t="shared" si="142"/>
        <v>0</v>
      </c>
      <c r="BB61" s="855"/>
      <c r="BC61" s="856"/>
      <c r="BD61" s="185" t="str">
        <f t="shared" si="143"/>
        <v/>
      </c>
      <c r="BE61" s="253"/>
      <c r="BF61" s="187" t="str">
        <f t="shared" si="155"/>
        <v/>
      </c>
      <c r="BG61" s="280" t="str">
        <f t="shared" si="156"/>
        <v/>
      </c>
      <c r="BH61" s="868"/>
      <c r="BI61" s="869"/>
      <c r="BJ61" s="869"/>
      <c r="BK61" s="869"/>
      <c r="BL61" s="869"/>
      <c r="BM61" s="869"/>
      <c r="BN61" s="869"/>
      <c r="BO61" s="869"/>
      <c r="BP61" s="869"/>
      <c r="BQ61" s="869"/>
      <c r="BR61" s="869"/>
      <c r="BS61" s="870"/>
      <c r="DA61" s="53">
        <f>IF(AND(BE61&lt;&gt;"",OR(BE61&lt;EXPEDIENTE!$I$25,BE61&gt;EXPEDIENTE!$I$29)),1,0)</f>
        <v>0</v>
      </c>
      <c r="DB61" s="47"/>
      <c r="DD61" s="55">
        <f t="shared" si="144"/>
        <v>0</v>
      </c>
      <c r="DE61" s="55">
        <f t="shared" si="157"/>
        <v>0</v>
      </c>
      <c r="DF61" s="55">
        <f t="shared" si="158"/>
        <v>0</v>
      </c>
      <c r="DG61" s="55">
        <f t="shared" si="159"/>
        <v>0</v>
      </c>
      <c r="DH61" s="55">
        <f t="shared" si="145"/>
        <v>0</v>
      </c>
      <c r="DU61" s="47"/>
      <c r="DW61" s="55">
        <f>IF(BH61&lt;&gt;"",MAX($DW$9:DW60)+1,0)</f>
        <v>0</v>
      </c>
      <c r="DX61" s="130" t="str">
        <f t="shared" si="160"/>
        <v/>
      </c>
    </row>
    <row r="62" spans="2:128" ht="30" customHeight="1" x14ac:dyDescent="0.25">
      <c r="B62" s="972"/>
      <c r="C62" s="390" t="s">
        <v>280</v>
      </c>
      <c r="D62" s="195"/>
      <c r="E62" s="203">
        <f t="shared" si="146"/>
        <v>0</v>
      </c>
      <c r="F62" s="195"/>
      <c r="G62" s="195"/>
      <c r="H62" s="692">
        <f t="shared" si="147"/>
        <v>0</v>
      </c>
      <c r="I62" s="343"/>
      <c r="J62" s="1001"/>
      <c r="K62" s="1002"/>
      <c r="L62" s="1002"/>
      <c r="M62" s="1003"/>
      <c r="N62" s="364"/>
      <c r="O62" s="633"/>
      <c r="P62" s="837"/>
      <c r="Q62" s="837"/>
      <c r="AG62" s="53">
        <f>IF(AND(I62&lt;&gt;"",OR(I62&lt;EXPEDIENTE!$I$25,I62&gt;EXPEDIENTE!$I$29)),1,0)</f>
        <v>0</v>
      </c>
      <c r="AI62" s="53">
        <f>IF(DATE(YEAR(EXPEDIENTE!$I$25)+2,MONTH(DATEVALUE($C62&amp;"1")),1)&gt;=DATE(YEAR(EXPEDIENTE!$I$25),MONTH(EXPEDIENTE!$I$25),1),0,1)</f>
        <v>0</v>
      </c>
      <c r="AJ62" s="53" t="e">
        <f>IF(DATE(YEAR(EXPEDIENTE!$I$25)+2,MONTH(DATEVALUE($C62&amp;"1")),1)&lt;=DATE(YEAR(EXPEDIENTE!$I$27),MONTH(EXPEDIENTE!$I$27),1),0,1)</f>
        <v>#VALUE!</v>
      </c>
      <c r="AK62" s="53" t="e">
        <f t="shared" si="148"/>
        <v>#VALUE!</v>
      </c>
      <c r="AM62" s="1014"/>
      <c r="AN62" s="388" t="s">
        <v>280</v>
      </c>
      <c r="AO62" s="200">
        <f t="shared" si="149"/>
        <v>0</v>
      </c>
      <c r="AP62" s="203"/>
      <c r="AQ62" s="207">
        <f t="shared" si="150"/>
        <v>0</v>
      </c>
      <c r="AR62" s="208">
        <f t="shared" si="141"/>
        <v>0</v>
      </c>
      <c r="AS62" s="855"/>
      <c r="AT62" s="856"/>
      <c r="AU62" s="200">
        <f t="shared" si="151"/>
        <v>0</v>
      </c>
      <c r="AV62" s="203"/>
      <c r="AW62" s="207">
        <f t="shared" si="152"/>
        <v>0</v>
      </c>
      <c r="AX62" s="200">
        <f t="shared" si="153"/>
        <v>0</v>
      </c>
      <c r="AY62" s="203"/>
      <c r="AZ62" s="207">
        <f t="shared" si="154"/>
        <v>0</v>
      </c>
      <c r="BA62" s="279">
        <f t="shared" si="142"/>
        <v>0</v>
      </c>
      <c r="BB62" s="855"/>
      <c r="BC62" s="856"/>
      <c r="BD62" s="185" t="str">
        <f t="shared" si="143"/>
        <v/>
      </c>
      <c r="BE62" s="253"/>
      <c r="BF62" s="187" t="str">
        <f t="shared" si="155"/>
        <v/>
      </c>
      <c r="BG62" s="280" t="str">
        <f t="shared" si="156"/>
        <v/>
      </c>
      <c r="BH62" s="868"/>
      <c r="BI62" s="869"/>
      <c r="BJ62" s="869"/>
      <c r="BK62" s="869"/>
      <c r="BL62" s="869"/>
      <c r="BM62" s="869"/>
      <c r="BN62" s="869"/>
      <c r="BO62" s="869"/>
      <c r="BP62" s="869"/>
      <c r="BQ62" s="869"/>
      <c r="BR62" s="869"/>
      <c r="BS62" s="870"/>
      <c r="DA62" s="53">
        <f>IF(AND(BE62&lt;&gt;"",OR(BE62&lt;EXPEDIENTE!$I$25,BE62&gt;EXPEDIENTE!$I$29)),1,0)</f>
        <v>0</v>
      </c>
      <c r="DB62" s="47"/>
      <c r="DD62" s="55">
        <f t="shared" si="144"/>
        <v>0</v>
      </c>
      <c r="DE62" s="55">
        <f t="shared" si="157"/>
        <v>0</v>
      </c>
      <c r="DF62" s="55">
        <f t="shared" si="158"/>
        <v>0</v>
      </c>
      <c r="DG62" s="55">
        <f t="shared" si="159"/>
        <v>0</v>
      </c>
      <c r="DH62" s="55">
        <f t="shared" si="145"/>
        <v>0</v>
      </c>
      <c r="DU62" s="47"/>
      <c r="DW62" s="55">
        <f>IF(BH62&lt;&gt;"",MAX($DW$9:DW61)+1,0)</f>
        <v>0</v>
      </c>
      <c r="DX62" s="130" t="str">
        <f t="shared" si="160"/>
        <v/>
      </c>
    </row>
    <row r="63" spans="2:128" ht="30" customHeight="1" thickBot="1" x14ac:dyDescent="0.3">
      <c r="B63" s="972"/>
      <c r="C63" s="391" t="s">
        <v>281</v>
      </c>
      <c r="D63" s="303"/>
      <c r="E63" s="268">
        <f t="shared" si="146"/>
        <v>0</v>
      </c>
      <c r="F63" s="213"/>
      <c r="G63" s="213"/>
      <c r="H63" s="693">
        <f t="shared" si="147"/>
        <v>0</v>
      </c>
      <c r="I63" s="344"/>
      <c r="J63" s="998"/>
      <c r="K63" s="999"/>
      <c r="L63" s="999"/>
      <c r="M63" s="1000"/>
      <c r="N63" s="364"/>
      <c r="O63" s="633"/>
      <c r="P63" s="837"/>
      <c r="Q63" s="837"/>
      <c r="AG63" s="53">
        <f>IF(AND(I63&lt;&gt;"",OR(I63&lt;EXPEDIENTE!$I$25,I63&gt;EXPEDIENTE!$I$29)),1,0)</f>
        <v>0</v>
      </c>
      <c r="AI63" s="53">
        <f>IF(DATE(YEAR(EXPEDIENTE!$I$25)+2,MONTH(DATEVALUE($C63&amp;"1")),1)&gt;=DATE(YEAR(EXPEDIENTE!$I$25),MONTH(EXPEDIENTE!$I$25),1),0,1)</f>
        <v>0</v>
      </c>
      <c r="AJ63" s="53" t="e">
        <f>IF(DATE(YEAR(EXPEDIENTE!$I$25)+2,MONTH(DATEVALUE($C63&amp;"1")),1)&lt;=DATE(YEAR(EXPEDIENTE!$I$27),MONTH(EXPEDIENTE!$I$27),1),0,1)</f>
        <v>#VALUE!</v>
      </c>
      <c r="AK63" s="53" t="e">
        <f t="shared" si="148"/>
        <v>#VALUE!</v>
      </c>
      <c r="AM63" s="1014"/>
      <c r="AN63" s="392" t="s">
        <v>281</v>
      </c>
      <c r="AO63" s="281">
        <f t="shared" si="149"/>
        <v>0</v>
      </c>
      <c r="AP63" s="282"/>
      <c r="AQ63" s="283">
        <f t="shared" si="150"/>
        <v>0</v>
      </c>
      <c r="AR63" s="230">
        <f t="shared" si="141"/>
        <v>0</v>
      </c>
      <c r="AS63" s="857"/>
      <c r="AT63" s="858"/>
      <c r="AU63" s="224">
        <f t="shared" si="151"/>
        <v>0</v>
      </c>
      <c r="AV63" s="227"/>
      <c r="AW63" s="232">
        <f t="shared" si="152"/>
        <v>0</v>
      </c>
      <c r="AX63" s="224">
        <f t="shared" si="153"/>
        <v>0</v>
      </c>
      <c r="AY63" s="227"/>
      <c r="AZ63" s="232">
        <f t="shared" si="154"/>
        <v>0</v>
      </c>
      <c r="BA63" s="284">
        <f t="shared" si="142"/>
        <v>0</v>
      </c>
      <c r="BB63" s="857"/>
      <c r="BC63" s="858"/>
      <c r="BD63" s="233" t="str">
        <f t="shared" si="143"/>
        <v/>
      </c>
      <c r="BE63" s="285"/>
      <c r="BF63" s="235" t="str">
        <f t="shared" si="155"/>
        <v/>
      </c>
      <c r="BG63" s="286" t="str">
        <f t="shared" si="156"/>
        <v/>
      </c>
      <c r="BH63" s="877"/>
      <c r="BI63" s="878"/>
      <c r="BJ63" s="878"/>
      <c r="BK63" s="878"/>
      <c r="BL63" s="878"/>
      <c r="BM63" s="878"/>
      <c r="BN63" s="878"/>
      <c r="BO63" s="878"/>
      <c r="BP63" s="878"/>
      <c r="BQ63" s="878"/>
      <c r="BR63" s="878"/>
      <c r="BS63" s="879"/>
      <c r="DA63" s="53">
        <f>IF(AND(BE63&lt;&gt;"",OR(BE63&lt;EXPEDIENTE!$I$25,BE63&gt;EXPEDIENTE!$I$29)),1,0)</f>
        <v>0</v>
      </c>
      <c r="DB63" s="47"/>
      <c r="DD63" s="55">
        <f t="shared" si="144"/>
        <v>0</v>
      </c>
      <c r="DE63" s="55">
        <f t="shared" si="157"/>
        <v>0</v>
      </c>
      <c r="DF63" s="55">
        <f t="shared" si="158"/>
        <v>0</v>
      </c>
      <c r="DG63" s="55">
        <f t="shared" si="159"/>
        <v>0</v>
      </c>
      <c r="DH63" s="55">
        <f t="shared" si="145"/>
        <v>0</v>
      </c>
      <c r="DU63" s="47"/>
      <c r="DW63" s="55">
        <f>IF(BH63&lt;&gt;"",MAX($DW$9:DW62)+1,0)</f>
        <v>0</v>
      </c>
      <c r="DX63" s="130" t="str">
        <f t="shared" si="160"/>
        <v/>
      </c>
    </row>
    <row r="64" spans="2:128" ht="9.9499999999999993" customHeight="1" thickBot="1" x14ac:dyDescent="0.3">
      <c r="B64" s="973"/>
      <c r="C64" s="345"/>
      <c r="D64" s="345"/>
      <c r="E64" s="345"/>
      <c r="F64" s="345"/>
      <c r="G64" s="345"/>
      <c r="H64" s="345"/>
      <c r="I64" s="345"/>
      <c r="J64" s="345"/>
      <c r="K64" s="345"/>
      <c r="L64" s="345"/>
      <c r="M64" s="345"/>
      <c r="N64" s="363"/>
      <c r="AM64" s="1015"/>
      <c r="AN64" s="395"/>
      <c r="AO64" s="396"/>
      <c r="AP64" s="396"/>
      <c r="AQ64" s="396"/>
      <c r="AR64" s="396"/>
      <c r="AS64" s="396"/>
      <c r="AT64" s="396"/>
      <c r="AU64" s="396"/>
      <c r="AV64" s="396"/>
      <c r="AW64" s="396"/>
      <c r="AX64" s="396"/>
      <c r="AY64" s="396"/>
      <c r="AZ64" s="396"/>
      <c r="BA64" s="396"/>
      <c r="BB64" s="396"/>
      <c r="BC64" s="396"/>
      <c r="BD64" s="396"/>
      <c r="BE64" s="396"/>
      <c r="BF64" s="396"/>
      <c r="BG64" s="396"/>
      <c r="BH64" s="396"/>
      <c r="BI64" s="396"/>
      <c r="BJ64" s="396"/>
      <c r="BK64" s="396"/>
      <c r="BL64" s="396"/>
      <c r="BM64" s="396"/>
      <c r="BN64" s="396"/>
      <c r="BO64" s="396"/>
      <c r="BP64" s="396"/>
      <c r="BQ64" s="396"/>
      <c r="BR64" s="396"/>
      <c r="BS64" s="397"/>
      <c r="DA64" s="47"/>
    </row>
    <row r="65" ht="15.75" thickTop="1" x14ac:dyDescent="0.25"/>
  </sheetData>
  <sheetProtection algorithmName="SHA-512" hashValue="A2TN03HeyAj+LGL9h6kqSfP3+9f7bz4fCRG+rz2uva2UD7L9mRO0OzpDFbUrieF0A2o7uMPqc634iiqG5ywjfw==" saltValue="vXBlSRkr3pJAe5Uz0kpBRw==" spinCount="100000" sheet="1" formatColumns="0"/>
  <protectedRanges>
    <protectedRange algorithmName="SHA-512" hashValue="6fbby51gioYo6LMpdlxVRtAqp7x7EPGcASAWCK+QIAMNsgh5JJ6zr2smVkkV9NPBAb6H5w1Ael4Xgf7+bj2xPA==" saltValue="/XYyrpIwhkXCL97xOE+6uQ==" spinCount="100000" sqref="AV52:AV63 AY52:AY63 BE52:BE63 BH52:BS63 AP52:AP63" name="Rango5"/>
    <protectedRange algorithmName="SHA-512" hashValue="RLYE7iIcK1k3C8Rux1J8KsFY4+NzQEiM1irO/V4aIolpAI3UR5ejzUPsNbV7uAV6us3aM2P1dLNxms1Ej8YgHQ==" saltValue="4vX4wpkJyZ2asFm3HwZxCw==" spinCount="100000" sqref="AP38:AP45 AS38:AS45 AV38:AV45 AY38:AY45 BB38:BB45 BE38:BE45 BH38:BH45 BK38:BK45 BQ38:BQ45 BT38:BT45 BW38:BW45 BZ38:BZ45 CC38:CC45 CG38:CG45 CL38:CL45 CO38:CO45 CS38:CS45 CV38:CV45" name="Rango3"/>
    <protectedRange algorithmName="SHA-512" hashValue="HD2Ms2jYjXgiXd+C/bpfmdecFnnrhCfqGhGNa8k9jdH3DbngOvAE1+2+OxEZXepCMYxO/voS8avXU3BoHyUw6g==" saltValue="q40lS0UBOLImxquE5il54w==" spinCount="100000" sqref="AS9:AS14 AU9:BG15" name="Rango1"/>
    <protectedRange algorithmName="SHA-512" hashValue="MWCi4p9+wF1VGQY4bNQkFfnG5Tv4LVHtmqvdwH3lqe4bPbAz78O7cVVl0C0eJAfIb7k6C1YCpUcvVK44MqpaPw==" saltValue="FcalM/WewOCkFfBFtx6Y1g==" spinCount="100000" sqref="AS20:AS31 AV20:AV31 AY20:AY31 BB20:BB31 BE20:BE31 BH20:BH31 BK20:BK31 BQ20:BQ31 BT20:BT31 BW20:BW31 BZ20:BZ31 CC20:CC31 CG20:CG31 CL20:CL31 CO20:CO31 CS20:CS31 CV20:CV31 CY20:CY31" name="Rango2"/>
    <protectedRange algorithmName="SHA-512" hashValue="mo/GuH9IENdnu6RH5JFMVItxWrT/ppBWDf+gQ1G9zyuiO98w3TxEIunH95wvu0RZ5mXVBRFqtA4L708FUl0N1w==" saltValue="cQNYa+E7z8MmfY/FCB39Uw==" spinCount="100000" sqref="CY38:CY45" name="Rango4"/>
  </protectedRanges>
  <mergeCells count="208">
    <mergeCell ref="I12:T13"/>
    <mergeCell ref="AU10:BG10"/>
    <mergeCell ref="AN10:AP10"/>
    <mergeCell ref="C10:E10"/>
    <mergeCell ref="CP36:CP37"/>
    <mergeCell ref="AX36:BM36"/>
    <mergeCell ref="BH61:BS61"/>
    <mergeCell ref="CK36:CK37"/>
    <mergeCell ref="CL36:CL37"/>
    <mergeCell ref="BH52:BS52"/>
    <mergeCell ref="BH53:BS53"/>
    <mergeCell ref="BH54:BS54"/>
    <mergeCell ref="BH55:BS55"/>
    <mergeCell ref="BN36:BN37"/>
    <mergeCell ref="BP36:CE36"/>
    <mergeCell ref="CF36:CH36"/>
    <mergeCell ref="CL18:CL19"/>
    <mergeCell ref="CM18:CM19"/>
    <mergeCell ref="CO18:CO19"/>
    <mergeCell ref="AU18:AW18"/>
    <mergeCell ref="AX18:BM18"/>
    <mergeCell ref="BN18:BN19"/>
    <mergeCell ref="BP18:CE18"/>
    <mergeCell ref="CF18:CH18"/>
    <mergeCell ref="BH62:BS62"/>
    <mergeCell ref="BH63:BS63"/>
    <mergeCell ref="BH56:BS56"/>
    <mergeCell ref="BH57:BS57"/>
    <mergeCell ref="BH58:BS58"/>
    <mergeCell ref="BH59:BS59"/>
    <mergeCell ref="BH60:BS60"/>
    <mergeCell ref="AN50:AN51"/>
    <mergeCell ref="AO50:AQ50"/>
    <mergeCell ref="AR50:AR51"/>
    <mergeCell ref="AS50:AT63"/>
    <mergeCell ref="AU50:AW50"/>
    <mergeCell ref="AX50:AZ50"/>
    <mergeCell ref="BA50:BA51"/>
    <mergeCell ref="BB50:BC63"/>
    <mergeCell ref="BD50:BF50"/>
    <mergeCell ref="AN34:CY34"/>
    <mergeCell ref="AN35:AT35"/>
    <mergeCell ref="AU35:BN35"/>
    <mergeCell ref="BO35:CI35"/>
    <mergeCell ref="CJ35:CJ37"/>
    <mergeCell ref="CK35:CM35"/>
    <mergeCell ref="CN35:CP35"/>
    <mergeCell ref="CQ35:CQ37"/>
    <mergeCell ref="CR35:CT35"/>
    <mergeCell ref="CU35:CW35"/>
    <mergeCell ref="AN36:AN37"/>
    <mergeCell ref="AO36:AQ36"/>
    <mergeCell ref="AR36:AT36"/>
    <mergeCell ref="AU36:AW36"/>
    <mergeCell ref="CS36:CS37"/>
    <mergeCell ref="CT36:CT37"/>
    <mergeCell ref="CU36:CU37"/>
    <mergeCell ref="CV36:CV37"/>
    <mergeCell ref="CW36:CW37"/>
    <mergeCell ref="CM36:CM37"/>
    <mergeCell ref="CR36:CR37"/>
    <mergeCell ref="CN36:CN37"/>
    <mergeCell ref="CO36:CO37"/>
    <mergeCell ref="CX35:CX37"/>
    <mergeCell ref="BO17:CI17"/>
    <mergeCell ref="CJ17:CJ19"/>
    <mergeCell ref="CK17:CM17"/>
    <mergeCell ref="CN17:CP17"/>
    <mergeCell ref="AN17:AQ17"/>
    <mergeCell ref="CR17:CT17"/>
    <mergeCell ref="CU17:CW17"/>
    <mergeCell ref="DA17:DA18"/>
    <mergeCell ref="CN18:CN19"/>
    <mergeCell ref="CX17:CX19"/>
    <mergeCell ref="CY17:CY19"/>
    <mergeCell ref="CQ17:CQ19"/>
    <mergeCell ref="DD7:DU7"/>
    <mergeCell ref="AG16:AH16"/>
    <mergeCell ref="AG17:AG18"/>
    <mergeCell ref="AH17:AH18"/>
    <mergeCell ref="N17:V17"/>
    <mergeCell ref="W17:W19"/>
    <mergeCell ref="X17:X19"/>
    <mergeCell ref="DB17:DB18"/>
    <mergeCell ref="AT18:AT19"/>
    <mergeCell ref="CV18:CV19"/>
    <mergeCell ref="CW18:CW19"/>
    <mergeCell ref="CP18:CP19"/>
    <mergeCell ref="CR18:CR19"/>
    <mergeCell ref="CS18:CS19"/>
    <mergeCell ref="CT18:CT19"/>
    <mergeCell ref="CU18:CU19"/>
    <mergeCell ref="CK18:CK19"/>
    <mergeCell ref="AR17:AT17"/>
    <mergeCell ref="AU17:BN17"/>
    <mergeCell ref="AN18:AO19"/>
    <mergeCell ref="AP18:AQ31"/>
    <mergeCell ref="AR18:AR19"/>
    <mergeCell ref="AS18:AS19"/>
    <mergeCell ref="AN29:AO29"/>
    <mergeCell ref="DW7:DX7"/>
    <mergeCell ref="AM8:AM64"/>
    <mergeCell ref="AN8:AP8"/>
    <mergeCell ref="AU8:BG8"/>
    <mergeCell ref="AN9:AP9"/>
    <mergeCell ref="AU9:BG9"/>
    <mergeCell ref="AN11:AP11"/>
    <mergeCell ref="AU11:BG11"/>
    <mergeCell ref="AN12:AP12"/>
    <mergeCell ref="AU12:BG12"/>
    <mergeCell ref="AN13:AP13"/>
    <mergeCell ref="AU13:BG13"/>
    <mergeCell ref="AN14:AP14"/>
    <mergeCell ref="AU14:BG14"/>
    <mergeCell ref="AN31:AO31"/>
    <mergeCell ref="AN15:AP15"/>
    <mergeCell ref="DA16:DB16"/>
    <mergeCell ref="AN16:CY16"/>
    <mergeCell ref="AN23:AO23"/>
    <mergeCell ref="AN24:AO24"/>
    <mergeCell ref="AN25:AO25"/>
    <mergeCell ref="AN26:AO26"/>
    <mergeCell ref="AN27:AO27"/>
    <mergeCell ref="AN28:AO28"/>
    <mergeCell ref="AN30:AO30"/>
    <mergeCell ref="AN20:AO20"/>
    <mergeCell ref="AN21:AO21"/>
    <mergeCell ref="AN22:AO22"/>
    <mergeCell ref="B8:B64"/>
    <mergeCell ref="C8:F8"/>
    <mergeCell ref="I8:T8"/>
    <mergeCell ref="I9:T9"/>
    <mergeCell ref="I11:T11"/>
    <mergeCell ref="C16:AE16"/>
    <mergeCell ref="C17:E17"/>
    <mergeCell ref="F17:M17"/>
    <mergeCell ref="AB17:AB19"/>
    <mergeCell ref="AC17:AC19"/>
    <mergeCell ref="AD17:AD19"/>
    <mergeCell ref="AE17:AE19"/>
    <mergeCell ref="C18:D19"/>
    <mergeCell ref="Y17:Y19"/>
    <mergeCell ref="Z17:Z19"/>
    <mergeCell ref="C34:AE34"/>
    <mergeCell ref="E18:E19"/>
    <mergeCell ref="F18:F19"/>
    <mergeCell ref="G18:L18"/>
    <mergeCell ref="M18:M19"/>
    <mergeCell ref="O18:T18"/>
    <mergeCell ref="U18:U19"/>
    <mergeCell ref="AA17:AA19"/>
    <mergeCell ref="N35:V35"/>
    <mergeCell ref="W35:W37"/>
    <mergeCell ref="X35:X37"/>
    <mergeCell ref="Y35:Y37"/>
    <mergeCell ref="Z35:Z37"/>
    <mergeCell ref="C31:D31"/>
    <mergeCell ref="C20:D20"/>
    <mergeCell ref="C21:D21"/>
    <mergeCell ref="C22:D22"/>
    <mergeCell ref="C23:D23"/>
    <mergeCell ref="C24:D24"/>
    <mergeCell ref="C25:D25"/>
    <mergeCell ref="C26:D26"/>
    <mergeCell ref="C27:D27"/>
    <mergeCell ref="C28:D28"/>
    <mergeCell ref="C29:D29"/>
    <mergeCell ref="C30:D30"/>
    <mergeCell ref="F50:F51"/>
    <mergeCell ref="G50:G51"/>
    <mergeCell ref="H50:H51"/>
    <mergeCell ref="I50:I51"/>
    <mergeCell ref="J50:M51"/>
    <mergeCell ref="P52:Q63"/>
    <mergeCell ref="J63:M63"/>
    <mergeCell ref="J56:M56"/>
    <mergeCell ref="J57:M57"/>
    <mergeCell ref="J58:M58"/>
    <mergeCell ref="J59:M59"/>
    <mergeCell ref="J60:M60"/>
    <mergeCell ref="J52:M52"/>
    <mergeCell ref="J53:M53"/>
    <mergeCell ref="J54:M54"/>
    <mergeCell ref="J55:M55"/>
    <mergeCell ref="CY35:CY37"/>
    <mergeCell ref="AN48:BS49"/>
    <mergeCell ref="BG50:BG51"/>
    <mergeCell ref="BH50:BS51"/>
    <mergeCell ref="J61:M61"/>
    <mergeCell ref="J62:M62"/>
    <mergeCell ref="C48:M49"/>
    <mergeCell ref="AA35:AA37"/>
    <mergeCell ref="AB35:AB37"/>
    <mergeCell ref="AD35:AD37"/>
    <mergeCell ref="AE35:AE37"/>
    <mergeCell ref="AC35:AC37"/>
    <mergeCell ref="C36:C37"/>
    <mergeCell ref="D36:E36"/>
    <mergeCell ref="F36:F37"/>
    <mergeCell ref="G36:L36"/>
    <mergeCell ref="M36:M37"/>
    <mergeCell ref="O36:T36"/>
    <mergeCell ref="U36:U37"/>
    <mergeCell ref="C35:E35"/>
    <mergeCell ref="F35:M35"/>
    <mergeCell ref="C50:C51"/>
    <mergeCell ref="D50:D51"/>
    <mergeCell ref="E50:E51"/>
  </mergeCells>
  <conditionalFormatting sqref="C52:I63">
    <cfRule type="expression" dxfId="268" priority="4">
      <formula>$AK20=1</formula>
    </cfRule>
  </conditionalFormatting>
  <conditionalFormatting sqref="D50:D51">
    <cfRule type="expression" dxfId="267" priority="117">
      <formula>OR(SUM(T20:T31)&gt;0,SUM(T38:T45)&gt;0)</formula>
    </cfRule>
  </conditionalFormatting>
  <conditionalFormatting sqref="H12:I12 H14:T14">
    <cfRule type="expression" dxfId="254" priority="17">
      <formula>OR($AG$19&gt;0,$AH$19&gt;0)</formula>
    </cfRule>
  </conditionalFormatting>
  <conditionalFormatting sqref="I52:I63 AA20:AA31 AA38:AA45 BD52:BD63">
    <cfRule type="expression" dxfId="253" priority="18" stopIfTrue="1">
      <formula>$AG20&lt;&gt;0</formula>
    </cfRule>
  </conditionalFormatting>
  <conditionalFormatting sqref="P52">
    <cfRule type="cellIs" dxfId="252" priority="116" operator="notEqual">
      <formula>""</formula>
    </cfRule>
  </conditionalFormatting>
  <conditionalFormatting sqref="AB20:AB31 AB38:AB45">
    <cfRule type="expression" dxfId="239" priority="19" stopIfTrue="1">
      <formula>$AH20&lt;&gt;0</formula>
    </cfRule>
  </conditionalFormatting>
  <conditionalFormatting sqref="AP52:AP63 AP38:AP45">
    <cfRule type="expression" dxfId="236" priority="45">
      <formula>AND($AP38&lt;&gt;"",$AO38&lt;&gt;$AP38)</formula>
    </cfRule>
  </conditionalFormatting>
  <conditionalFormatting sqref="AS9:AS14">
    <cfRule type="expression" dxfId="235" priority="20">
      <formula>AND($AS9&lt;&gt;"",$AR9&lt;&gt;$AS9)</formula>
    </cfRule>
  </conditionalFormatting>
  <conditionalFormatting sqref="AS20:AS31">
    <cfRule type="expression" dxfId="234" priority="25">
      <formula>AND($AS20&lt;&gt;"",$AR20&lt;&gt;$AS20)</formula>
    </cfRule>
  </conditionalFormatting>
  <conditionalFormatting sqref="AS38:AS45">
    <cfRule type="expression" dxfId="233" priority="46">
      <formula>AND($AS38&lt;&gt;"",$AR38&lt;&gt;$AS38)</formula>
    </cfRule>
  </conditionalFormatting>
  <conditionalFormatting sqref="AT15">
    <cfRule type="cellIs" dxfId="232" priority="24" operator="notEqual">
      <formula>$AR$15</formula>
    </cfRule>
  </conditionalFormatting>
  <conditionalFormatting sqref="AU9:AU14">
    <cfRule type="expression" dxfId="231" priority="21" stopIfTrue="1">
      <formula>AND($AR9&lt;&gt;$AT9,$AU9="")</formula>
    </cfRule>
    <cfRule type="expression" dxfId="230" priority="22">
      <formula>AND($AR9=$AT9,$AU9&lt;&gt;"")</formula>
    </cfRule>
    <cfRule type="expression" dxfId="229" priority="23">
      <formula>AND($AR9&lt;&gt;$AS9,$AU9&lt;&gt;"")</formula>
    </cfRule>
  </conditionalFormatting>
  <conditionalFormatting sqref="AV20:AV31 AV52:AV63">
    <cfRule type="expression" dxfId="228" priority="26">
      <formula>AND($AV20&lt;&gt;"",$AU20&lt;&gt;$AV20)</formula>
    </cfRule>
  </conditionalFormatting>
  <conditionalFormatting sqref="AV38:AV45">
    <cfRule type="expression" dxfId="227" priority="47">
      <formula>AND($AV38&lt;&gt;"",$AU38&lt;&gt;$AV38)</formula>
    </cfRule>
  </conditionalFormatting>
  <conditionalFormatting sqref="AY20:AY31 AY52:AY63">
    <cfRule type="expression" dxfId="226" priority="27">
      <formula>AND($AY20&lt;&gt;"",$AX20&lt;&gt;$AY20)</formula>
    </cfRule>
  </conditionalFormatting>
  <conditionalFormatting sqref="AY38:AY45">
    <cfRule type="expression" dxfId="225" priority="48">
      <formula>AND($AY38&lt;&gt;"",$AX38&lt;&gt;$AY38)</formula>
    </cfRule>
  </conditionalFormatting>
  <conditionalFormatting sqref="BB20:BB31">
    <cfRule type="expression" dxfId="224" priority="28">
      <formula>AND($BB20&lt;&gt;"",$BA20&lt;&gt;$BB20)</formula>
    </cfRule>
  </conditionalFormatting>
  <conditionalFormatting sqref="BB38:BB45">
    <cfRule type="expression" dxfId="223" priority="49">
      <formula>AND($BB38&lt;&gt;"",$BA38&lt;&gt;$BB38)</formula>
    </cfRule>
  </conditionalFormatting>
  <conditionalFormatting sqref="BD52:BF63 AN52:AR63 AU52:BA63 W20:AD31 C20:M31 O20:U31">
    <cfRule type="expression" dxfId="221" priority="78">
      <formula>$AK20=1</formula>
    </cfRule>
  </conditionalFormatting>
  <conditionalFormatting sqref="BE20:BE31">
    <cfRule type="expression" dxfId="209" priority="29">
      <formula>AND($BE20&lt;&gt;"",$BD20&lt;&gt;$BE20)</formula>
    </cfRule>
  </conditionalFormatting>
  <conditionalFormatting sqref="BE38:BE45">
    <cfRule type="expression" dxfId="208" priority="50">
      <formula>AND($BE38&lt;&gt;"",$BD38&lt;&gt;$BE38)</formula>
    </cfRule>
  </conditionalFormatting>
  <conditionalFormatting sqref="BE52:BE63">
    <cfRule type="expression" dxfId="207" priority="73" stopIfTrue="1">
      <formula>AND($DA52&lt;&gt;0,$BE52&lt;&gt;"")</formula>
    </cfRule>
    <cfRule type="expression" dxfId="206" priority="66">
      <formula>AND($BE52&lt;&gt;"",$BD52&lt;&gt;$BE52)</formula>
    </cfRule>
  </conditionalFormatting>
  <conditionalFormatting sqref="BF52:BF63">
    <cfRule type="expression" dxfId="205" priority="74" stopIfTrue="1">
      <formula>AND($DA52&lt;&gt;0,$BF52&lt;&gt;"")</formula>
    </cfRule>
  </conditionalFormatting>
  <conditionalFormatting sqref="BH20:BH31">
    <cfRule type="expression" dxfId="204" priority="30">
      <formula>AND($BH20&lt;&gt;"",$BG20&lt;&gt;$BH20)</formula>
    </cfRule>
  </conditionalFormatting>
  <conditionalFormatting sqref="BH38:BH45">
    <cfRule type="expression" dxfId="203" priority="51">
      <formula>AND($BH38&lt;&gt;"",$BG38&lt;&gt;$BH38)</formula>
    </cfRule>
  </conditionalFormatting>
  <conditionalFormatting sqref="BH52:BS63">
    <cfRule type="expression" dxfId="202" priority="69">
      <formula>IF($BG52&lt;&gt;"",$BH52&lt;&gt;"")</formula>
    </cfRule>
    <cfRule type="expression" dxfId="201" priority="68">
      <formula>IF($BG52="",$BH52&lt;&gt;"")</formula>
    </cfRule>
    <cfRule type="expression" dxfId="200" priority="67" stopIfTrue="1">
      <formula>IF($BG52&lt;&gt;"",$BH52="")</formula>
    </cfRule>
  </conditionalFormatting>
  <conditionalFormatting sqref="BK20:BK31">
    <cfRule type="expression" dxfId="199" priority="31">
      <formula>AND($BK20&lt;&gt;"",$BJ20&lt;&gt;$BK20)</formula>
    </cfRule>
  </conditionalFormatting>
  <conditionalFormatting sqref="BK38:BK45">
    <cfRule type="expression" dxfId="198" priority="52">
      <formula>IF($BK38&lt;&gt;"",$BJ38&lt;&gt;$BK38)</formula>
    </cfRule>
  </conditionalFormatting>
  <conditionalFormatting sqref="BQ20:BQ31">
    <cfRule type="expression" dxfId="197" priority="32">
      <formula>AND($BQ20&lt;&gt;"",$BP20&lt;&gt;$BQ20)</formula>
    </cfRule>
  </conditionalFormatting>
  <conditionalFormatting sqref="BQ38:BQ45">
    <cfRule type="expression" dxfId="196" priority="53">
      <formula>AND($BQ38&lt;&gt;"",$BP38&lt;&gt;$BQ38)</formula>
    </cfRule>
  </conditionalFormatting>
  <conditionalFormatting sqref="BT20:BT31">
    <cfRule type="expression" dxfId="195" priority="33">
      <formula>AND($BT20&lt;&gt;"",$BS20&lt;&gt;$BT20)</formula>
    </cfRule>
  </conditionalFormatting>
  <conditionalFormatting sqref="BT38:BT45">
    <cfRule type="expression" dxfId="194" priority="54">
      <formula>AND($BT38&lt;&gt;"",$BS38&lt;&gt;$BT38)</formula>
    </cfRule>
  </conditionalFormatting>
  <conditionalFormatting sqref="BW20:BW31">
    <cfRule type="expression" dxfId="193" priority="34">
      <formula>AND($BW20&lt;&gt;"",$BV20&lt;&gt;$BW20)</formula>
    </cfRule>
  </conditionalFormatting>
  <conditionalFormatting sqref="BW38:BW45">
    <cfRule type="expression" dxfId="192" priority="55">
      <formula>AND($BW38&lt;&gt;"",$BV38&lt;&gt;$BW$38)</formula>
    </cfRule>
  </conditionalFormatting>
  <conditionalFormatting sqref="BZ20:BZ31">
    <cfRule type="expression" dxfId="191" priority="35">
      <formula>AND($BZ20&lt;&gt;"",$BY20&lt;&gt;$BZ20)</formula>
    </cfRule>
  </conditionalFormatting>
  <conditionalFormatting sqref="BZ38:BZ45">
    <cfRule type="expression" dxfId="190" priority="56">
      <formula>AND($BZ38&lt;&gt;"",$BY38&lt;&gt;$BZ38)</formula>
    </cfRule>
  </conditionalFormatting>
  <conditionalFormatting sqref="CC20:CC31">
    <cfRule type="expression" dxfId="189" priority="36">
      <formula>AND($CC20&lt;&gt;"",$CB20&lt;&gt;$CC20)</formula>
    </cfRule>
  </conditionalFormatting>
  <conditionalFormatting sqref="CC38:CC45">
    <cfRule type="expression" dxfId="188" priority="57">
      <formula>AND($CC38&lt;&gt;"",$CB38&lt;&gt;$CC38)</formula>
    </cfRule>
  </conditionalFormatting>
  <conditionalFormatting sqref="CG20:CG31">
    <cfRule type="expression" dxfId="187" priority="37">
      <formula>AND($CG20&lt;&gt;"",$CF20&lt;&gt;$CG20)</formula>
    </cfRule>
  </conditionalFormatting>
  <conditionalFormatting sqref="CG38:CG45">
    <cfRule type="expression" dxfId="186" priority="58">
      <formula>AND($CG38&lt;&gt;"",$CF38&lt;&gt;$CG38)</formula>
    </cfRule>
  </conditionalFormatting>
  <conditionalFormatting sqref="CJ20:CW31 BP20:CH31 AR20:BN31 AN20:AO31">
    <cfRule type="expression" dxfId="184" priority="91">
      <formula>$AK20=1</formula>
    </cfRule>
  </conditionalFormatting>
  <conditionalFormatting sqref="CL20:CL31">
    <cfRule type="expression" dxfId="172" priority="38">
      <formula>AND($CL20&lt;&gt;"",$CK20&lt;&gt;$CL20)</formula>
    </cfRule>
  </conditionalFormatting>
  <conditionalFormatting sqref="CL38:CL45">
    <cfRule type="expression" dxfId="171" priority="59">
      <formula>AND($CL38&lt;&gt;"",$CK38&lt;&gt;$CL38)</formula>
    </cfRule>
  </conditionalFormatting>
  <conditionalFormatting sqref="CO20:CO31">
    <cfRule type="expression" dxfId="170" priority="39">
      <formula>AND($CO20&lt;&gt;"",$CN20&lt;&gt;$CO20)</formula>
    </cfRule>
  </conditionalFormatting>
  <conditionalFormatting sqref="CO38:CO45">
    <cfRule type="expression" dxfId="169" priority="60">
      <formula>AND($CO38&lt;&gt;"",$CN38&lt;&gt;$CO38)</formula>
    </cfRule>
  </conditionalFormatting>
  <conditionalFormatting sqref="CR20:CR31 CR38:CR45">
    <cfRule type="expression" dxfId="168" priority="70" stopIfTrue="1">
      <formula>$AG20&lt;&gt;0</formula>
    </cfRule>
  </conditionalFormatting>
  <conditionalFormatting sqref="CS20:CS31">
    <cfRule type="expression" dxfId="167" priority="40">
      <formula>AND($CS20&lt;&gt;"",$CR20&lt;&gt;$CS20)</formula>
    </cfRule>
  </conditionalFormatting>
  <conditionalFormatting sqref="CS38:CS45 CS20:CS31">
    <cfRule type="expression" dxfId="166" priority="71" stopIfTrue="1">
      <formula>AND($DA20&lt;&gt;0,$CS20&lt;&gt;"")</formula>
    </cfRule>
  </conditionalFormatting>
  <conditionalFormatting sqref="CS38:CS45">
    <cfRule type="expression" dxfId="165" priority="61">
      <formula>AND($CS38&lt;&gt;"",$CR38&lt;&gt;$CT38)</formula>
    </cfRule>
  </conditionalFormatting>
  <conditionalFormatting sqref="CT20:CT31 CT38:CT45">
    <cfRule type="expression" dxfId="164" priority="72" stopIfTrue="1">
      <formula>AND($DA20&lt;&gt;0,$CT20&lt;&gt;"")</formula>
    </cfRule>
  </conditionalFormatting>
  <conditionalFormatting sqref="CU20:CU31 CU38:CU45">
    <cfRule type="expression" dxfId="163" priority="75" stopIfTrue="1">
      <formula>$AG20&lt;&gt;0</formula>
    </cfRule>
  </conditionalFormatting>
  <conditionalFormatting sqref="CV20:CV31">
    <cfRule type="expression" dxfId="162" priority="41">
      <formula>AND($CV20&lt;&gt;"",$CU20&lt;&gt;$CV20)</formula>
    </cfRule>
  </conditionalFormatting>
  <conditionalFormatting sqref="CV38:CV45 CV20:CV31">
    <cfRule type="expression" dxfId="161" priority="76" stopIfTrue="1">
      <formula>AND($DB20&lt;&gt;0,$CV20&lt;&gt;"")</formula>
    </cfRule>
  </conditionalFormatting>
  <conditionalFormatting sqref="CV38:CV45">
    <cfRule type="expression" dxfId="160" priority="62">
      <formula>AND($CV38&lt;&gt;"",$CU38&lt;&gt;$CW38)</formula>
    </cfRule>
  </conditionalFormatting>
  <conditionalFormatting sqref="CW20:CW31 CW38:CW45">
    <cfRule type="expression" dxfId="159" priority="77" stopIfTrue="1">
      <formula>AND($DB20&lt;&gt;0,$CW20&lt;&gt;"")</formula>
    </cfRule>
  </conditionalFormatting>
  <conditionalFormatting sqref="CY20:CY31">
    <cfRule type="expression" dxfId="158" priority="44">
      <formula>IF($CX20&lt;&gt;"",$CY20&lt;&gt;"")</formula>
    </cfRule>
    <cfRule type="expression" dxfId="157" priority="43">
      <formula>IF($CX20="",$CY20&lt;&gt;"")</formula>
    </cfRule>
    <cfRule type="expression" dxfId="156" priority="42" stopIfTrue="1">
      <formula>IF($CX20&lt;&gt;"",$CY20="")</formula>
    </cfRule>
  </conditionalFormatting>
  <conditionalFormatting sqref="CY38:CY45">
    <cfRule type="expression" dxfId="155" priority="64">
      <formula>IF($CX38="",$CY38&lt;&gt;"")</formula>
    </cfRule>
    <cfRule type="expression" dxfId="154" priority="63" stopIfTrue="1">
      <formula>IF($CX38&lt;&gt;"",$CY38="")</formula>
    </cfRule>
    <cfRule type="expression" dxfId="153" priority="65">
      <formula>IF($CX38&lt;&gt;"",$CY38&lt;&gt;"")</formula>
    </cfRule>
  </conditionalFormatting>
  <printOptions horizontalCentered="1" verticalCentered="1"/>
  <pageMargins left="0.39370078740157483" right="0.39370078740157483" top="0.59055118110236227" bottom="0.39370078740157483" header="0.19685039370078741" footer="0.19685039370078741"/>
  <pageSetup paperSize="8" scale="48" orientation="landscape" r:id="rId1"/>
  <headerFooter>
    <oddFooter>&amp;L&amp;"Nunito Sans,Normal"&amp;8MOD60&amp;C&amp;"Nunito Sans,Normal"&amp;8&amp;A&amp;R&amp;"Nunito Sans,Normal"&amp;8&amp;P de &amp;N</oddFooter>
  </headerFooter>
  <colBreaks count="1" manualBreakCount="1">
    <brk id="37" max="1048575" man="1"/>
  </colBreaks>
  <ignoredErrors>
    <ignoredError sqref="L38:L44"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3" stopIfTrue="1" id="{735C94DD-E152-4E86-A777-EA57AD69F5C1}">
            <xm:f>OR(EXPEDIENTE!$I$25="",EXPEDIENTE!$I$27="",AND(EXPEDIENTE!$I$25&lt;&gt;"",EXPEDIENTE!$I$27&lt;&gt;"",YEAR(EXPEDIENTE!$I$27)&lt;YEAR(EXPEDIENTE!$I$25)+2))</xm:f>
            <x14:dxf>
              <font>
                <color theme="0"/>
              </font>
              <fill>
                <patternFill>
                  <bgColor theme="0"/>
                </patternFill>
              </fill>
              <border>
                <left/>
                <right/>
                <top/>
                <bottom/>
                <vertical/>
                <horizontal/>
              </border>
            </x14:dxf>
          </x14:cfRule>
          <xm:sqref>A8:XFD9 AQ10:XFD10 U11:XFD13 A14:XFD64 F10:AM10 A10:B10 I10:T11 A11:H12 I12 A13:G13</xm:sqref>
        </x14:conditionalFormatting>
        <x14:conditionalFormatting xmlns:xm="http://schemas.microsoft.com/office/excel/2006/main">
          <x14:cfRule type="expression" priority="5" id="{9D7F475F-859E-4D08-BE2F-5FFB1C0445A3}">
            <xm:f>'% DEDICACIÓN TRABAJADOR'!$G$41=0</xm:f>
            <x14:dxf>
              <font>
                <color theme="9" tint="0.79998168889431442"/>
              </font>
              <fill>
                <patternFill>
                  <bgColor theme="9" tint="0.79998168889431442"/>
                </patternFill>
              </fill>
            </x14:dxf>
          </x14:cfRule>
          <xm:sqref>E20:M20 O20:U20 AR20:BN20 BP20:CH20 D52:I52 AO52:AR52 AU52:BA52</xm:sqref>
        </x14:conditionalFormatting>
        <x14:conditionalFormatting xmlns:xm="http://schemas.microsoft.com/office/excel/2006/main">
          <x14:cfRule type="expression" priority="6" id="{3786A881-09D0-4CB5-9511-A3B48409E679}">
            <xm:f>'% DEDICACIÓN TRABAJADOR'!$H$41=0</xm:f>
            <x14:dxf>
              <font>
                <color theme="9" tint="0.79998168889431442"/>
              </font>
              <fill>
                <patternFill>
                  <bgColor theme="9" tint="0.79998168889431442"/>
                </patternFill>
              </fill>
            </x14:dxf>
          </x14:cfRule>
          <xm:sqref>E21:M21 O21:U21 AR21:BN21 BP21:CH21 D53:I53 AO53:AR53 AU53:BA53</xm:sqref>
        </x14:conditionalFormatting>
        <x14:conditionalFormatting xmlns:xm="http://schemas.microsoft.com/office/excel/2006/main">
          <x14:cfRule type="expression" priority="7" id="{BAB0CA7E-7545-480B-A8F4-C20035286C33}">
            <xm:f>'% DEDICACIÓN TRABAJADOR'!$I$41=0</xm:f>
            <x14:dxf>
              <font>
                <color theme="9" tint="0.79998168889431442"/>
              </font>
              <fill>
                <patternFill>
                  <bgColor theme="9" tint="0.79998168889431442"/>
                </patternFill>
              </fill>
            </x14:dxf>
          </x14:cfRule>
          <xm:sqref>E22:M22 O22:U22 AR22:BN22 BP22:CH22 D54:I54 AO54:AR54 AU54:BA54</xm:sqref>
        </x14:conditionalFormatting>
        <x14:conditionalFormatting xmlns:xm="http://schemas.microsoft.com/office/excel/2006/main">
          <x14:cfRule type="expression" priority="8" id="{36274EC9-DF34-420A-BA55-3C840EDC4C00}">
            <xm:f>'% DEDICACIÓN TRABAJADOR'!$J$41=0</xm:f>
            <x14:dxf>
              <font>
                <color theme="9" tint="0.79998168889431442"/>
              </font>
              <fill>
                <patternFill>
                  <bgColor theme="9" tint="0.79998168889431442"/>
                </patternFill>
              </fill>
            </x14:dxf>
          </x14:cfRule>
          <xm:sqref>E23:M23 O23:U23 AR23:BN23 BP23:CH23 D55:I55 AO55:AR55 AU55:BA55</xm:sqref>
        </x14:conditionalFormatting>
        <x14:conditionalFormatting xmlns:xm="http://schemas.microsoft.com/office/excel/2006/main">
          <x14:cfRule type="expression" priority="9" id="{EDC96895-1CD0-4DC5-91C6-7AD55802D203}">
            <xm:f>'% DEDICACIÓN TRABAJADOR'!$K$41=0</xm:f>
            <x14:dxf>
              <font>
                <color theme="9" tint="0.79998168889431442"/>
              </font>
              <fill>
                <patternFill>
                  <bgColor theme="9" tint="0.79998168889431442"/>
                </patternFill>
              </fill>
            </x14:dxf>
          </x14:cfRule>
          <xm:sqref>E24:M24 O24:U24 AR24:BN24 BP24:CH24 D56:I56 AO56:AR56 AU56:BA56</xm:sqref>
        </x14:conditionalFormatting>
        <x14:conditionalFormatting xmlns:xm="http://schemas.microsoft.com/office/excel/2006/main">
          <x14:cfRule type="expression" priority="10" id="{48260793-5315-49D9-82A6-5E659EB98A67}">
            <xm:f>'% DEDICACIÓN TRABAJADOR'!$L$41=0</xm:f>
            <x14:dxf>
              <font>
                <color theme="9" tint="0.79998168889431442"/>
              </font>
              <fill>
                <patternFill>
                  <bgColor theme="9" tint="0.79998168889431442"/>
                </patternFill>
              </fill>
            </x14:dxf>
          </x14:cfRule>
          <xm:sqref>E25:M25 O25:U25 AR25:BN25 BP25:CH25 D57:I57 AO57:AR57 AU57:BA57</xm:sqref>
        </x14:conditionalFormatting>
        <x14:conditionalFormatting xmlns:xm="http://schemas.microsoft.com/office/excel/2006/main">
          <x14:cfRule type="expression" priority="11" id="{C2D0B49B-2171-4A03-9664-A7B8E1707E94}">
            <xm:f>'% DEDICACIÓN TRABAJADOR'!$M$41=0</xm:f>
            <x14:dxf>
              <font>
                <color theme="9" tint="0.79998168889431442"/>
              </font>
              <fill>
                <patternFill>
                  <bgColor theme="9" tint="0.79998168889431442"/>
                </patternFill>
              </fill>
            </x14:dxf>
          </x14:cfRule>
          <xm:sqref>E26:M26 O26:U26 AR26:BN26 BP26:CH26 D58:I58 AO58:AR58 AU58:BA58</xm:sqref>
        </x14:conditionalFormatting>
        <x14:conditionalFormatting xmlns:xm="http://schemas.microsoft.com/office/excel/2006/main">
          <x14:cfRule type="expression" priority="12" id="{68132668-9E76-49C5-BAC2-FB807B86A048}">
            <xm:f>'% DEDICACIÓN TRABAJADOR'!$N$41=0</xm:f>
            <x14:dxf>
              <font>
                <color theme="9" tint="0.79998168889431442"/>
              </font>
              <fill>
                <patternFill>
                  <bgColor theme="9" tint="0.79998168889431442"/>
                </patternFill>
              </fill>
            </x14:dxf>
          </x14:cfRule>
          <xm:sqref>E27:M27 O27:U27 AR27:BN27 BP27:CH27 D59:I59 AO59:AR59 AU59:BA59</xm:sqref>
        </x14:conditionalFormatting>
        <x14:conditionalFormatting xmlns:xm="http://schemas.microsoft.com/office/excel/2006/main">
          <x14:cfRule type="expression" priority="13" id="{63E2191D-A680-4055-9356-08947818E04C}">
            <xm:f>'% DEDICACIÓN TRABAJADOR'!$O$41=0</xm:f>
            <x14:dxf>
              <font>
                <color theme="9" tint="0.79998168889431442"/>
              </font>
              <fill>
                <patternFill>
                  <bgColor theme="9" tint="0.79998168889431442"/>
                </patternFill>
              </fill>
            </x14:dxf>
          </x14:cfRule>
          <xm:sqref>E28:M28 O28:U28 AR28:BN28 BP28:CH28 D60:I60 AO60:AR60 AU60:BA60</xm:sqref>
        </x14:conditionalFormatting>
        <x14:conditionalFormatting xmlns:xm="http://schemas.microsoft.com/office/excel/2006/main">
          <x14:cfRule type="expression" priority="14" id="{19549785-B24A-43CF-AFFA-1CB11802D843}">
            <xm:f>'% DEDICACIÓN TRABAJADOR'!$P$41=0</xm:f>
            <x14:dxf>
              <font>
                <color theme="9" tint="0.79998168889431442"/>
              </font>
              <fill>
                <patternFill>
                  <bgColor theme="9" tint="0.79998168889431442"/>
                </patternFill>
              </fill>
            </x14:dxf>
          </x14:cfRule>
          <xm:sqref>E29:M29 O29:U29 AR29:BN29 BP29:CH29 D61:I61 AO61:AR61 AU61:BA61</xm:sqref>
        </x14:conditionalFormatting>
        <x14:conditionalFormatting xmlns:xm="http://schemas.microsoft.com/office/excel/2006/main">
          <x14:cfRule type="expression" priority="15" id="{8B6A7636-5DFB-4BF2-8F60-ACA1FC2CF670}">
            <xm:f>'% DEDICACIÓN TRABAJADOR'!$Q$41=0</xm:f>
            <x14:dxf>
              <font>
                <color theme="9" tint="0.79998168889431442"/>
              </font>
              <fill>
                <patternFill>
                  <bgColor theme="9" tint="0.79998168889431442"/>
                </patternFill>
              </fill>
            </x14:dxf>
          </x14:cfRule>
          <xm:sqref>E30:M30 O30:U30 AR30:BN30 BP30:CH30 D62:I62 AO62:AR62 AU62:BA62</xm:sqref>
        </x14:conditionalFormatting>
        <x14:conditionalFormatting xmlns:xm="http://schemas.microsoft.com/office/excel/2006/main">
          <x14:cfRule type="expression" priority="16" id="{847D1D97-06BB-4F85-A3F2-05EDC687D31A}">
            <xm:f>'% DEDICACIÓN TRABAJADOR'!$R$41=0</xm:f>
            <x14:dxf>
              <font>
                <color theme="9" tint="0.79998168889431442"/>
              </font>
              <fill>
                <patternFill>
                  <bgColor theme="9" tint="0.79998168889431442"/>
                </patternFill>
              </fill>
            </x14:dxf>
          </x14:cfRule>
          <xm:sqref>E31:M31 O31:U31 AR31:BN31 BP31:CH31 D63:I63 AO63:AR63 AU63:BA63</xm:sqref>
        </x14:conditionalFormatting>
        <x14:conditionalFormatting xmlns:xm="http://schemas.microsoft.com/office/excel/2006/main">
          <x14:cfRule type="expression" priority="79" id="{5394E801-110F-4F0D-9ECC-2427EEB013C8}">
            <xm:f>'% DEDICACIÓN TRABAJADOR'!$G$41=0</xm:f>
            <x14:dxf>
              <font>
                <color theme="9" tint="0.79998168889431442"/>
              </font>
              <fill>
                <patternFill>
                  <bgColor theme="9" tint="0.79998168889431442"/>
                </patternFill>
              </fill>
            </x14:dxf>
          </x14:cfRule>
          <xm:sqref>W20:AD20</xm:sqref>
        </x14:conditionalFormatting>
        <x14:conditionalFormatting xmlns:xm="http://schemas.microsoft.com/office/excel/2006/main">
          <x14:cfRule type="expression" priority="80" id="{31F10DB6-BC01-48CF-ABF7-5198F1194EDE}">
            <xm:f>'% DEDICACIÓN TRABAJADOR'!$H$41=0</xm:f>
            <x14:dxf>
              <font>
                <color theme="9" tint="0.79998168889431442"/>
              </font>
              <fill>
                <patternFill>
                  <bgColor theme="9" tint="0.79998168889431442"/>
                </patternFill>
              </fill>
            </x14:dxf>
          </x14:cfRule>
          <xm:sqref>W21:AD21</xm:sqref>
        </x14:conditionalFormatting>
        <x14:conditionalFormatting xmlns:xm="http://schemas.microsoft.com/office/excel/2006/main">
          <x14:cfRule type="expression" priority="81" id="{DB8482EC-E84D-427D-A426-05D51DE3D84F}">
            <xm:f>'% DEDICACIÓN TRABAJADOR'!$I$41=0</xm:f>
            <x14:dxf>
              <font>
                <color theme="9" tint="0.79998168889431442"/>
              </font>
              <fill>
                <patternFill>
                  <bgColor theme="9" tint="0.79998168889431442"/>
                </patternFill>
              </fill>
            </x14:dxf>
          </x14:cfRule>
          <xm:sqref>W22:AD22</xm:sqref>
        </x14:conditionalFormatting>
        <x14:conditionalFormatting xmlns:xm="http://schemas.microsoft.com/office/excel/2006/main">
          <x14:cfRule type="expression" priority="82" id="{447C296B-7FBD-48E3-8218-8605F7B40568}">
            <xm:f>'% DEDICACIÓN TRABAJADOR'!$J$41=0</xm:f>
            <x14:dxf>
              <font>
                <color theme="9" tint="0.79998168889431442"/>
              </font>
              <fill>
                <patternFill>
                  <bgColor theme="9" tint="0.79998168889431442"/>
                </patternFill>
              </fill>
            </x14:dxf>
          </x14:cfRule>
          <xm:sqref>W23:AD23</xm:sqref>
        </x14:conditionalFormatting>
        <x14:conditionalFormatting xmlns:xm="http://schemas.microsoft.com/office/excel/2006/main">
          <x14:cfRule type="expression" priority="83" id="{7A6A0349-66F3-4FCE-8939-103681C82481}">
            <xm:f>'% DEDICACIÓN TRABAJADOR'!$K$41=0</xm:f>
            <x14:dxf>
              <font>
                <color theme="9" tint="0.79998168889431442"/>
              </font>
              <fill>
                <patternFill>
                  <bgColor theme="9" tint="0.79998168889431442"/>
                </patternFill>
              </fill>
            </x14:dxf>
          </x14:cfRule>
          <xm:sqref>W24:AD24</xm:sqref>
        </x14:conditionalFormatting>
        <x14:conditionalFormatting xmlns:xm="http://schemas.microsoft.com/office/excel/2006/main">
          <x14:cfRule type="expression" priority="84" id="{4F4C9997-21FC-40FC-94C6-5EB746E6BF7B}">
            <xm:f>'% DEDICACIÓN TRABAJADOR'!$L$41=0</xm:f>
            <x14:dxf>
              <font>
                <color theme="9" tint="0.79998168889431442"/>
              </font>
              <fill>
                <patternFill>
                  <bgColor theme="9" tint="0.79998168889431442"/>
                </patternFill>
              </fill>
            </x14:dxf>
          </x14:cfRule>
          <xm:sqref>W25:AD25</xm:sqref>
        </x14:conditionalFormatting>
        <x14:conditionalFormatting xmlns:xm="http://schemas.microsoft.com/office/excel/2006/main">
          <x14:cfRule type="expression" priority="85" id="{50D7D4EA-ECB3-425F-8CCC-D2ABD6C94B33}">
            <xm:f>'% DEDICACIÓN TRABAJADOR'!$M$41=0</xm:f>
            <x14:dxf>
              <font>
                <color theme="9" tint="0.79998168889431442"/>
              </font>
              <fill>
                <patternFill>
                  <bgColor theme="9" tint="0.79998168889431442"/>
                </patternFill>
              </fill>
            </x14:dxf>
          </x14:cfRule>
          <xm:sqref>W26:AD26</xm:sqref>
        </x14:conditionalFormatting>
        <x14:conditionalFormatting xmlns:xm="http://schemas.microsoft.com/office/excel/2006/main">
          <x14:cfRule type="expression" priority="86" id="{F6B23633-F557-4BA9-9E1A-5C506E4D64DC}">
            <xm:f>'% DEDICACIÓN TRABAJADOR'!$N$41=0</xm:f>
            <x14:dxf>
              <font>
                <color theme="9" tint="0.79998168889431442"/>
              </font>
              <fill>
                <patternFill>
                  <bgColor theme="9" tint="0.79998168889431442"/>
                </patternFill>
              </fill>
            </x14:dxf>
          </x14:cfRule>
          <xm:sqref>W27:AD27</xm:sqref>
        </x14:conditionalFormatting>
        <x14:conditionalFormatting xmlns:xm="http://schemas.microsoft.com/office/excel/2006/main">
          <x14:cfRule type="expression" priority="87" id="{1EBB91CC-A27D-4E9D-A68E-C150262507B2}">
            <xm:f>'% DEDICACIÓN TRABAJADOR'!$O$41=0</xm:f>
            <x14:dxf>
              <font>
                <color theme="9" tint="0.79998168889431442"/>
              </font>
              <fill>
                <patternFill>
                  <bgColor theme="9" tint="0.79998168889431442"/>
                </patternFill>
              </fill>
            </x14:dxf>
          </x14:cfRule>
          <xm:sqref>W28:AD28</xm:sqref>
        </x14:conditionalFormatting>
        <x14:conditionalFormatting xmlns:xm="http://schemas.microsoft.com/office/excel/2006/main">
          <x14:cfRule type="expression" priority="88" id="{B2B6F63C-F421-449B-9EDB-CE150D06BEFC}">
            <xm:f>'% DEDICACIÓN TRABAJADOR'!$P$41=0</xm:f>
            <x14:dxf>
              <font>
                <color theme="9" tint="0.79998168889431442"/>
              </font>
              <fill>
                <patternFill>
                  <bgColor theme="9" tint="0.79998168889431442"/>
                </patternFill>
              </fill>
            </x14:dxf>
          </x14:cfRule>
          <xm:sqref>W29:AD29</xm:sqref>
        </x14:conditionalFormatting>
        <x14:conditionalFormatting xmlns:xm="http://schemas.microsoft.com/office/excel/2006/main">
          <x14:cfRule type="expression" priority="89" id="{2C2DC114-1FE3-4CF8-9251-7CE773B7D96F}">
            <xm:f>'% DEDICACIÓN TRABAJADOR'!$Q$41=0</xm:f>
            <x14:dxf>
              <font>
                <color theme="9" tint="0.79998168889431442"/>
              </font>
              <fill>
                <patternFill>
                  <bgColor theme="9" tint="0.79998168889431442"/>
                </patternFill>
              </fill>
            </x14:dxf>
          </x14:cfRule>
          <xm:sqref>W30:AD30</xm:sqref>
        </x14:conditionalFormatting>
        <x14:conditionalFormatting xmlns:xm="http://schemas.microsoft.com/office/excel/2006/main">
          <x14:cfRule type="expression" priority="90" id="{D4358599-F5CE-42FE-9AEE-696D644BBBC5}">
            <xm:f>'% DEDICACIÓN TRABAJADOR'!$R$41=0</xm:f>
            <x14:dxf>
              <font>
                <color theme="9" tint="0.79998168889431442"/>
              </font>
              <fill>
                <patternFill>
                  <bgColor theme="9" tint="0.79998168889431442"/>
                </patternFill>
              </fill>
            </x14:dxf>
          </x14:cfRule>
          <xm:sqref>W31:AD31</xm:sqref>
        </x14:conditionalFormatting>
        <x14:conditionalFormatting xmlns:xm="http://schemas.microsoft.com/office/excel/2006/main">
          <x14:cfRule type="expression" priority="1" stopIfTrue="1" id="{60F341F9-D5B3-42B2-8E5C-AD69FE91D6A1}">
            <xm:f>OR(USUARIO!$C$2="",AUXILIAR!$W$6&lt;&gt;USUARIO!$C$2)</xm:f>
            <x14:dxf>
              <font>
                <color theme="0"/>
              </font>
              <fill>
                <patternFill>
                  <bgColor theme="0"/>
                </patternFill>
              </fill>
              <border>
                <left/>
                <right/>
                <top/>
                <bottom/>
                <vertical/>
                <horizontal/>
              </border>
            </x14:dxf>
          </x14:cfRule>
          <xm:sqref>AL10:AN10</xm:sqref>
        </x14:conditionalFormatting>
        <x14:conditionalFormatting xmlns:xm="http://schemas.microsoft.com/office/excel/2006/main">
          <x14:cfRule type="expression" priority="2" stopIfTrue="1" id="{AF501DB8-AF59-4BC4-A048-1A0166273805}">
            <xm:f>OR(USUARIO!$C$2="",AUXILIAR!$W$6&lt;&gt;USUARIO!$C$2)</xm:f>
            <x14:dxf>
              <font>
                <color theme="0"/>
              </font>
              <fill>
                <patternFill>
                  <bgColor theme="0"/>
                </patternFill>
              </fill>
              <border>
                <left/>
                <right/>
                <top/>
                <bottom/>
                <vertical/>
                <horizontal/>
              </border>
            </x14:dxf>
          </x14:cfRule>
          <xm:sqref>AL1:CY9 AQ10:CY10 AL11:CY1048576</xm:sqref>
        </x14:conditionalFormatting>
        <x14:conditionalFormatting xmlns:xm="http://schemas.microsoft.com/office/excel/2006/main">
          <x14:cfRule type="expression" priority="104" id="{215AC4E9-024E-4CDB-8B76-4E4026F600E3}">
            <xm:f>'% DEDICACIÓN TRABAJADOR'!$G$41=0</xm:f>
            <x14:dxf>
              <font>
                <color theme="9" tint="0.79998168889431442"/>
              </font>
              <fill>
                <patternFill>
                  <bgColor theme="9" tint="0.79998168889431442"/>
                </patternFill>
              </fill>
            </x14:dxf>
          </x14:cfRule>
          <xm:sqref>BD52:BF52</xm:sqref>
        </x14:conditionalFormatting>
        <x14:conditionalFormatting xmlns:xm="http://schemas.microsoft.com/office/excel/2006/main">
          <x14:cfRule type="expression" priority="105" id="{B360FF72-BEE7-4432-9E2D-708F17D09A2B}">
            <xm:f>'% DEDICACIÓN TRABAJADOR'!$H$41=0</xm:f>
            <x14:dxf>
              <font>
                <color theme="9" tint="0.79998168889431442"/>
              </font>
              <fill>
                <patternFill>
                  <bgColor theme="9" tint="0.79998168889431442"/>
                </patternFill>
              </fill>
            </x14:dxf>
          </x14:cfRule>
          <xm:sqref>BD53:BF53</xm:sqref>
        </x14:conditionalFormatting>
        <x14:conditionalFormatting xmlns:xm="http://schemas.microsoft.com/office/excel/2006/main">
          <x14:cfRule type="expression" priority="106" id="{84E3CC71-14D8-46C9-8683-888BBCB39EE6}">
            <xm:f>'% DEDICACIÓN TRABAJADOR'!$I$41=0</xm:f>
            <x14:dxf>
              <font>
                <color theme="9" tint="0.79998168889431442"/>
              </font>
              <fill>
                <patternFill>
                  <bgColor theme="9" tint="0.79998168889431442"/>
                </patternFill>
              </fill>
            </x14:dxf>
          </x14:cfRule>
          <xm:sqref>BD54:BF54</xm:sqref>
        </x14:conditionalFormatting>
        <x14:conditionalFormatting xmlns:xm="http://schemas.microsoft.com/office/excel/2006/main">
          <x14:cfRule type="expression" priority="107" id="{6209424E-038B-48AF-BF81-D59351F2D3AA}">
            <xm:f>'% DEDICACIÓN TRABAJADOR'!$J$41=0</xm:f>
            <x14:dxf>
              <font>
                <color theme="9" tint="0.79998168889431442"/>
              </font>
              <fill>
                <patternFill>
                  <bgColor theme="9" tint="0.79998168889431442"/>
                </patternFill>
              </fill>
            </x14:dxf>
          </x14:cfRule>
          <xm:sqref>BD55:BF55</xm:sqref>
        </x14:conditionalFormatting>
        <x14:conditionalFormatting xmlns:xm="http://schemas.microsoft.com/office/excel/2006/main">
          <x14:cfRule type="expression" priority="108" id="{E76A9F71-B974-41FE-A504-33798887FCF9}">
            <xm:f>'% DEDICACIÓN TRABAJADOR'!$K$41=0</xm:f>
            <x14:dxf>
              <font>
                <color theme="9" tint="0.79998168889431442"/>
              </font>
              <fill>
                <patternFill>
                  <bgColor theme="9" tint="0.79998168889431442"/>
                </patternFill>
              </fill>
            </x14:dxf>
          </x14:cfRule>
          <xm:sqref>BD56:BF56</xm:sqref>
        </x14:conditionalFormatting>
        <x14:conditionalFormatting xmlns:xm="http://schemas.microsoft.com/office/excel/2006/main">
          <x14:cfRule type="expression" priority="109" id="{0E6A3AB7-AEE0-4881-9130-FDA17D38A3C6}">
            <xm:f>'% DEDICACIÓN TRABAJADOR'!$L$41=0</xm:f>
            <x14:dxf>
              <font>
                <color theme="9" tint="0.79998168889431442"/>
              </font>
              <fill>
                <patternFill>
                  <bgColor theme="9" tint="0.79998168889431442"/>
                </patternFill>
              </fill>
            </x14:dxf>
          </x14:cfRule>
          <xm:sqref>BD57:BF57</xm:sqref>
        </x14:conditionalFormatting>
        <x14:conditionalFormatting xmlns:xm="http://schemas.microsoft.com/office/excel/2006/main">
          <x14:cfRule type="expression" priority="110" id="{39A9836E-D93F-4A48-860F-97E2B876B024}">
            <xm:f>'% DEDICACIÓN TRABAJADOR'!$M$41=0</xm:f>
            <x14:dxf>
              <font>
                <color theme="9" tint="0.79998168889431442"/>
              </font>
              <fill>
                <patternFill>
                  <bgColor theme="9" tint="0.79998168889431442"/>
                </patternFill>
              </fill>
            </x14:dxf>
          </x14:cfRule>
          <xm:sqref>BD58:BF58</xm:sqref>
        </x14:conditionalFormatting>
        <x14:conditionalFormatting xmlns:xm="http://schemas.microsoft.com/office/excel/2006/main">
          <x14:cfRule type="expression" priority="111" id="{5299D1A7-5E23-40D4-B13B-57770A99410B}">
            <xm:f>'% DEDICACIÓN TRABAJADOR'!$N$41=0</xm:f>
            <x14:dxf>
              <font>
                <color theme="9" tint="0.79998168889431442"/>
              </font>
              <fill>
                <patternFill>
                  <bgColor theme="9" tint="0.79998168889431442"/>
                </patternFill>
              </fill>
            </x14:dxf>
          </x14:cfRule>
          <xm:sqref>BD59:BF59</xm:sqref>
        </x14:conditionalFormatting>
        <x14:conditionalFormatting xmlns:xm="http://schemas.microsoft.com/office/excel/2006/main">
          <x14:cfRule type="expression" priority="112" id="{C8B74FC1-E7E7-4041-96B1-FD36AA14303B}">
            <xm:f>'% DEDICACIÓN TRABAJADOR'!$O$41=0</xm:f>
            <x14:dxf>
              <font>
                <color theme="9" tint="0.79998168889431442"/>
              </font>
              <fill>
                <patternFill>
                  <bgColor theme="9" tint="0.79998168889431442"/>
                </patternFill>
              </fill>
            </x14:dxf>
          </x14:cfRule>
          <xm:sqref>BD60:BF60</xm:sqref>
        </x14:conditionalFormatting>
        <x14:conditionalFormatting xmlns:xm="http://schemas.microsoft.com/office/excel/2006/main">
          <x14:cfRule type="expression" priority="113" id="{820CAC54-6475-4692-B4AF-6013250AF675}">
            <xm:f>'% DEDICACIÓN TRABAJADOR'!$P$41=0</xm:f>
            <x14:dxf>
              <font>
                <color theme="9" tint="0.79998168889431442"/>
              </font>
              <fill>
                <patternFill>
                  <bgColor theme="9" tint="0.79998168889431442"/>
                </patternFill>
              </fill>
            </x14:dxf>
          </x14:cfRule>
          <xm:sqref>BD61:BF61</xm:sqref>
        </x14:conditionalFormatting>
        <x14:conditionalFormatting xmlns:xm="http://schemas.microsoft.com/office/excel/2006/main">
          <x14:cfRule type="expression" priority="114" id="{DEB784FD-9A34-4BFE-9D9B-621B46457CD0}">
            <xm:f>'% DEDICACIÓN TRABAJADOR'!$Q$41=0</xm:f>
            <x14:dxf>
              <font>
                <color theme="9" tint="0.79998168889431442"/>
              </font>
              <fill>
                <patternFill>
                  <bgColor theme="9" tint="0.79998168889431442"/>
                </patternFill>
              </fill>
            </x14:dxf>
          </x14:cfRule>
          <xm:sqref>BD62:BF62</xm:sqref>
        </x14:conditionalFormatting>
        <x14:conditionalFormatting xmlns:xm="http://schemas.microsoft.com/office/excel/2006/main">
          <x14:cfRule type="expression" priority="115" id="{B71D6598-5654-47F7-A981-5528B1E3C79C}">
            <xm:f>'% DEDICACIÓN TRABAJADOR'!$R$41=0</xm:f>
            <x14:dxf>
              <font>
                <color theme="9" tint="0.79998168889431442"/>
              </font>
              <fill>
                <patternFill>
                  <bgColor theme="9" tint="0.79998168889431442"/>
                </patternFill>
              </fill>
            </x14:dxf>
          </x14:cfRule>
          <xm:sqref>BD63:BF63</xm:sqref>
        </x14:conditionalFormatting>
        <x14:conditionalFormatting xmlns:xm="http://schemas.microsoft.com/office/excel/2006/main">
          <x14:cfRule type="expression" priority="92" id="{96CA79AD-21E2-4A74-8966-C1695316D4A3}">
            <xm:f>'% DEDICACIÓN TRABAJADOR'!$G$41=0</xm:f>
            <x14:dxf>
              <font>
                <color theme="9" tint="0.79998168889431442"/>
              </font>
              <fill>
                <patternFill>
                  <bgColor theme="9" tint="0.79998168889431442"/>
                </patternFill>
              </fill>
            </x14:dxf>
          </x14:cfRule>
          <xm:sqref>CJ20:CW20</xm:sqref>
        </x14:conditionalFormatting>
        <x14:conditionalFormatting xmlns:xm="http://schemas.microsoft.com/office/excel/2006/main">
          <x14:cfRule type="expression" priority="93" id="{84C9367F-4B9E-41E1-80FD-2FA511E05B7F}">
            <xm:f>'% DEDICACIÓN TRABAJADOR'!$H$41=0</xm:f>
            <x14:dxf>
              <font>
                <color theme="9" tint="0.79998168889431442"/>
              </font>
              <fill>
                <patternFill>
                  <bgColor theme="9" tint="0.79998168889431442"/>
                </patternFill>
              </fill>
            </x14:dxf>
          </x14:cfRule>
          <xm:sqref>CJ21:CW21</xm:sqref>
        </x14:conditionalFormatting>
        <x14:conditionalFormatting xmlns:xm="http://schemas.microsoft.com/office/excel/2006/main">
          <x14:cfRule type="expression" priority="94" id="{5E4BA519-486F-4780-BF8B-F25D811F6032}">
            <xm:f>'% DEDICACIÓN TRABAJADOR'!$I$41=0</xm:f>
            <x14:dxf>
              <font>
                <color theme="9" tint="0.79998168889431442"/>
              </font>
              <fill>
                <patternFill>
                  <bgColor theme="9" tint="0.79998168889431442"/>
                </patternFill>
              </fill>
            </x14:dxf>
          </x14:cfRule>
          <xm:sqref>CJ22:CW22</xm:sqref>
        </x14:conditionalFormatting>
        <x14:conditionalFormatting xmlns:xm="http://schemas.microsoft.com/office/excel/2006/main">
          <x14:cfRule type="expression" priority="95" id="{70F8CB57-CD82-461A-A14A-98DF955E451C}">
            <xm:f>'% DEDICACIÓN TRABAJADOR'!$J$41=0</xm:f>
            <x14:dxf>
              <font>
                <color theme="9" tint="0.79998168889431442"/>
              </font>
              <fill>
                <patternFill>
                  <bgColor theme="9" tint="0.79998168889431442"/>
                </patternFill>
              </fill>
            </x14:dxf>
          </x14:cfRule>
          <xm:sqref>CJ23:CW23</xm:sqref>
        </x14:conditionalFormatting>
        <x14:conditionalFormatting xmlns:xm="http://schemas.microsoft.com/office/excel/2006/main">
          <x14:cfRule type="expression" priority="96" id="{94C6FC52-D081-4084-B605-1B4253096192}">
            <xm:f>'% DEDICACIÓN TRABAJADOR'!$K$41=0</xm:f>
            <x14:dxf>
              <font>
                <color theme="9" tint="0.79998168889431442"/>
              </font>
              <fill>
                <patternFill>
                  <bgColor theme="9" tint="0.79998168889431442"/>
                </patternFill>
              </fill>
            </x14:dxf>
          </x14:cfRule>
          <xm:sqref>CJ24:CW24</xm:sqref>
        </x14:conditionalFormatting>
        <x14:conditionalFormatting xmlns:xm="http://schemas.microsoft.com/office/excel/2006/main">
          <x14:cfRule type="expression" priority="97" id="{10EFBC2D-148B-4757-90B8-5A12081EF7AC}">
            <xm:f>'% DEDICACIÓN TRABAJADOR'!$L$41=0</xm:f>
            <x14:dxf>
              <font>
                <color theme="9" tint="0.79998168889431442"/>
              </font>
              <fill>
                <patternFill>
                  <bgColor theme="9" tint="0.79998168889431442"/>
                </patternFill>
              </fill>
            </x14:dxf>
          </x14:cfRule>
          <xm:sqref>CJ25:CW25</xm:sqref>
        </x14:conditionalFormatting>
        <x14:conditionalFormatting xmlns:xm="http://schemas.microsoft.com/office/excel/2006/main">
          <x14:cfRule type="expression" priority="98" id="{3556A9E3-9BA5-4CB1-97FE-06A432BFF809}">
            <xm:f>'% DEDICACIÓN TRABAJADOR'!$M$41=0</xm:f>
            <x14:dxf>
              <font>
                <color theme="9" tint="0.79998168889431442"/>
              </font>
              <fill>
                <patternFill>
                  <bgColor theme="9" tint="0.79998168889431442"/>
                </patternFill>
              </fill>
            </x14:dxf>
          </x14:cfRule>
          <xm:sqref>CJ26:CW26</xm:sqref>
        </x14:conditionalFormatting>
        <x14:conditionalFormatting xmlns:xm="http://schemas.microsoft.com/office/excel/2006/main">
          <x14:cfRule type="expression" priority="99" id="{5A892D44-9696-447F-96BD-98F1F4DC5043}">
            <xm:f>'% DEDICACIÓN TRABAJADOR'!$N$41=0</xm:f>
            <x14:dxf>
              <font>
                <color theme="9" tint="0.79998168889431442"/>
              </font>
              <fill>
                <patternFill>
                  <bgColor theme="9" tint="0.79998168889431442"/>
                </patternFill>
              </fill>
            </x14:dxf>
          </x14:cfRule>
          <xm:sqref>CJ27:CW27</xm:sqref>
        </x14:conditionalFormatting>
        <x14:conditionalFormatting xmlns:xm="http://schemas.microsoft.com/office/excel/2006/main">
          <x14:cfRule type="expression" priority="100" id="{8BAF0A29-68A1-40DE-B252-0A43F5BBAC3E}">
            <xm:f>'% DEDICACIÓN TRABAJADOR'!$O$41=0</xm:f>
            <x14:dxf>
              <font>
                <color theme="9" tint="0.79998168889431442"/>
              </font>
              <fill>
                <patternFill>
                  <bgColor theme="9" tint="0.79998168889431442"/>
                </patternFill>
              </fill>
            </x14:dxf>
          </x14:cfRule>
          <xm:sqref>CJ28:CW28</xm:sqref>
        </x14:conditionalFormatting>
        <x14:conditionalFormatting xmlns:xm="http://schemas.microsoft.com/office/excel/2006/main">
          <x14:cfRule type="expression" priority="101" id="{8E243A61-B500-4547-90C1-6E609DCA976A}">
            <xm:f>'% DEDICACIÓN TRABAJADOR'!$P$41=0</xm:f>
            <x14:dxf>
              <font>
                <color theme="9" tint="0.79998168889431442"/>
              </font>
              <fill>
                <patternFill>
                  <bgColor theme="9" tint="0.79998168889431442"/>
                </patternFill>
              </fill>
            </x14:dxf>
          </x14:cfRule>
          <xm:sqref>CJ29:CW29</xm:sqref>
        </x14:conditionalFormatting>
        <x14:conditionalFormatting xmlns:xm="http://schemas.microsoft.com/office/excel/2006/main">
          <x14:cfRule type="expression" priority="102" id="{A8500752-5CC6-49E9-9D91-D45EBF4475C9}">
            <xm:f>'% DEDICACIÓN TRABAJADOR'!$Q$41=0</xm:f>
            <x14:dxf>
              <font>
                <color theme="9" tint="0.79998168889431442"/>
              </font>
              <fill>
                <patternFill>
                  <bgColor theme="9" tint="0.79998168889431442"/>
                </patternFill>
              </fill>
            </x14:dxf>
          </x14:cfRule>
          <xm:sqref>CJ30:CW30</xm:sqref>
        </x14:conditionalFormatting>
        <x14:conditionalFormatting xmlns:xm="http://schemas.microsoft.com/office/excel/2006/main">
          <x14:cfRule type="expression" priority="103" id="{E67CC4FA-D62E-4290-A3B4-1E0BB0327AD1}">
            <xm:f>'% DEDICACIÓN TRABAJADOR'!$R$41=0</xm:f>
            <x14:dxf>
              <font>
                <color theme="9" tint="0.79998168889431442"/>
              </font>
              <fill>
                <patternFill>
                  <bgColor theme="9" tint="0.79998168889431442"/>
                </patternFill>
              </fill>
            </x14:dxf>
          </x14:cfRule>
          <xm:sqref>CJ31:CW31</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AAA16-F95E-44D1-AE97-97EC88F8F55C}">
  <sheetPr>
    <tabColor rgb="FF0592CB"/>
  </sheetPr>
  <dimension ref="A1:DX65"/>
  <sheetViews>
    <sheetView showGridLines="0" zoomScale="70" zoomScaleNormal="70" workbookViewId="0">
      <selection activeCell="F9" sqref="F9"/>
    </sheetView>
  </sheetViews>
  <sheetFormatPr baseColWidth="10" defaultColWidth="11.42578125" defaultRowHeight="15" outlineLevelCol="1" x14ac:dyDescent="0.25"/>
  <cols>
    <col min="1" max="2" width="5.5703125" style="47" customWidth="1"/>
    <col min="3" max="3" width="13.7109375" style="47" customWidth="1"/>
    <col min="4" max="5" width="10.5703125" style="47" customWidth="1"/>
    <col min="6" max="6" width="9.5703125" style="47" customWidth="1"/>
    <col min="7" max="12" width="11.5703125" style="47" customWidth="1"/>
    <col min="13" max="13" width="15.5703125" style="47" customWidth="1"/>
    <col min="14" max="14" width="1.5703125" style="47" customWidth="1"/>
    <col min="15" max="20" width="11.5703125" style="47" customWidth="1"/>
    <col min="21" max="21" width="12.7109375" style="47" customWidth="1"/>
    <col min="22" max="22" width="1.5703125" style="47" customWidth="1"/>
    <col min="23" max="27" width="12.5703125" style="47" customWidth="1"/>
    <col min="28" max="30" width="13.5703125" style="47" customWidth="1"/>
    <col min="31" max="31" width="40.7109375" style="47" customWidth="1"/>
    <col min="32" max="32" width="1.5703125" style="47" customWidth="1"/>
    <col min="33" max="34" width="5.7109375" style="53" hidden="1" customWidth="1"/>
    <col min="35" max="37" width="8.7109375" style="53" hidden="1" customWidth="1"/>
    <col min="38" max="38" width="5.7109375" style="47" hidden="1" customWidth="1" outlineLevel="1"/>
    <col min="39" max="39" width="5.5703125" style="82" hidden="1" customWidth="1" outlineLevel="1"/>
    <col min="40" max="40" width="13.7109375" style="82" hidden="1" customWidth="1" outlineLevel="1"/>
    <col min="41" max="46" width="9.7109375" style="82" hidden="1" customWidth="1" outlineLevel="1"/>
    <col min="47" max="49" width="9.5703125" style="82" hidden="1" customWidth="1" outlineLevel="1"/>
    <col min="50" max="66" width="9.7109375" style="82" hidden="1" customWidth="1" outlineLevel="1"/>
    <col min="67" max="67" width="1.5703125" style="82" hidden="1" customWidth="1" outlineLevel="1"/>
    <col min="68" max="86" width="9.7109375" style="82" hidden="1" customWidth="1" outlineLevel="1"/>
    <col min="87" max="87" width="1.5703125" style="82" hidden="1" customWidth="1" outlineLevel="1"/>
    <col min="88" max="88" width="11.28515625" style="82" hidden="1" customWidth="1" outlineLevel="1"/>
    <col min="89" max="101" width="9.7109375" style="82" hidden="1" customWidth="1" outlineLevel="1"/>
    <col min="102" max="102" width="5.7109375" style="82" hidden="1" customWidth="1" outlineLevel="1"/>
    <col min="103" max="103" width="90.7109375" style="82" hidden="1" customWidth="1" outlineLevel="1"/>
    <col min="104" max="104" width="5.5703125" style="47" customWidth="1" collapsed="1"/>
    <col min="105" max="106" width="5.7109375" style="53" hidden="1" customWidth="1"/>
    <col min="107" max="107" width="5.7109375" style="47" hidden="1" customWidth="1"/>
    <col min="108" max="125" width="5.7109375" style="53" hidden="1" customWidth="1"/>
    <col min="126" max="126" width="5.7109375" style="47" hidden="1" customWidth="1"/>
    <col min="127" max="128" width="0" style="47" hidden="1" customWidth="1"/>
    <col min="129" max="16384" width="11.42578125" style="47"/>
  </cols>
  <sheetData>
    <row r="1" spans="1:128" ht="15" customHeight="1" x14ac:dyDescent="0.25">
      <c r="A1" s="298"/>
    </row>
    <row r="2" spans="1:128" ht="18" customHeight="1" x14ac:dyDescent="0.25">
      <c r="F2" s="287"/>
      <c r="G2" s="288"/>
      <c r="I2" s="289"/>
      <c r="AU2" s="290"/>
      <c r="AV2" s="290"/>
      <c r="AW2" s="290"/>
      <c r="AX2" s="291"/>
      <c r="AY2" s="291"/>
      <c r="AZ2" s="291"/>
      <c r="BD2" s="292"/>
      <c r="BE2" s="292"/>
      <c r="BF2" s="292"/>
    </row>
    <row r="3" spans="1:128" ht="18" customHeight="1" x14ac:dyDescent="0.25">
      <c r="AR3" s="47"/>
      <c r="AS3" s="291"/>
      <c r="AT3" s="291"/>
    </row>
    <row r="4" spans="1:128" ht="18" customHeight="1" x14ac:dyDescent="0.25">
      <c r="E4" s="105" t="str">
        <f>'IDENTIFICACIÓN TRABAJADOR'!F5</f>
        <v/>
      </c>
      <c r="F4" s="52"/>
      <c r="G4" s="125"/>
      <c r="AR4" s="366" t="str">
        <f>'IDENTIFICACIÓN TRABAJADOR'!$F$5</f>
        <v/>
      </c>
      <c r="AS4" s="131"/>
      <c r="AT4" s="131"/>
      <c r="AU4" s="131"/>
      <c r="AV4" s="293"/>
      <c r="AW4" s="293"/>
      <c r="AX4" s="84"/>
      <c r="AY4" s="84"/>
      <c r="AZ4" s="84"/>
    </row>
    <row r="5" spans="1:128" ht="18" customHeight="1" x14ac:dyDescent="0.25">
      <c r="F5" s="52"/>
      <c r="G5" s="52"/>
      <c r="H5" s="52"/>
      <c r="I5" s="52"/>
      <c r="J5" s="52"/>
      <c r="K5" s="52"/>
      <c r="L5" s="52"/>
      <c r="M5" s="52"/>
      <c r="N5" s="52"/>
      <c r="O5" s="52"/>
      <c r="P5" s="52"/>
      <c r="Q5" s="52"/>
      <c r="R5" s="52"/>
      <c r="S5" s="52"/>
      <c r="T5" s="52"/>
      <c r="AR5" s="47"/>
      <c r="AS5" s="294"/>
      <c r="AT5" s="294"/>
      <c r="AU5" s="131"/>
      <c r="AV5" s="131"/>
      <c r="AW5" s="131"/>
      <c r="AX5" s="131"/>
      <c r="AY5" s="131"/>
      <c r="AZ5" s="131"/>
      <c r="BA5" s="131"/>
      <c r="BB5" s="131"/>
      <c r="BC5" s="131"/>
      <c r="BD5" s="131"/>
      <c r="BE5" s="131"/>
      <c r="BF5" s="131"/>
      <c r="BG5" s="131"/>
      <c r="BH5" s="131"/>
      <c r="BI5" s="131"/>
      <c r="BM5" s="131"/>
      <c r="BN5" s="131"/>
      <c r="BO5" s="131"/>
      <c r="BP5" s="131"/>
      <c r="BQ5" s="131"/>
      <c r="BR5" s="131"/>
      <c r="BS5" s="131"/>
      <c r="BT5" s="131"/>
      <c r="BU5" s="131"/>
      <c r="BV5" s="131"/>
      <c r="BW5" s="131"/>
      <c r="BX5" s="131"/>
      <c r="BY5" s="131"/>
      <c r="BZ5" s="131"/>
      <c r="CA5" s="131"/>
      <c r="CB5" s="131"/>
      <c r="CC5" s="131"/>
      <c r="CD5" s="131"/>
      <c r="CE5" s="131"/>
    </row>
    <row r="6" spans="1:128" ht="18" customHeight="1" x14ac:dyDescent="0.25">
      <c r="E6" s="295" t="str">
        <f>'% DEDICACIÓN TRABAJADOR'!F7</f>
        <v>TRABAJADOR:</v>
      </c>
      <c r="F6" s="52"/>
      <c r="G6" s="52"/>
      <c r="H6" s="52"/>
      <c r="I6" s="52"/>
      <c r="J6" s="52"/>
      <c r="K6" s="52"/>
      <c r="L6" s="52"/>
      <c r="M6" s="52"/>
      <c r="N6" s="52"/>
      <c r="O6" s="52"/>
      <c r="P6" s="52"/>
      <c r="Q6" s="52"/>
      <c r="R6" s="52"/>
      <c r="S6" s="52"/>
      <c r="T6" s="52"/>
      <c r="AR6" s="126" t="str">
        <f>'% DEDICACIÓN TRABAJADOR'!$F$7</f>
        <v>TRABAJADOR:</v>
      </c>
      <c r="AS6" s="294"/>
      <c r="AT6" s="294"/>
      <c r="AU6" s="131"/>
      <c r="AV6" s="131"/>
      <c r="AW6" s="131"/>
      <c r="AX6" s="131"/>
      <c r="AY6" s="131"/>
      <c r="AZ6" s="131"/>
      <c r="BA6" s="131"/>
      <c r="BB6" s="131"/>
      <c r="BC6" s="131"/>
      <c r="BD6" s="131"/>
      <c r="BE6" s="131"/>
      <c r="BF6" s="131"/>
      <c r="BG6" s="131"/>
      <c r="BH6" s="131"/>
      <c r="BI6" s="131"/>
      <c r="BJ6" s="131"/>
      <c r="BM6" s="131"/>
      <c r="BN6" s="131"/>
      <c r="BO6" s="131"/>
      <c r="BP6" s="131"/>
      <c r="BQ6" s="131"/>
      <c r="BR6" s="131"/>
      <c r="BS6" s="131"/>
      <c r="BT6" s="131"/>
      <c r="BU6" s="131"/>
      <c r="BV6" s="131"/>
      <c r="BW6" s="131"/>
      <c r="BX6" s="131"/>
      <c r="BY6" s="131"/>
      <c r="BZ6" s="131"/>
      <c r="CA6" s="131"/>
      <c r="CB6" s="131"/>
      <c r="CC6" s="131"/>
      <c r="CD6" s="131"/>
      <c r="CE6" s="131"/>
    </row>
    <row r="7" spans="1:128" ht="15" customHeight="1" thickBot="1" x14ac:dyDescent="0.3">
      <c r="BA7" s="131"/>
      <c r="BB7" s="131"/>
      <c r="BC7" s="131"/>
      <c r="BD7" s="131"/>
      <c r="BE7" s="131"/>
      <c r="BF7" s="131"/>
      <c r="BG7" s="131"/>
      <c r="BH7" s="131"/>
      <c r="BI7" s="131"/>
      <c r="BJ7" s="131"/>
      <c r="BM7" s="131"/>
      <c r="BN7" s="131"/>
      <c r="BO7" s="131"/>
      <c r="BP7" s="131"/>
      <c r="BQ7" s="131"/>
      <c r="BR7" s="131"/>
      <c r="BS7" s="131"/>
      <c r="BT7" s="131"/>
      <c r="BU7" s="131"/>
      <c r="BV7" s="131"/>
      <c r="BW7" s="131"/>
      <c r="BX7" s="131"/>
      <c r="BY7" s="131"/>
      <c r="BZ7" s="131"/>
      <c r="CA7" s="131"/>
      <c r="CB7" s="131"/>
      <c r="CC7" s="131"/>
      <c r="CD7" s="131"/>
      <c r="CE7" s="131"/>
      <c r="DD7" s="812" t="s">
        <v>157</v>
      </c>
      <c r="DE7" s="812"/>
      <c r="DF7" s="812"/>
      <c r="DG7" s="812"/>
      <c r="DH7" s="812"/>
      <c r="DI7" s="812"/>
      <c r="DJ7" s="812"/>
      <c r="DK7" s="812"/>
      <c r="DL7" s="812"/>
      <c r="DM7" s="812"/>
      <c r="DN7" s="812"/>
      <c r="DO7" s="812"/>
      <c r="DP7" s="812"/>
      <c r="DQ7" s="812"/>
      <c r="DR7" s="812"/>
      <c r="DS7" s="812"/>
      <c r="DT7" s="812"/>
      <c r="DU7" s="812"/>
      <c r="DW7" s="811" t="s">
        <v>158</v>
      </c>
      <c r="DX7" s="811"/>
    </row>
    <row r="8" spans="1:128" ht="35.1" customHeight="1" thickTop="1" thickBot="1" x14ac:dyDescent="0.3">
      <c r="B8" s="971" t="str">
        <f>CONCATENATE("GASTO DEL TRABAJADOR ",'IDENTIFICACIÓN TRABAJADOR'!D14," EJERCICIO ",YEAR(EXPEDIENTE!F25)+3)</f>
        <v>GASTO DEL TRABAJADOR  EJERCICIO 2028</v>
      </c>
      <c r="C8" s="948" t="str">
        <f>CONCATENATE("TABLA DE COTIZACIONES ",YEAR(EXPEDIENTE!F25)+3)</f>
        <v>TABLA DE COTIZACIONES 2028</v>
      </c>
      <c r="D8" s="948"/>
      <c r="E8" s="948"/>
      <c r="F8" s="1030"/>
      <c r="H8" s="306" t="s">
        <v>159</v>
      </c>
      <c r="I8" s="1025" t="s">
        <v>160</v>
      </c>
      <c r="J8" s="1025"/>
      <c r="K8" s="1025"/>
      <c r="L8" s="1025"/>
      <c r="M8" s="1025"/>
      <c r="N8" s="1025"/>
      <c r="O8" s="1025"/>
      <c r="P8" s="1025"/>
      <c r="Q8" s="1025"/>
      <c r="R8" s="1025"/>
      <c r="S8" s="1025"/>
      <c r="T8" s="1026"/>
      <c r="AM8" s="1013" t="str">
        <f>CONCATENATE("GASTO DEL TRABAJADOR ",'IDENTIFICACIÓN TRABAJADOR'!$D$14," EJERCICIO ",YEAR(EXPEDIENTE!$F$25)+3)</f>
        <v>GASTO DEL TRABAJADOR  EJERCICIO 2028</v>
      </c>
      <c r="AN8" s="925" t="str">
        <f>CONCATENATE("COTIZACIONES ",YEAR(EXPEDIENTE!$F$25)+3)</f>
        <v>COTIZACIONES 2028</v>
      </c>
      <c r="AO8" s="925"/>
      <c r="AP8" s="925"/>
      <c r="AQ8" s="367"/>
      <c r="AR8" s="375" t="s">
        <v>161</v>
      </c>
      <c r="AS8" s="553" t="s">
        <v>68</v>
      </c>
      <c r="AT8" s="376" t="s">
        <v>162</v>
      </c>
      <c r="AU8" s="944" t="s">
        <v>163</v>
      </c>
      <c r="AV8" s="944"/>
      <c r="AW8" s="944"/>
      <c r="AX8" s="944"/>
      <c r="AY8" s="944"/>
      <c r="AZ8" s="944"/>
      <c r="BA8" s="944"/>
      <c r="BB8" s="944"/>
      <c r="BC8" s="944"/>
      <c r="BD8" s="944"/>
      <c r="BE8" s="944"/>
      <c r="BF8" s="944"/>
      <c r="BG8" s="945"/>
      <c r="BJ8" s="131"/>
      <c r="BK8" s="131"/>
      <c r="BL8" s="131"/>
      <c r="BM8" s="131"/>
      <c r="BN8" s="131"/>
      <c r="BO8" s="131"/>
      <c r="BP8" s="131"/>
      <c r="BQ8" s="131"/>
      <c r="BR8" s="131"/>
      <c r="BS8" s="131"/>
      <c r="BT8" s="131"/>
      <c r="BU8" s="131"/>
      <c r="BV8" s="131"/>
      <c r="BW8" s="131"/>
      <c r="BX8" s="131"/>
      <c r="BY8" s="131"/>
      <c r="BZ8" s="131"/>
      <c r="CA8" s="131"/>
      <c r="CB8" s="131"/>
      <c r="CY8" s="81"/>
      <c r="CZ8" s="53"/>
      <c r="DD8" s="55" t="s">
        <v>164</v>
      </c>
      <c r="DE8" s="55" t="s">
        <v>165</v>
      </c>
      <c r="DF8" s="55" t="s">
        <v>166</v>
      </c>
      <c r="DG8" s="55" t="s">
        <v>167</v>
      </c>
      <c r="DH8" s="55" t="s">
        <v>168</v>
      </c>
      <c r="DI8" s="55" t="s">
        <v>169</v>
      </c>
      <c r="DJ8" s="55" t="s">
        <v>170</v>
      </c>
      <c r="DK8" s="55" t="s">
        <v>171</v>
      </c>
      <c r="DL8" s="55" t="s">
        <v>172</v>
      </c>
      <c r="DM8" s="55" t="s">
        <v>173</v>
      </c>
      <c r="DN8" s="55" t="s">
        <v>174</v>
      </c>
      <c r="DO8" s="55" t="s">
        <v>175</v>
      </c>
      <c r="DP8" s="55" t="s">
        <v>176</v>
      </c>
      <c r="DQ8" s="55" t="s">
        <v>177</v>
      </c>
      <c r="DR8" s="55" t="s">
        <v>178</v>
      </c>
      <c r="DS8" s="55" t="s">
        <v>179</v>
      </c>
      <c r="DT8" s="55" t="s">
        <v>180</v>
      </c>
      <c r="DU8" s="55" t="s">
        <v>181</v>
      </c>
    </row>
    <row r="9" spans="1:128" ht="20.100000000000001" customHeight="1" thickTop="1" x14ac:dyDescent="0.25">
      <c r="B9" s="972"/>
      <c r="C9" s="313" t="s">
        <v>182</v>
      </c>
      <c r="D9" s="312"/>
      <c r="E9" s="312"/>
      <c r="F9" s="315"/>
      <c r="H9" s="307" t="s">
        <v>183</v>
      </c>
      <c r="I9" s="963" t="s">
        <v>184</v>
      </c>
      <c r="J9" s="963"/>
      <c r="K9" s="963"/>
      <c r="L9" s="963"/>
      <c r="M9" s="963"/>
      <c r="N9" s="963"/>
      <c r="O9" s="963"/>
      <c r="P9" s="963"/>
      <c r="Q9" s="963"/>
      <c r="R9" s="963"/>
      <c r="S9" s="963"/>
      <c r="T9" s="964"/>
      <c r="AM9" s="1014"/>
      <c r="AN9" s="926" t="s">
        <v>182</v>
      </c>
      <c r="AO9" s="927"/>
      <c r="AP9" s="928"/>
      <c r="AQ9" s="369"/>
      <c r="AR9" s="132">
        <f t="shared" ref="AR9:AR14" si="0">IF(F9="",0,F9)</f>
        <v>0</v>
      </c>
      <c r="AS9" s="133"/>
      <c r="AT9" s="134">
        <f>IF(AS9="",AR9,AS9)</f>
        <v>0</v>
      </c>
      <c r="AU9" s="930"/>
      <c r="AV9" s="930"/>
      <c r="AW9" s="930"/>
      <c r="AX9" s="930"/>
      <c r="AY9" s="930"/>
      <c r="AZ9" s="930"/>
      <c r="BA9" s="930"/>
      <c r="BB9" s="930"/>
      <c r="BC9" s="930"/>
      <c r="BD9" s="930"/>
      <c r="BE9" s="930"/>
      <c r="BF9" s="930"/>
      <c r="BG9" s="931"/>
      <c r="BJ9" s="131"/>
      <c r="BK9" s="131"/>
      <c r="BL9" s="131"/>
      <c r="BM9" s="131"/>
      <c r="BN9" s="131"/>
      <c r="BO9" s="131"/>
      <c r="BP9" s="131"/>
      <c r="BQ9" s="131"/>
      <c r="BR9" s="131"/>
      <c r="BS9" s="131"/>
      <c r="BT9" s="131"/>
      <c r="BU9" s="131"/>
      <c r="BV9" s="131"/>
      <c r="BW9" s="131"/>
      <c r="BX9" s="131"/>
      <c r="BY9" s="131"/>
      <c r="BZ9" s="131"/>
      <c r="CA9" s="131"/>
      <c r="CB9" s="131"/>
      <c r="CY9" s="81"/>
      <c r="CZ9" s="53"/>
      <c r="DD9" s="135">
        <f>SUM(DE9:DU9)</f>
        <v>0</v>
      </c>
      <c r="DE9" s="135">
        <f>IF(AS9="",0,1)</f>
        <v>0</v>
      </c>
      <c r="DW9" s="55">
        <f>IF(AU9&lt;&gt;"",1,0)</f>
        <v>0</v>
      </c>
      <c r="DX9" s="130" t="str">
        <f>IF(DW9=0,"",AU9)</f>
        <v/>
      </c>
    </row>
    <row r="10" spans="1:128" ht="20.100000000000001" customHeight="1" x14ac:dyDescent="0.25">
      <c r="B10" s="972"/>
      <c r="C10" s="965" t="s">
        <v>471</v>
      </c>
      <c r="D10" s="966"/>
      <c r="E10" s="967"/>
      <c r="F10" s="694"/>
      <c r="H10" s="308"/>
      <c r="I10" s="683" t="s">
        <v>52</v>
      </c>
      <c r="J10" s="683"/>
      <c r="K10" s="683"/>
      <c r="L10" s="683"/>
      <c r="M10" s="683"/>
      <c r="N10" s="683"/>
      <c r="O10" s="683"/>
      <c r="P10" s="683"/>
      <c r="Q10" s="683"/>
      <c r="R10" s="683"/>
      <c r="S10" s="683"/>
      <c r="T10" s="684"/>
      <c r="AM10" s="1014"/>
      <c r="AN10" s="893" t="s">
        <v>471</v>
      </c>
      <c r="AO10" s="894"/>
      <c r="AP10" s="895"/>
      <c r="AQ10" s="370"/>
      <c r="AR10" s="136">
        <f t="shared" si="0"/>
        <v>0</v>
      </c>
      <c r="AS10" s="137"/>
      <c r="AT10" s="138">
        <f t="shared" ref="AT10" si="1">IF(AS10="",AR10,AS10)</f>
        <v>0</v>
      </c>
      <c r="AU10" s="869"/>
      <c r="AV10" s="869"/>
      <c r="AW10" s="869"/>
      <c r="AX10" s="869"/>
      <c r="AY10" s="869"/>
      <c r="AZ10" s="869"/>
      <c r="BA10" s="869"/>
      <c r="BB10" s="869"/>
      <c r="BC10" s="869"/>
      <c r="BD10" s="869"/>
      <c r="BE10" s="869"/>
      <c r="BF10" s="869"/>
      <c r="BG10" s="870"/>
      <c r="BJ10" s="131"/>
      <c r="BK10" s="131"/>
      <c r="BL10" s="131"/>
      <c r="BM10" s="131"/>
      <c r="BN10" s="131"/>
      <c r="BO10" s="131"/>
      <c r="BP10" s="131"/>
      <c r="BQ10" s="131"/>
      <c r="BR10" s="131"/>
      <c r="BS10" s="131"/>
      <c r="BT10" s="131"/>
      <c r="BU10" s="131"/>
      <c r="BV10" s="131"/>
      <c r="BW10" s="131"/>
      <c r="BX10" s="131"/>
      <c r="BY10" s="131"/>
      <c r="BZ10" s="131"/>
      <c r="CA10" s="131"/>
      <c r="CB10" s="131"/>
      <c r="CY10" s="81"/>
      <c r="CZ10" s="53"/>
      <c r="DD10" s="135"/>
      <c r="DE10" s="135"/>
      <c r="DW10" s="55"/>
      <c r="DX10" s="130"/>
    </row>
    <row r="11" spans="1:128" ht="20.100000000000001" customHeight="1" thickBot="1" x14ac:dyDescent="0.3">
      <c r="B11" s="972"/>
      <c r="C11" s="314" t="s">
        <v>185</v>
      </c>
      <c r="D11" s="296"/>
      <c r="E11" s="297"/>
      <c r="F11" s="316"/>
      <c r="H11" s="308"/>
      <c r="I11" s="955" t="str">
        <f>CONCATENATE("b) La fecha valor de abono de la nómina y/o de su IRPF sea anterior a la finalización del plazo de justificación (",TEXT(EXPEDIENTE!F29,"dd/mm/aa"),").")</f>
        <v>b) La fecha valor de abono de la nómina y/o de su IRPF sea anterior a la finalización del plazo de justificación ().</v>
      </c>
      <c r="J11" s="955"/>
      <c r="K11" s="955"/>
      <c r="L11" s="955"/>
      <c r="M11" s="955"/>
      <c r="N11" s="955"/>
      <c r="O11" s="955"/>
      <c r="P11" s="955"/>
      <c r="Q11" s="955"/>
      <c r="R11" s="955"/>
      <c r="S11" s="955"/>
      <c r="T11" s="956"/>
      <c r="AM11" s="1014"/>
      <c r="AN11" s="893" t="s">
        <v>185</v>
      </c>
      <c r="AO11" s="894"/>
      <c r="AP11" s="895"/>
      <c r="AQ11" s="370"/>
      <c r="AR11" s="136">
        <f t="shared" si="0"/>
        <v>0</v>
      </c>
      <c r="AS11" s="137"/>
      <c r="AT11" s="138">
        <f t="shared" ref="AT11:AT14" si="2">IF(AS11="",AR11,AS11)</f>
        <v>0</v>
      </c>
      <c r="AU11" s="869"/>
      <c r="AV11" s="869"/>
      <c r="AW11" s="869"/>
      <c r="AX11" s="869"/>
      <c r="AY11" s="869"/>
      <c r="AZ11" s="869"/>
      <c r="BA11" s="869"/>
      <c r="BB11" s="869"/>
      <c r="BC11" s="869"/>
      <c r="BD11" s="869"/>
      <c r="BE11" s="869"/>
      <c r="BF11" s="869"/>
      <c r="BG11" s="870"/>
      <c r="BJ11" s="131"/>
      <c r="BK11" s="131"/>
      <c r="BL11" s="131"/>
      <c r="BM11" s="131"/>
      <c r="BN11" s="131"/>
      <c r="BO11" s="131"/>
      <c r="BP11" s="131"/>
      <c r="BQ11" s="131"/>
      <c r="BR11" s="131"/>
      <c r="BS11" s="131"/>
      <c r="BT11" s="131"/>
      <c r="BU11" s="131"/>
      <c r="BV11" s="131"/>
      <c r="BW11" s="131"/>
      <c r="BX11" s="131"/>
      <c r="BY11" s="131"/>
      <c r="BZ11" s="131"/>
      <c r="CA11" s="131"/>
      <c r="CB11" s="131"/>
      <c r="CY11" s="81"/>
      <c r="CZ11" s="53"/>
      <c r="DD11" s="55">
        <f t="shared" ref="DD11:DD14" si="3">SUM(DE11:DU11)</f>
        <v>0</v>
      </c>
      <c r="DE11" s="55">
        <f t="shared" ref="DE11:DE14" si="4">IF(AS11="",0,1)</f>
        <v>0</v>
      </c>
      <c r="DW11" s="55">
        <f>IF(AU11&lt;&gt;"",MAX($DW$9:DW9)+1,0)</f>
        <v>0</v>
      </c>
      <c r="DX11" s="130" t="str">
        <f t="shared" ref="DX11:DX15" si="5">IF(DW11=0,"",AU11)</f>
        <v/>
      </c>
    </row>
    <row r="12" spans="1:128" ht="20.100000000000001" customHeight="1" x14ac:dyDescent="0.25">
      <c r="B12" s="972"/>
      <c r="C12" s="314" t="s">
        <v>186</v>
      </c>
      <c r="D12" s="296"/>
      <c r="E12" s="297"/>
      <c r="F12" s="316"/>
      <c r="H12" s="307" t="s">
        <v>188</v>
      </c>
      <c r="I12" s="963" t="s">
        <v>189</v>
      </c>
      <c r="J12" s="963"/>
      <c r="K12" s="963"/>
      <c r="L12" s="963"/>
      <c r="M12" s="963"/>
      <c r="N12" s="963"/>
      <c r="O12" s="963"/>
      <c r="P12" s="963"/>
      <c r="Q12" s="963"/>
      <c r="R12" s="963"/>
      <c r="S12" s="963"/>
      <c r="T12" s="1031"/>
      <c r="AM12" s="1014"/>
      <c r="AN12" s="893" t="s">
        <v>186</v>
      </c>
      <c r="AO12" s="894"/>
      <c r="AP12" s="895"/>
      <c r="AQ12" s="370"/>
      <c r="AR12" s="136">
        <f t="shared" si="0"/>
        <v>0</v>
      </c>
      <c r="AS12" s="137"/>
      <c r="AT12" s="138">
        <f t="shared" si="2"/>
        <v>0</v>
      </c>
      <c r="AU12" s="869"/>
      <c r="AV12" s="869"/>
      <c r="AW12" s="869"/>
      <c r="AX12" s="869"/>
      <c r="AY12" s="869"/>
      <c r="AZ12" s="869"/>
      <c r="BA12" s="869"/>
      <c r="BB12" s="869"/>
      <c r="BC12" s="869"/>
      <c r="BD12" s="869"/>
      <c r="BE12" s="869"/>
      <c r="BF12" s="869"/>
      <c r="BG12" s="870"/>
      <c r="BJ12" s="131"/>
      <c r="BK12" s="131"/>
      <c r="BL12" s="131"/>
      <c r="BM12" s="131"/>
      <c r="BN12" s="131"/>
      <c r="BO12" s="131"/>
      <c r="BP12" s="131"/>
      <c r="BQ12" s="131"/>
      <c r="BR12" s="131"/>
      <c r="BS12" s="131"/>
      <c r="BT12" s="131"/>
      <c r="BU12" s="131"/>
      <c r="BV12" s="131"/>
      <c r="BW12" s="131"/>
      <c r="BX12" s="131"/>
      <c r="BY12" s="131"/>
      <c r="BZ12" s="131"/>
      <c r="CA12" s="131"/>
      <c r="CB12" s="131"/>
      <c r="CY12" s="81"/>
      <c r="CZ12" s="53"/>
      <c r="DD12" s="55">
        <f t="shared" si="3"/>
        <v>0</v>
      </c>
      <c r="DE12" s="55">
        <f t="shared" si="4"/>
        <v>0</v>
      </c>
      <c r="DW12" s="55">
        <f>IF(AU12&lt;&gt;"",MAX($DW$9:DW11)+1,0)</f>
        <v>0</v>
      </c>
      <c r="DX12" s="130" t="str">
        <f t="shared" si="5"/>
        <v/>
      </c>
    </row>
    <row r="13" spans="1:128" ht="20.100000000000001" customHeight="1" thickBot="1" x14ac:dyDescent="0.3">
      <c r="B13" s="972"/>
      <c r="C13" s="314" t="s">
        <v>187</v>
      </c>
      <c r="D13" s="296"/>
      <c r="E13" s="297"/>
      <c r="F13" s="316"/>
      <c r="H13" s="702"/>
      <c r="I13" s="1032"/>
      <c r="J13" s="1032"/>
      <c r="K13" s="1032"/>
      <c r="L13" s="1032"/>
      <c r="M13" s="1032"/>
      <c r="N13" s="1032"/>
      <c r="O13" s="1032"/>
      <c r="P13" s="1032"/>
      <c r="Q13" s="1032"/>
      <c r="R13" s="1032"/>
      <c r="S13" s="1032"/>
      <c r="T13" s="1033"/>
      <c r="AM13" s="1014"/>
      <c r="AN13" s="893" t="s">
        <v>187</v>
      </c>
      <c r="AO13" s="894"/>
      <c r="AP13" s="895"/>
      <c r="AQ13" s="370"/>
      <c r="AR13" s="136">
        <f t="shared" si="0"/>
        <v>0</v>
      </c>
      <c r="AS13" s="137"/>
      <c r="AT13" s="138">
        <f t="shared" si="2"/>
        <v>0</v>
      </c>
      <c r="AU13" s="869"/>
      <c r="AV13" s="869"/>
      <c r="AW13" s="869"/>
      <c r="AX13" s="869"/>
      <c r="AY13" s="869"/>
      <c r="AZ13" s="869"/>
      <c r="BA13" s="869"/>
      <c r="BB13" s="869"/>
      <c r="BC13" s="869"/>
      <c r="BD13" s="869"/>
      <c r="BE13" s="869"/>
      <c r="BF13" s="869"/>
      <c r="BG13" s="870"/>
      <c r="BJ13" s="131"/>
      <c r="BK13" s="131"/>
      <c r="BL13" s="131"/>
      <c r="BM13" s="131"/>
      <c r="BN13" s="131"/>
      <c r="BO13" s="131"/>
      <c r="BP13" s="131"/>
      <c r="BQ13" s="131"/>
      <c r="BR13" s="131"/>
      <c r="BS13" s="131"/>
      <c r="BT13" s="131"/>
      <c r="BU13" s="131"/>
      <c r="BV13" s="131"/>
      <c r="BW13" s="131"/>
      <c r="BX13" s="131"/>
      <c r="BY13" s="131"/>
      <c r="BZ13" s="131"/>
      <c r="CA13" s="131"/>
      <c r="CB13" s="131"/>
      <c r="CY13" s="81"/>
      <c r="CZ13" s="53"/>
      <c r="DD13" s="55">
        <f t="shared" si="3"/>
        <v>0</v>
      </c>
      <c r="DE13" s="55">
        <f t="shared" si="4"/>
        <v>0</v>
      </c>
      <c r="DW13" s="55">
        <f>IF(AU13&lt;&gt;"",MAX($DW$9:DW12)+1,0)</f>
        <v>0</v>
      </c>
      <c r="DX13" s="130" t="str">
        <f t="shared" si="5"/>
        <v/>
      </c>
    </row>
    <row r="14" spans="1:128" ht="20.100000000000001" customHeight="1" x14ac:dyDescent="0.25">
      <c r="B14" s="972"/>
      <c r="C14" s="314" t="s">
        <v>190</v>
      </c>
      <c r="D14" s="296"/>
      <c r="E14" s="297"/>
      <c r="F14" s="316"/>
      <c r="AM14" s="1014"/>
      <c r="AN14" s="893" t="s">
        <v>190</v>
      </c>
      <c r="AO14" s="894"/>
      <c r="AP14" s="895"/>
      <c r="AQ14" s="370"/>
      <c r="AR14" s="136">
        <f t="shared" si="0"/>
        <v>0</v>
      </c>
      <c r="AS14" s="137"/>
      <c r="AT14" s="138">
        <f t="shared" si="2"/>
        <v>0</v>
      </c>
      <c r="AU14" s="904"/>
      <c r="AV14" s="904"/>
      <c r="AW14" s="904"/>
      <c r="AX14" s="904"/>
      <c r="AY14" s="904"/>
      <c r="AZ14" s="904"/>
      <c r="BA14" s="904"/>
      <c r="BB14" s="904"/>
      <c r="BC14" s="904"/>
      <c r="BD14" s="904"/>
      <c r="BE14" s="904"/>
      <c r="BF14" s="904"/>
      <c r="BG14" s="905"/>
      <c r="BJ14" s="131"/>
      <c r="BK14" s="131"/>
      <c r="BL14" s="131"/>
      <c r="BM14" s="131"/>
      <c r="BN14" s="131"/>
      <c r="BO14" s="131"/>
      <c r="BP14" s="131"/>
      <c r="BQ14" s="131"/>
      <c r="BR14" s="131"/>
      <c r="BS14" s="131"/>
      <c r="BT14" s="131"/>
      <c r="BU14" s="131"/>
      <c r="BV14" s="131"/>
      <c r="BW14" s="131"/>
      <c r="BX14" s="131"/>
      <c r="BY14" s="131"/>
      <c r="BZ14" s="131"/>
      <c r="CA14" s="131"/>
      <c r="CB14" s="131"/>
      <c r="CY14" s="81"/>
      <c r="CZ14" s="53"/>
      <c r="DD14" s="55">
        <f t="shared" si="3"/>
        <v>0</v>
      </c>
      <c r="DE14" s="55">
        <f t="shared" si="4"/>
        <v>0</v>
      </c>
      <c r="DW14" s="55">
        <f>IF(AU14&lt;&gt;"",MAX($DW$9:DW13)+1,0)</f>
        <v>0</v>
      </c>
      <c r="DX14" s="130" t="str">
        <f t="shared" si="5"/>
        <v/>
      </c>
    </row>
    <row r="15" spans="1:128" ht="20.100000000000001" customHeight="1" thickBot="1" x14ac:dyDescent="0.3">
      <c r="B15" s="972"/>
      <c r="C15" s="317" t="s">
        <v>191</v>
      </c>
      <c r="D15" s="318"/>
      <c r="E15" s="318"/>
      <c r="F15" s="695">
        <f>SUM(F9:F14)</f>
        <v>0</v>
      </c>
      <c r="AM15" s="1014"/>
      <c r="AN15" s="906" t="s">
        <v>191</v>
      </c>
      <c r="AO15" s="907"/>
      <c r="AP15" s="908"/>
      <c r="AQ15" s="371"/>
      <c r="AR15" s="139">
        <f>SUM(AR9:AR14)</f>
        <v>0</v>
      </c>
      <c r="AS15" s="372"/>
      <c r="AT15" s="140">
        <f>SUM(AT9:AT14)</f>
        <v>0</v>
      </c>
      <c r="AU15" s="141"/>
      <c r="AV15" s="141"/>
      <c r="AW15" s="141"/>
      <c r="AX15" s="141"/>
      <c r="AY15" s="141"/>
      <c r="AZ15" s="141"/>
      <c r="BA15" s="141"/>
      <c r="BB15" s="141"/>
      <c r="BC15" s="141"/>
      <c r="BD15" s="141"/>
      <c r="BE15" s="141"/>
      <c r="BF15" s="141"/>
      <c r="BG15" s="142"/>
      <c r="BJ15" s="131"/>
      <c r="BK15" s="131"/>
      <c r="CY15" s="81"/>
      <c r="CZ15" s="53"/>
      <c r="DW15" s="55">
        <f>IF(AU15&lt;&gt;"",MAX($DW$9:DW14)+1,0)</f>
        <v>0</v>
      </c>
      <c r="DX15" s="130" t="str">
        <f t="shared" si="5"/>
        <v/>
      </c>
    </row>
    <row r="16" spans="1:128" ht="35.1" customHeight="1" thickTop="1" thickBot="1" x14ac:dyDescent="0.3">
      <c r="B16" s="972"/>
      <c r="C16" s="948" t="str">
        <f>CONCATENATE("NÓMINAS MENSUALES EJERCICIO ",YEAR(EXPEDIENTE!F25)+3)</f>
        <v>NÓMINAS MENSUALES EJERCICIO 2028</v>
      </c>
      <c r="D16" s="948"/>
      <c r="E16" s="948"/>
      <c r="F16" s="948"/>
      <c r="G16" s="948"/>
      <c r="H16" s="948"/>
      <c r="I16" s="948"/>
      <c r="J16" s="948"/>
      <c r="K16" s="948"/>
      <c r="L16" s="948"/>
      <c r="M16" s="948"/>
      <c r="N16" s="948"/>
      <c r="O16" s="948"/>
      <c r="P16" s="948"/>
      <c r="Q16" s="948"/>
      <c r="R16" s="948"/>
      <c r="S16" s="948"/>
      <c r="T16" s="948"/>
      <c r="U16" s="948"/>
      <c r="V16" s="948"/>
      <c r="W16" s="948"/>
      <c r="X16" s="948"/>
      <c r="Y16" s="948"/>
      <c r="Z16" s="948"/>
      <c r="AA16" s="948"/>
      <c r="AB16" s="948"/>
      <c r="AC16" s="948"/>
      <c r="AD16" s="948"/>
      <c r="AE16" s="948"/>
      <c r="AF16" s="355"/>
      <c r="AG16" s="1042"/>
      <c r="AH16" s="1042"/>
      <c r="AM16" s="1014"/>
      <c r="AN16" s="843" t="str">
        <f>CONCATENATE("NÓMINAS MENSUALES EJERCICIO ",YEAR(EXPEDIENTE!$F$25)+3)</f>
        <v>NÓMINAS MENSUALES EJERCICIO 2028</v>
      </c>
      <c r="AO16" s="843"/>
      <c r="AP16" s="843"/>
      <c r="AQ16" s="843"/>
      <c r="AR16" s="843"/>
      <c r="AS16" s="843"/>
      <c r="AT16" s="843"/>
      <c r="AU16" s="843"/>
      <c r="AV16" s="843"/>
      <c r="AW16" s="843"/>
      <c r="AX16" s="843"/>
      <c r="AY16" s="843"/>
      <c r="AZ16" s="843"/>
      <c r="BA16" s="843"/>
      <c r="BB16" s="843"/>
      <c r="BC16" s="843"/>
      <c r="BD16" s="843"/>
      <c r="BE16" s="843"/>
      <c r="BF16" s="843"/>
      <c r="BG16" s="843"/>
      <c r="BH16" s="843"/>
      <c r="BI16" s="843"/>
      <c r="BJ16" s="843"/>
      <c r="BK16" s="843"/>
      <c r="BL16" s="843"/>
      <c r="BM16" s="843"/>
      <c r="BN16" s="843"/>
      <c r="BO16" s="843"/>
      <c r="BP16" s="843"/>
      <c r="BQ16" s="843"/>
      <c r="BR16" s="843"/>
      <c r="BS16" s="843"/>
      <c r="BT16" s="843"/>
      <c r="BU16" s="843"/>
      <c r="BV16" s="843"/>
      <c r="BW16" s="843"/>
      <c r="BX16" s="843"/>
      <c r="BY16" s="843"/>
      <c r="BZ16" s="843"/>
      <c r="CA16" s="843"/>
      <c r="CB16" s="843"/>
      <c r="CC16" s="843"/>
      <c r="CD16" s="843"/>
      <c r="CE16" s="843"/>
      <c r="CF16" s="843"/>
      <c r="CG16" s="843"/>
      <c r="CH16" s="843"/>
      <c r="CI16" s="843"/>
      <c r="CJ16" s="843"/>
      <c r="CK16" s="843"/>
      <c r="CL16" s="843"/>
      <c r="CM16" s="843"/>
      <c r="CN16" s="843"/>
      <c r="CO16" s="843"/>
      <c r="CP16" s="843"/>
      <c r="CQ16" s="843"/>
      <c r="CR16" s="843"/>
      <c r="CS16" s="843"/>
      <c r="CT16" s="843"/>
      <c r="CU16" s="843"/>
      <c r="CV16" s="843"/>
      <c r="CW16" s="843"/>
      <c r="CX16" s="843"/>
      <c r="CY16" s="844"/>
      <c r="DA16" s="929"/>
      <c r="DB16" s="929"/>
    </row>
    <row r="17" spans="2:128" ht="20.100000000000001" customHeight="1" thickTop="1" thickBot="1" x14ac:dyDescent="0.3">
      <c r="B17" s="972"/>
      <c r="C17" s="957" t="s">
        <v>193</v>
      </c>
      <c r="D17" s="958"/>
      <c r="E17" s="958"/>
      <c r="F17" s="959" t="s">
        <v>194</v>
      </c>
      <c r="G17" s="959"/>
      <c r="H17" s="959"/>
      <c r="I17" s="959"/>
      <c r="J17" s="959"/>
      <c r="K17" s="959"/>
      <c r="L17" s="959"/>
      <c r="M17" s="960"/>
      <c r="N17" s="968" t="s">
        <v>195</v>
      </c>
      <c r="O17" s="969"/>
      <c r="P17" s="969"/>
      <c r="Q17" s="969"/>
      <c r="R17" s="969"/>
      <c r="S17" s="969"/>
      <c r="T17" s="969"/>
      <c r="U17" s="969"/>
      <c r="V17" s="970"/>
      <c r="W17" s="961" t="s">
        <v>196</v>
      </c>
      <c r="X17" s="953" t="s">
        <v>197</v>
      </c>
      <c r="Y17" s="898" t="s">
        <v>198</v>
      </c>
      <c r="Z17" s="898" t="s">
        <v>199</v>
      </c>
      <c r="AA17" s="898" t="s">
        <v>200</v>
      </c>
      <c r="AB17" s="900" t="s">
        <v>201</v>
      </c>
      <c r="AC17" s="953" t="s">
        <v>202</v>
      </c>
      <c r="AD17" s="900" t="s">
        <v>203</v>
      </c>
      <c r="AE17" s="1027" t="s">
        <v>204</v>
      </c>
      <c r="AF17" s="357"/>
      <c r="AG17" s="833" t="s">
        <v>205</v>
      </c>
      <c r="AH17" s="825" t="s">
        <v>206</v>
      </c>
      <c r="AM17" s="1014"/>
      <c r="AN17" s="939" t="s">
        <v>193</v>
      </c>
      <c r="AO17" s="940"/>
      <c r="AP17" s="940"/>
      <c r="AQ17" s="940"/>
      <c r="AR17" s="941" t="s">
        <v>207</v>
      </c>
      <c r="AS17" s="940"/>
      <c r="AT17" s="942"/>
      <c r="AU17" s="913" t="s">
        <v>194</v>
      </c>
      <c r="AV17" s="914"/>
      <c r="AW17" s="914"/>
      <c r="AX17" s="914"/>
      <c r="AY17" s="914"/>
      <c r="AZ17" s="914"/>
      <c r="BA17" s="914"/>
      <c r="BB17" s="914"/>
      <c r="BC17" s="914"/>
      <c r="BD17" s="914"/>
      <c r="BE17" s="914"/>
      <c r="BF17" s="914"/>
      <c r="BG17" s="914"/>
      <c r="BH17" s="914"/>
      <c r="BI17" s="914"/>
      <c r="BJ17" s="914"/>
      <c r="BK17" s="914"/>
      <c r="BL17" s="914"/>
      <c r="BM17" s="914"/>
      <c r="BN17" s="915"/>
      <c r="BO17" s="916" t="s">
        <v>301</v>
      </c>
      <c r="BP17" s="917"/>
      <c r="BQ17" s="917"/>
      <c r="BR17" s="917"/>
      <c r="BS17" s="917"/>
      <c r="BT17" s="917"/>
      <c r="BU17" s="917"/>
      <c r="BV17" s="917"/>
      <c r="BW17" s="917"/>
      <c r="BX17" s="917"/>
      <c r="BY17" s="917"/>
      <c r="BZ17" s="917"/>
      <c r="CA17" s="917"/>
      <c r="CB17" s="917"/>
      <c r="CC17" s="917"/>
      <c r="CD17" s="917"/>
      <c r="CE17" s="917"/>
      <c r="CF17" s="918"/>
      <c r="CG17" s="918"/>
      <c r="CH17" s="918"/>
      <c r="CI17" s="919"/>
      <c r="CJ17" s="922" t="s">
        <v>196</v>
      </c>
      <c r="CK17" s="816" t="s">
        <v>208</v>
      </c>
      <c r="CL17" s="817"/>
      <c r="CM17" s="818"/>
      <c r="CN17" s="816" t="s">
        <v>209</v>
      </c>
      <c r="CO17" s="817"/>
      <c r="CP17" s="818"/>
      <c r="CQ17" s="885" t="s">
        <v>199</v>
      </c>
      <c r="CR17" s="827" t="s">
        <v>210</v>
      </c>
      <c r="CS17" s="828"/>
      <c r="CT17" s="829"/>
      <c r="CU17" s="830" t="s">
        <v>211</v>
      </c>
      <c r="CV17" s="831"/>
      <c r="CW17" s="832"/>
      <c r="CX17" s="847" t="s">
        <v>212</v>
      </c>
      <c r="CY17" s="838" t="s">
        <v>302</v>
      </c>
      <c r="DA17" s="833" t="s">
        <v>205</v>
      </c>
      <c r="DB17" s="825" t="s">
        <v>206</v>
      </c>
    </row>
    <row r="18" spans="2:128" ht="15" customHeight="1" x14ac:dyDescent="0.25">
      <c r="B18" s="972"/>
      <c r="C18" s="976" t="s">
        <v>214</v>
      </c>
      <c r="D18" s="977"/>
      <c r="E18" s="950" t="s">
        <v>215</v>
      </c>
      <c r="F18" s="951" t="s">
        <v>216</v>
      </c>
      <c r="G18" s="897" t="s">
        <v>217</v>
      </c>
      <c r="H18" s="897"/>
      <c r="I18" s="897"/>
      <c r="J18" s="897"/>
      <c r="K18" s="897"/>
      <c r="L18" s="897"/>
      <c r="M18" s="902" t="s">
        <v>218</v>
      </c>
      <c r="N18" s="143"/>
      <c r="O18" s="896" t="s">
        <v>219</v>
      </c>
      <c r="P18" s="897"/>
      <c r="Q18" s="897"/>
      <c r="R18" s="897"/>
      <c r="S18" s="897"/>
      <c r="T18" s="897"/>
      <c r="U18" s="902" t="s">
        <v>220</v>
      </c>
      <c r="V18" s="144"/>
      <c r="W18" s="961"/>
      <c r="X18" s="953"/>
      <c r="Y18" s="898"/>
      <c r="Z18" s="898"/>
      <c r="AA18" s="898"/>
      <c r="AB18" s="900"/>
      <c r="AC18" s="953"/>
      <c r="AD18" s="900"/>
      <c r="AE18" s="1028"/>
      <c r="AF18" s="357"/>
      <c r="AG18" s="826"/>
      <c r="AH18" s="826"/>
      <c r="AM18" s="1014"/>
      <c r="AN18" s="932" t="s">
        <v>214</v>
      </c>
      <c r="AO18" s="933"/>
      <c r="AP18" s="1036"/>
      <c r="AQ18" s="1037"/>
      <c r="AR18" s="936" t="s">
        <v>161</v>
      </c>
      <c r="AS18" s="943" t="s">
        <v>68</v>
      </c>
      <c r="AT18" s="861" t="s">
        <v>162</v>
      </c>
      <c r="AU18" s="865" t="s">
        <v>221</v>
      </c>
      <c r="AV18" s="866"/>
      <c r="AW18" s="867"/>
      <c r="AX18" s="909" t="s">
        <v>217</v>
      </c>
      <c r="AY18" s="911"/>
      <c r="AZ18" s="911"/>
      <c r="BA18" s="911"/>
      <c r="BB18" s="911"/>
      <c r="BC18" s="911"/>
      <c r="BD18" s="911"/>
      <c r="BE18" s="911"/>
      <c r="BF18" s="911"/>
      <c r="BG18" s="911"/>
      <c r="BH18" s="911"/>
      <c r="BI18" s="911"/>
      <c r="BJ18" s="911"/>
      <c r="BK18" s="911"/>
      <c r="BL18" s="911"/>
      <c r="BM18" s="912"/>
      <c r="BN18" s="937" t="s">
        <v>222</v>
      </c>
      <c r="BO18" s="145"/>
      <c r="BP18" s="909" t="s">
        <v>303</v>
      </c>
      <c r="BQ18" s="910"/>
      <c r="BR18" s="910"/>
      <c r="BS18" s="911"/>
      <c r="BT18" s="911"/>
      <c r="BU18" s="911"/>
      <c r="BV18" s="911"/>
      <c r="BW18" s="911"/>
      <c r="BX18" s="911"/>
      <c r="BY18" s="911"/>
      <c r="BZ18" s="911"/>
      <c r="CA18" s="911"/>
      <c r="CB18" s="911"/>
      <c r="CC18" s="911"/>
      <c r="CD18" s="911"/>
      <c r="CE18" s="912"/>
      <c r="CF18" s="865" t="s">
        <v>224</v>
      </c>
      <c r="CG18" s="866"/>
      <c r="CH18" s="867"/>
      <c r="CI18" s="146"/>
      <c r="CJ18" s="923"/>
      <c r="CK18" s="819" t="s">
        <v>161</v>
      </c>
      <c r="CL18" s="821" t="s">
        <v>68</v>
      </c>
      <c r="CM18" s="823" t="s">
        <v>162</v>
      </c>
      <c r="CN18" s="819" t="s">
        <v>161</v>
      </c>
      <c r="CO18" s="821" t="s">
        <v>68</v>
      </c>
      <c r="CP18" s="823" t="s">
        <v>162</v>
      </c>
      <c r="CQ18" s="886"/>
      <c r="CR18" s="819" t="s">
        <v>161</v>
      </c>
      <c r="CS18" s="821" t="s">
        <v>68</v>
      </c>
      <c r="CT18" s="823" t="s">
        <v>162</v>
      </c>
      <c r="CU18" s="819" t="s">
        <v>161</v>
      </c>
      <c r="CV18" s="821" t="s">
        <v>68</v>
      </c>
      <c r="CW18" s="823" t="s">
        <v>162</v>
      </c>
      <c r="CX18" s="849"/>
      <c r="CY18" s="839"/>
      <c r="DA18" s="826"/>
      <c r="DB18" s="826"/>
    </row>
    <row r="19" spans="2:128" ht="45" customHeight="1" thickBot="1" x14ac:dyDescent="0.3">
      <c r="B19" s="972"/>
      <c r="C19" s="978"/>
      <c r="D19" s="899"/>
      <c r="E19" s="901"/>
      <c r="F19" s="952"/>
      <c r="G19" s="310" t="s">
        <v>225</v>
      </c>
      <c r="H19" s="310" t="s">
        <v>226</v>
      </c>
      <c r="I19" s="310" t="s">
        <v>227</v>
      </c>
      <c r="J19" s="310" t="s">
        <v>228</v>
      </c>
      <c r="K19" s="310" t="s">
        <v>229</v>
      </c>
      <c r="L19" s="311" t="s">
        <v>230</v>
      </c>
      <c r="M19" s="903"/>
      <c r="N19" s="147"/>
      <c r="O19" s="319" t="s">
        <v>231</v>
      </c>
      <c r="P19" s="310" t="s">
        <v>232</v>
      </c>
      <c r="Q19" s="310" t="s">
        <v>233</v>
      </c>
      <c r="R19" s="310" t="s">
        <v>234</v>
      </c>
      <c r="S19" s="310" t="s">
        <v>235</v>
      </c>
      <c r="T19" s="310" t="s">
        <v>236</v>
      </c>
      <c r="U19" s="903"/>
      <c r="V19" s="148"/>
      <c r="W19" s="962"/>
      <c r="X19" s="954"/>
      <c r="Y19" s="899"/>
      <c r="Z19" s="899"/>
      <c r="AA19" s="899"/>
      <c r="AB19" s="901"/>
      <c r="AC19" s="954"/>
      <c r="AD19" s="901"/>
      <c r="AE19" s="1029"/>
      <c r="AF19" s="357"/>
      <c r="AG19" s="55">
        <f>SUM(AG20:AG31,AG38:AG45,AG52:AG63)</f>
        <v>0</v>
      </c>
      <c r="AH19" s="55">
        <f>SUM(AH20:AH31,AH38:AH45)</f>
        <v>0</v>
      </c>
      <c r="AM19" s="1014"/>
      <c r="AN19" s="934"/>
      <c r="AO19" s="935"/>
      <c r="AP19" s="1038"/>
      <c r="AQ19" s="1039"/>
      <c r="AR19" s="820"/>
      <c r="AS19" s="822"/>
      <c r="AT19" s="824"/>
      <c r="AU19" s="149" t="s">
        <v>161</v>
      </c>
      <c r="AV19" s="554" t="s">
        <v>68</v>
      </c>
      <c r="AW19" s="150" t="s">
        <v>162</v>
      </c>
      <c r="AX19" s="151" t="s">
        <v>238</v>
      </c>
      <c r="AY19" s="555" t="s">
        <v>239</v>
      </c>
      <c r="AZ19" s="152" t="s">
        <v>240</v>
      </c>
      <c r="BA19" s="152" t="s">
        <v>241</v>
      </c>
      <c r="BB19" s="555" t="s">
        <v>242</v>
      </c>
      <c r="BC19" s="152" t="s">
        <v>243</v>
      </c>
      <c r="BD19" s="152" t="s">
        <v>244</v>
      </c>
      <c r="BE19" s="555" t="s">
        <v>245</v>
      </c>
      <c r="BF19" s="152" t="s">
        <v>246</v>
      </c>
      <c r="BG19" s="152" t="s">
        <v>247</v>
      </c>
      <c r="BH19" s="555" t="s">
        <v>248</v>
      </c>
      <c r="BI19" s="152" t="s">
        <v>249</v>
      </c>
      <c r="BJ19" s="152" t="s">
        <v>250</v>
      </c>
      <c r="BK19" s="555" t="s">
        <v>251</v>
      </c>
      <c r="BL19" s="152" t="s">
        <v>252</v>
      </c>
      <c r="BM19" s="373" t="s">
        <v>253</v>
      </c>
      <c r="BN19" s="938"/>
      <c r="BO19" s="154"/>
      <c r="BP19" s="151" t="s">
        <v>254</v>
      </c>
      <c r="BQ19" s="555" t="s">
        <v>255</v>
      </c>
      <c r="BR19" s="152" t="s">
        <v>256</v>
      </c>
      <c r="BS19" s="152" t="s">
        <v>257</v>
      </c>
      <c r="BT19" s="555" t="s">
        <v>258</v>
      </c>
      <c r="BU19" s="152" t="s">
        <v>259</v>
      </c>
      <c r="BV19" s="152" t="s">
        <v>260</v>
      </c>
      <c r="BW19" s="555" t="s">
        <v>261</v>
      </c>
      <c r="BX19" s="152" t="s">
        <v>262</v>
      </c>
      <c r="BY19" s="152" t="s">
        <v>263</v>
      </c>
      <c r="BZ19" s="555" t="s">
        <v>264</v>
      </c>
      <c r="CA19" s="152" t="s">
        <v>265</v>
      </c>
      <c r="CB19" s="152" t="s">
        <v>266</v>
      </c>
      <c r="CC19" s="555" t="s">
        <v>267</v>
      </c>
      <c r="CD19" s="152" t="s">
        <v>268</v>
      </c>
      <c r="CE19" s="153" t="s">
        <v>269</v>
      </c>
      <c r="CF19" s="155" t="s">
        <v>161</v>
      </c>
      <c r="CG19" s="556" t="s">
        <v>68</v>
      </c>
      <c r="CH19" s="156" t="s">
        <v>162</v>
      </c>
      <c r="CI19" s="157"/>
      <c r="CJ19" s="924"/>
      <c r="CK19" s="820"/>
      <c r="CL19" s="822"/>
      <c r="CM19" s="824"/>
      <c r="CN19" s="820"/>
      <c r="CO19" s="822"/>
      <c r="CP19" s="824"/>
      <c r="CQ19" s="887"/>
      <c r="CR19" s="820"/>
      <c r="CS19" s="822"/>
      <c r="CT19" s="824"/>
      <c r="CU19" s="820"/>
      <c r="CV19" s="822"/>
      <c r="CW19" s="824"/>
      <c r="CX19" s="848"/>
      <c r="CY19" s="840" t="s">
        <v>68</v>
      </c>
      <c r="DA19" s="55">
        <f>SUM(DA20:DA31,DA38:DA45,DA52:DA63)</f>
        <v>0</v>
      </c>
      <c r="DB19" s="55">
        <f>SUM(DB20:DB31,DB38:DB45)</f>
        <v>0</v>
      </c>
      <c r="DD19" s="55" t="s">
        <v>164</v>
      </c>
      <c r="DE19" s="55" t="s">
        <v>165</v>
      </c>
      <c r="DF19" s="55" t="s">
        <v>166</v>
      </c>
      <c r="DG19" s="55" t="s">
        <v>167</v>
      </c>
      <c r="DH19" s="55" t="s">
        <v>168</v>
      </c>
      <c r="DI19" s="55" t="s">
        <v>169</v>
      </c>
      <c r="DJ19" s="55" t="s">
        <v>170</v>
      </c>
      <c r="DK19" s="55" t="s">
        <v>171</v>
      </c>
      <c r="DL19" s="55" t="s">
        <v>172</v>
      </c>
      <c r="DM19" s="55" t="s">
        <v>173</v>
      </c>
      <c r="DN19" s="55" t="s">
        <v>174</v>
      </c>
      <c r="DO19" s="55" t="s">
        <v>175</v>
      </c>
      <c r="DP19" s="55" t="s">
        <v>176</v>
      </c>
      <c r="DQ19" s="55" t="s">
        <v>177</v>
      </c>
      <c r="DR19" s="55" t="s">
        <v>178</v>
      </c>
      <c r="DS19" s="55" t="s">
        <v>179</v>
      </c>
      <c r="DT19" s="55" t="s">
        <v>180</v>
      </c>
      <c r="DU19" s="55" t="s">
        <v>181</v>
      </c>
    </row>
    <row r="20" spans="2:128" ht="30" customHeight="1" x14ac:dyDescent="0.25">
      <c r="B20" s="972"/>
      <c r="C20" s="979" t="s">
        <v>270</v>
      </c>
      <c r="D20" s="980"/>
      <c r="E20" s="158"/>
      <c r="F20" s="159"/>
      <c r="G20" s="160"/>
      <c r="H20" s="160"/>
      <c r="I20" s="160"/>
      <c r="J20" s="160"/>
      <c r="K20" s="160"/>
      <c r="L20" s="203">
        <f>SUM(G20:K20)</f>
        <v>0</v>
      </c>
      <c r="M20" s="176">
        <f t="shared" ref="M20" si="6">F20+L20</f>
        <v>0</v>
      </c>
      <c r="N20" s="161"/>
      <c r="O20" s="159"/>
      <c r="P20" s="160"/>
      <c r="Q20" s="160"/>
      <c r="R20" s="160"/>
      <c r="S20" s="160"/>
      <c r="T20" s="173">
        <f>SUM(O20:S20)</f>
        <v>0</v>
      </c>
      <c r="U20" s="162"/>
      <c r="V20" s="163"/>
      <c r="W20" s="176">
        <f t="shared" ref="W20" si="7">M20+T20+U20</f>
        <v>0</v>
      </c>
      <c r="X20" s="159"/>
      <c r="Y20" s="160"/>
      <c r="Z20" s="173">
        <f>F20+L20+T20+U20-X20-Y20</f>
        <v>0</v>
      </c>
      <c r="AA20" s="164"/>
      <c r="AB20" s="165"/>
      <c r="AC20" s="320"/>
      <c r="AD20" s="321"/>
      <c r="AE20" s="166"/>
      <c r="AF20" s="357"/>
      <c r="AG20" s="53">
        <f>IF(AND(AA20&lt;&gt;"",OR(AA20&lt;EXPEDIENTE!$I$25,AA20&gt;EXPEDIENTE!$I$29)),1,0)</f>
        <v>0</v>
      </c>
      <c r="AH20" s="53">
        <f>IF(AND(AB20&lt;&gt;"",OR(AB20&lt;EXPEDIENTE!$I$25,AB20&gt;EXPEDIENTE!$I$29)),1,0)</f>
        <v>0</v>
      </c>
      <c r="AI20" s="53">
        <f>IF(DATE(YEAR(EXPEDIENTE!$I$25)+3,MONTH(DATEVALUE($C20&amp;"1")),1)&gt;=DATE(YEAR(EXPEDIENTE!$I$25),MONTH(EXPEDIENTE!$I$25),1),0,1)</f>
        <v>0</v>
      </c>
      <c r="AJ20" s="53" t="e">
        <f>IF(DATE(YEAR(EXPEDIENTE!$I$25)+3,MONTH(DATEVALUE($C20&amp;"1")),1)&lt;=DATE(YEAR(EXPEDIENTE!$I$27),MONTH(EXPEDIENTE!$I$27),1),0,1)</f>
        <v>#VALUE!</v>
      </c>
      <c r="AK20" s="53" t="e">
        <f>SUM(AI20:AJ20)</f>
        <v>#VALUE!</v>
      </c>
      <c r="AM20" s="1014"/>
      <c r="AN20" s="883" t="s">
        <v>270</v>
      </c>
      <c r="AO20" s="884"/>
      <c r="AP20" s="1038"/>
      <c r="AQ20" s="1039"/>
      <c r="AR20" s="167">
        <f t="shared" ref="AR20:AR31" si="8">IF(E20="",0,E20)</f>
        <v>0</v>
      </c>
      <c r="AS20" s="168"/>
      <c r="AT20" s="169">
        <f>IF(AS20="",AR20,AS20)</f>
        <v>0</v>
      </c>
      <c r="AU20" s="170">
        <f t="shared" ref="AU20:AU31" si="9">IF(F20="",0,F20)</f>
        <v>0</v>
      </c>
      <c r="AV20" s="171"/>
      <c r="AW20" s="172">
        <f>IF(AV20="",AU20,AV20)</f>
        <v>0</v>
      </c>
      <c r="AX20" s="170">
        <f t="shared" ref="AX20:AX31" si="10">IF(G20="",0,G20)</f>
        <v>0</v>
      </c>
      <c r="AY20" s="173"/>
      <c r="AZ20" s="174">
        <f>IF(AY20="",AX20,AY20)</f>
        <v>0</v>
      </c>
      <c r="BA20" s="174">
        <f t="shared" ref="BA20:BA31" si="11">IF(H20="",0,H20)</f>
        <v>0</v>
      </c>
      <c r="BB20" s="173"/>
      <c r="BC20" s="174">
        <f>IF(BB20="",BA20,BB20)</f>
        <v>0</v>
      </c>
      <c r="BD20" s="174">
        <f t="shared" ref="BD20:BD31" si="12">IF(I20="",0,I20)</f>
        <v>0</v>
      </c>
      <c r="BE20" s="173"/>
      <c r="BF20" s="174">
        <f>IF(BE20="",BD20,BE20)</f>
        <v>0</v>
      </c>
      <c r="BG20" s="174">
        <f t="shared" ref="BG20:BG31" si="13">IF(J20="",0,J20)</f>
        <v>0</v>
      </c>
      <c r="BH20" s="173"/>
      <c r="BI20" s="174">
        <f>IF(BH20="",BG20,BH20)</f>
        <v>0</v>
      </c>
      <c r="BJ20" s="174">
        <f t="shared" ref="BJ20:BJ31" si="14">IF(K20="",0,K20)</f>
        <v>0</v>
      </c>
      <c r="BK20" s="173"/>
      <c r="BL20" s="174">
        <f>IF(BK20="",BJ20,BK20)</f>
        <v>0</v>
      </c>
      <c r="BM20" s="175">
        <f>AZ20+BC20+BF20+BI20+BL20</f>
        <v>0</v>
      </c>
      <c r="BN20" s="176">
        <f>AW20+BM20</f>
        <v>0</v>
      </c>
      <c r="BO20" s="177"/>
      <c r="BP20" s="170">
        <f t="shared" ref="BP20:BP31" si="15">IF(O20="",0,O20)</f>
        <v>0</v>
      </c>
      <c r="BQ20" s="171"/>
      <c r="BR20" s="178">
        <f>IF(BQ20="",BP20,BQ20)</f>
        <v>0</v>
      </c>
      <c r="BS20" s="174">
        <f t="shared" ref="BS20:BS31" si="16">IF(P20="",0,P20)</f>
        <v>0</v>
      </c>
      <c r="BT20" s="173"/>
      <c r="BU20" s="174">
        <f>IF(BT20="",BS20,BT20)</f>
        <v>0</v>
      </c>
      <c r="BV20" s="174">
        <f t="shared" ref="BV20:BV31" si="17">IF(Q20="",0,Q20)</f>
        <v>0</v>
      </c>
      <c r="BW20" s="173"/>
      <c r="BX20" s="174">
        <f>IF(BW20="",BV20,BW20)</f>
        <v>0</v>
      </c>
      <c r="BY20" s="174">
        <f t="shared" ref="BY20:BY31" si="18">IF(R20="",0,R20)</f>
        <v>0</v>
      </c>
      <c r="BZ20" s="173"/>
      <c r="CA20" s="174">
        <f>IF(BZ20="",BY20,BZ20)</f>
        <v>0</v>
      </c>
      <c r="CB20" s="174">
        <f t="shared" ref="CB20:CB31" si="19">IF(S20="",0,S20)</f>
        <v>0</v>
      </c>
      <c r="CC20" s="173"/>
      <c r="CD20" s="174">
        <f>IF(CC20="",CB20,CC20)</f>
        <v>0</v>
      </c>
      <c r="CE20" s="175">
        <f>BR20+BU20+BX20+CA20+CD20</f>
        <v>0</v>
      </c>
      <c r="CF20" s="179">
        <f t="shared" ref="CF20:CF31" si="20">IF(U20="",0,U20)</f>
        <v>0</v>
      </c>
      <c r="CG20" s="180"/>
      <c r="CH20" s="181">
        <f>IF(CG20="",CF20,CG20)</f>
        <v>0</v>
      </c>
      <c r="CI20" s="182"/>
      <c r="CJ20" s="183">
        <f>BN20+CE20+CH20</f>
        <v>0</v>
      </c>
      <c r="CK20" s="170">
        <f t="shared" ref="CK20:CK31" si="21">IF(X20="",0,X20)</f>
        <v>0</v>
      </c>
      <c r="CL20" s="171"/>
      <c r="CM20" s="172">
        <f>IF(CL20="",CK20,CL20)</f>
        <v>0</v>
      </c>
      <c r="CN20" s="179">
        <f t="shared" ref="CN20:CN31" si="22">IF(Y20="",0,Y20)</f>
        <v>0</v>
      </c>
      <c r="CO20" s="180"/>
      <c r="CP20" s="181">
        <f>IF(CO20="",CN20,CO20)</f>
        <v>0</v>
      </c>
      <c r="CQ20" s="184">
        <f>AW20+BM20+CE20+CH20-CM20-CP20</f>
        <v>0</v>
      </c>
      <c r="CR20" s="185" t="str">
        <f t="shared" ref="CR20:CR31" si="23">IF(AA20="","",AA20)</f>
        <v/>
      </c>
      <c r="CS20" s="186"/>
      <c r="CT20" s="187" t="str">
        <f>IF(CS20="",CR20,CS20)</f>
        <v/>
      </c>
      <c r="CU20" s="188" t="str">
        <f t="shared" ref="CU20:CU31" si="24">IF(AB20="","",AB20)</f>
        <v/>
      </c>
      <c r="CV20" s="189"/>
      <c r="CW20" s="190" t="str">
        <f>IF(CV20="",CU20,CV20)</f>
        <v/>
      </c>
      <c r="CX20" s="191" t="str">
        <f>IF(DD20=0,"",DD20)</f>
        <v/>
      </c>
      <c r="CY20" s="192"/>
      <c r="DA20" s="53">
        <f>IF(AND(CT20&lt;&gt;"",OR(CT20&lt;EXPEDIENTE!$I$25,CT20&gt;EXPEDIENTE!$I$29)),1,0)</f>
        <v>0</v>
      </c>
      <c r="DB20" s="53">
        <f>IF(AND(CW20&lt;&gt;"",OR(CW20&lt;EXPEDIENTE!$I$25,CW20&gt;EXPEDIENTE!$I$29)),1,0)</f>
        <v>0</v>
      </c>
      <c r="DD20" s="55">
        <f t="shared" ref="DD20:DD31" si="25">SUM(DE20:DU20)</f>
        <v>0</v>
      </c>
      <c r="DE20" s="55">
        <f>IF(AS20="",0,1)</f>
        <v>0</v>
      </c>
      <c r="DF20" s="55">
        <f>IF(AV20="",0,1)</f>
        <v>0</v>
      </c>
      <c r="DG20" s="55">
        <f>IF(AY20="",0,1)</f>
        <v>0</v>
      </c>
      <c r="DH20" s="55">
        <f>IF(BB20="",0,1)</f>
        <v>0</v>
      </c>
      <c r="DI20" s="55">
        <f>IF(BE20="",0,1)</f>
        <v>0</v>
      </c>
      <c r="DJ20" s="55">
        <f>IF(BH20="",0,1)</f>
        <v>0</v>
      </c>
      <c r="DK20" s="55">
        <f>IF(BK20="",0,1)</f>
        <v>0</v>
      </c>
      <c r="DL20" s="55">
        <f>IF(BQ20="",0,1)</f>
        <v>0</v>
      </c>
      <c r="DM20" s="55">
        <f>IF(BT20="",0,1)</f>
        <v>0</v>
      </c>
      <c r="DN20" s="55">
        <f>IF(BW20="",0,1)</f>
        <v>0</v>
      </c>
      <c r="DO20" s="55">
        <f>IF(BZ20="",0,1)</f>
        <v>0</v>
      </c>
      <c r="DP20" s="55">
        <f>IF(CC20="",0,1)</f>
        <v>0</v>
      </c>
      <c r="DQ20" s="55">
        <f>IF(CG20="",0,1)</f>
        <v>0</v>
      </c>
      <c r="DR20" s="55">
        <f>IF(CL20="",0,1)</f>
        <v>0</v>
      </c>
      <c r="DS20" s="55">
        <f>IF(CO20="",0,1)</f>
        <v>0</v>
      </c>
      <c r="DT20" s="55">
        <f>IF(CS20="",0,1)</f>
        <v>0</v>
      </c>
      <c r="DU20" s="55">
        <f>IF(CV20="",0,1)</f>
        <v>0</v>
      </c>
      <c r="DW20" s="55">
        <f>IF(CY20&lt;&gt;"",MAX($DW$9:DW19)+1,0)</f>
        <v>0</v>
      </c>
      <c r="DX20" s="130" t="str">
        <f>IF(DW20=0,"",CY20)</f>
        <v/>
      </c>
    </row>
    <row r="21" spans="2:128" ht="30" customHeight="1" x14ac:dyDescent="0.25">
      <c r="B21" s="972"/>
      <c r="C21" s="981" t="s">
        <v>271</v>
      </c>
      <c r="D21" s="982"/>
      <c r="E21" s="193"/>
      <c r="F21" s="194"/>
      <c r="G21" s="195"/>
      <c r="H21" s="195"/>
      <c r="I21" s="195"/>
      <c r="J21" s="195"/>
      <c r="K21" s="195"/>
      <c r="L21" s="203">
        <f t="shared" ref="L21:L31" si="26">SUM(G21:K21)</f>
        <v>0</v>
      </c>
      <c r="M21" s="205">
        <f>F21+L21</f>
        <v>0</v>
      </c>
      <c r="N21" s="161"/>
      <c r="O21" s="194"/>
      <c r="P21" s="195"/>
      <c r="Q21" s="195"/>
      <c r="R21" s="195"/>
      <c r="S21" s="195"/>
      <c r="T21" s="203">
        <f t="shared" ref="T21:T31" si="27">SUM(O21:S21)</f>
        <v>0</v>
      </c>
      <c r="U21" s="196"/>
      <c r="V21" s="163"/>
      <c r="W21" s="205">
        <f>M21+T21+U21</f>
        <v>0</v>
      </c>
      <c r="X21" s="194"/>
      <c r="Y21" s="195"/>
      <c r="Z21" s="203">
        <f t="shared" ref="Z21:Z31" si="28">F21+L21+T21+U21-X21-Y21</f>
        <v>0</v>
      </c>
      <c r="AA21" s="164"/>
      <c r="AB21" s="165"/>
      <c r="AC21" s="322"/>
      <c r="AD21" s="323"/>
      <c r="AE21" s="197"/>
      <c r="AF21" s="357"/>
      <c r="AG21" s="53">
        <f>IF(AND(AA21&lt;&gt;"",OR(AA21&lt;EXPEDIENTE!$I$25,AA21&gt;EXPEDIENTE!$I$29)),1,0)</f>
        <v>0</v>
      </c>
      <c r="AH21" s="53">
        <f>IF(AND(AB21&lt;&gt;"",OR(AB21&lt;EXPEDIENTE!$I$25,AB21&gt;EXPEDIENTE!$I$29)),1,0)</f>
        <v>0</v>
      </c>
      <c r="AI21" s="53">
        <f>IF(DATE(YEAR(EXPEDIENTE!$I$25)+3,MONTH(DATEVALUE($C21&amp;"1")),1)&gt;=DATE(YEAR(EXPEDIENTE!$I$25),MONTH(EXPEDIENTE!$I$25),1),0,1)</f>
        <v>0</v>
      </c>
      <c r="AJ21" s="53" t="e">
        <f>IF(DATE(YEAR(EXPEDIENTE!$I$25)+3,MONTH(DATEVALUE($C21&amp;"1")),1)&lt;=DATE(YEAR(EXPEDIENTE!$I$27),MONTH(EXPEDIENTE!$I$27),1),0,1)</f>
        <v>#VALUE!</v>
      </c>
      <c r="AK21" s="53" t="e">
        <f t="shared" ref="AK21:AK31" si="29">SUM(AI21:AJ21)</f>
        <v>#VALUE!</v>
      </c>
      <c r="AM21" s="1014"/>
      <c r="AN21" s="859" t="s">
        <v>271</v>
      </c>
      <c r="AO21" s="860"/>
      <c r="AP21" s="1038"/>
      <c r="AQ21" s="1039"/>
      <c r="AR21" s="198">
        <f t="shared" si="8"/>
        <v>0</v>
      </c>
      <c r="AS21" s="85"/>
      <c r="AT21" s="199">
        <f t="shared" ref="AT21:AT31" si="30">IF(AS21="",AR21,AS21)</f>
        <v>0</v>
      </c>
      <c r="AU21" s="200">
        <f t="shared" si="9"/>
        <v>0</v>
      </c>
      <c r="AV21" s="201"/>
      <c r="AW21" s="202">
        <f t="shared" ref="AW21:AW31" si="31">IF(AV21="",AU21,AV21)</f>
        <v>0</v>
      </c>
      <c r="AX21" s="200">
        <f t="shared" si="10"/>
        <v>0</v>
      </c>
      <c r="AY21" s="203"/>
      <c r="AZ21" s="204">
        <f t="shared" ref="AZ21:AZ31" si="32">IF(AY21="",AX21,AY21)</f>
        <v>0</v>
      </c>
      <c r="BA21" s="204">
        <f t="shared" si="11"/>
        <v>0</v>
      </c>
      <c r="BB21" s="203"/>
      <c r="BC21" s="204">
        <f t="shared" ref="BC21:BC31" si="33">IF(BB21="",BA21,BB21)</f>
        <v>0</v>
      </c>
      <c r="BD21" s="204">
        <f t="shared" si="12"/>
        <v>0</v>
      </c>
      <c r="BE21" s="203"/>
      <c r="BF21" s="204">
        <f t="shared" ref="BF21:BF31" si="34">IF(BE21="",BD21,BE21)</f>
        <v>0</v>
      </c>
      <c r="BG21" s="204">
        <f t="shared" si="13"/>
        <v>0</v>
      </c>
      <c r="BH21" s="203"/>
      <c r="BI21" s="204">
        <f t="shared" ref="BI21:BI31" si="35">IF(BH21="",BG21,BH21)</f>
        <v>0</v>
      </c>
      <c r="BJ21" s="204">
        <f t="shared" si="14"/>
        <v>0</v>
      </c>
      <c r="BK21" s="203"/>
      <c r="BL21" s="204">
        <f t="shared" ref="BL21:BL31" si="36">IF(BK21="",BJ21,BK21)</f>
        <v>0</v>
      </c>
      <c r="BM21" s="175">
        <f t="shared" ref="BM21:BM31" si="37">AZ21+BC21+BF21+BI21+BL21</f>
        <v>0</v>
      </c>
      <c r="BN21" s="205">
        <f t="shared" ref="BN21:BN31" si="38">AW21+BM21</f>
        <v>0</v>
      </c>
      <c r="BO21" s="177"/>
      <c r="BP21" s="200">
        <f t="shared" si="15"/>
        <v>0</v>
      </c>
      <c r="BQ21" s="201"/>
      <c r="BR21" s="206">
        <f t="shared" ref="BR21:BR31" si="39">IF(BQ21="",BP21,BQ21)</f>
        <v>0</v>
      </c>
      <c r="BS21" s="204">
        <f t="shared" si="16"/>
        <v>0</v>
      </c>
      <c r="BT21" s="203"/>
      <c r="BU21" s="204">
        <f t="shared" ref="BU21:BU31" si="40">IF(BT21="",BS21,BT21)</f>
        <v>0</v>
      </c>
      <c r="BV21" s="204">
        <f t="shared" si="17"/>
        <v>0</v>
      </c>
      <c r="BW21" s="203"/>
      <c r="BX21" s="204">
        <f t="shared" ref="BX21:BX31" si="41">IF(BW21="",BV21,BW21)</f>
        <v>0</v>
      </c>
      <c r="BY21" s="204">
        <f t="shared" si="18"/>
        <v>0</v>
      </c>
      <c r="BZ21" s="203"/>
      <c r="CA21" s="204">
        <f t="shared" ref="CA21:CA31" si="42">IF(BZ21="",BY21,BZ21)</f>
        <v>0</v>
      </c>
      <c r="CB21" s="204">
        <f t="shared" si="19"/>
        <v>0</v>
      </c>
      <c r="CC21" s="203"/>
      <c r="CD21" s="204">
        <f t="shared" ref="CD21:CD31" si="43">IF(CC21="",CB21,CC21)</f>
        <v>0</v>
      </c>
      <c r="CE21" s="175">
        <f t="shared" ref="CE21:CE31" si="44">BR21+BU21+BX21+CA21+CD21</f>
        <v>0</v>
      </c>
      <c r="CF21" s="200">
        <f t="shared" si="20"/>
        <v>0</v>
      </c>
      <c r="CG21" s="203"/>
      <c r="CH21" s="207">
        <f t="shared" ref="CH21:CH31" si="45">IF(CG21="",CF21,CG21)</f>
        <v>0</v>
      </c>
      <c r="CI21" s="182"/>
      <c r="CJ21" s="208">
        <f t="shared" ref="CJ21:CJ31" si="46">BN21+CE21+CH21</f>
        <v>0</v>
      </c>
      <c r="CK21" s="200">
        <f t="shared" si="21"/>
        <v>0</v>
      </c>
      <c r="CL21" s="201"/>
      <c r="CM21" s="202">
        <f t="shared" ref="CM21:CM31" si="47">IF(CL21="",CK21,CL21)</f>
        <v>0</v>
      </c>
      <c r="CN21" s="200">
        <f t="shared" si="22"/>
        <v>0</v>
      </c>
      <c r="CO21" s="203"/>
      <c r="CP21" s="207">
        <f t="shared" ref="CP21:CP31" si="48">IF(CO21="",CN21,CO21)</f>
        <v>0</v>
      </c>
      <c r="CQ21" s="208">
        <f t="shared" ref="CQ21:CQ31" si="49">AW21+BM21+CE21+CH21-CM21-CP21</f>
        <v>0</v>
      </c>
      <c r="CR21" s="185" t="str">
        <f t="shared" si="23"/>
        <v/>
      </c>
      <c r="CS21" s="186"/>
      <c r="CT21" s="187" t="str">
        <f t="shared" ref="CT21:CT31" si="50">IF(CS21="",CR21,CS21)</f>
        <v/>
      </c>
      <c r="CU21" s="188" t="str">
        <f t="shared" si="24"/>
        <v/>
      </c>
      <c r="CV21" s="189"/>
      <c r="CW21" s="190" t="str">
        <f t="shared" ref="CW21:CW31" si="51">IF(CV21="",CU21,CV21)</f>
        <v/>
      </c>
      <c r="CX21" s="209" t="str">
        <f t="shared" ref="CX21:CX31" si="52">IF(DD21=0,"",DD21)</f>
        <v/>
      </c>
      <c r="CY21" s="210"/>
      <c r="DA21" s="53">
        <f>IF(AND(CT21&lt;&gt;"",OR(CT21&lt;EXPEDIENTE!$I$25,CT21&gt;EXPEDIENTE!$I$29)),1,0)</f>
        <v>0</v>
      </c>
      <c r="DB21" s="53">
        <f>IF(AND(CW21&lt;&gt;"",OR(CW21&lt;EXPEDIENTE!$I$25,CW21&gt;EXPEDIENTE!$I$29)),1,0)</f>
        <v>0</v>
      </c>
      <c r="DD21" s="55">
        <f t="shared" si="25"/>
        <v>0</v>
      </c>
      <c r="DE21" s="55">
        <f t="shared" ref="DE21:DE31" si="53">IF(AS21="",0,1)</f>
        <v>0</v>
      </c>
      <c r="DF21" s="55">
        <f t="shared" ref="DF21:DF31" si="54">IF(AV21="",0,1)</f>
        <v>0</v>
      </c>
      <c r="DG21" s="55">
        <f t="shared" ref="DG21:DG31" si="55">IF(AY21="",0,1)</f>
        <v>0</v>
      </c>
      <c r="DH21" s="55">
        <f t="shared" ref="DH21:DH31" si="56">IF(BB21="",0,1)</f>
        <v>0</v>
      </c>
      <c r="DI21" s="55">
        <f t="shared" ref="DI21:DI31" si="57">IF(BE21="",0,1)</f>
        <v>0</v>
      </c>
      <c r="DJ21" s="55">
        <f t="shared" ref="DJ21:DJ31" si="58">IF(BH21="",0,1)</f>
        <v>0</v>
      </c>
      <c r="DK21" s="55">
        <f t="shared" ref="DK21:DK31" si="59">IF(BK21="",0,1)</f>
        <v>0</v>
      </c>
      <c r="DL21" s="55">
        <f t="shared" ref="DL21:DL31" si="60">IF(BQ21="",0,1)</f>
        <v>0</v>
      </c>
      <c r="DM21" s="55">
        <f t="shared" ref="DM21:DM31" si="61">IF(BT21="",0,1)</f>
        <v>0</v>
      </c>
      <c r="DN21" s="55">
        <f t="shared" ref="DN21:DN31" si="62">IF(BW21="",0,1)</f>
        <v>0</v>
      </c>
      <c r="DO21" s="55">
        <f t="shared" ref="DO21:DO31" si="63">IF(BZ21="",0,1)</f>
        <v>0</v>
      </c>
      <c r="DP21" s="55">
        <f t="shared" ref="DP21:DP31" si="64">IF(CC21="",0,1)</f>
        <v>0</v>
      </c>
      <c r="DQ21" s="55">
        <f t="shared" ref="DQ21:DQ31" si="65">IF(CG21="",0,1)</f>
        <v>0</v>
      </c>
      <c r="DR21" s="55">
        <f t="shared" ref="DR21:DR31" si="66">IF(CL21="",0,1)</f>
        <v>0</v>
      </c>
      <c r="DS21" s="55">
        <f t="shared" ref="DS21:DS31" si="67">IF(CO21="",0,1)</f>
        <v>0</v>
      </c>
      <c r="DT21" s="55">
        <f t="shared" ref="DT21:DT31" si="68">IF(CS21="",0,1)</f>
        <v>0</v>
      </c>
      <c r="DU21" s="55">
        <f t="shared" ref="DU21:DU31" si="69">IF(CV21="",0,1)</f>
        <v>0</v>
      </c>
      <c r="DW21" s="55">
        <f>IF(CY21&lt;&gt;"",MAX($DW$9:DW20)+1,0)</f>
        <v>0</v>
      </c>
      <c r="DX21" s="130" t="str">
        <f t="shared" ref="DX21:DX31" si="70">IF(DW21=0,"",CY21)</f>
        <v/>
      </c>
    </row>
    <row r="22" spans="2:128" ht="30" customHeight="1" x14ac:dyDescent="0.25">
      <c r="B22" s="972"/>
      <c r="C22" s="981" t="s">
        <v>272</v>
      </c>
      <c r="D22" s="982"/>
      <c r="E22" s="193"/>
      <c r="F22" s="194"/>
      <c r="G22" s="195"/>
      <c r="H22" s="195"/>
      <c r="I22" s="195"/>
      <c r="J22" s="195"/>
      <c r="K22" s="195"/>
      <c r="L22" s="203">
        <f t="shared" si="26"/>
        <v>0</v>
      </c>
      <c r="M22" s="205">
        <f t="shared" ref="M22:M31" si="71">F22+L22</f>
        <v>0</v>
      </c>
      <c r="N22" s="161"/>
      <c r="O22" s="194"/>
      <c r="P22" s="195"/>
      <c r="Q22" s="195"/>
      <c r="R22" s="195"/>
      <c r="S22" s="195"/>
      <c r="T22" s="203">
        <f t="shared" si="27"/>
        <v>0</v>
      </c>
      <c r="U22" s="196"/>
      <c r="V22" s="163"/>
      <c r="W22" s="205">
        <f t="shared" ref="W22:W31" si="72">M22+T22+U22</f>
        <v>0</v>
      </c>
      <c r="X22" s="194"/>
      <c r="Y22" s="195"/>
      <c r="Z22" s="203">
        <f t="shared" si="28"/>
        <v>0</v>
      </c>
      <c r="AA22" s="164"/>
      <c r="AB22" s="165"/>
      <c r="AC22" s="322"/>
      <c r="AD22" s="323"/>
      <c r="AE22" s="197"/>
      <c r="AF22" s="357"/>
      <c r="AG22" s="53">
        <f>IF(AND(AA22&lt;&gt;"",OR(AA22&lt;EXPEDIENTE!$I$25,AA22&gt;EXPEDIENTE!$I$29)),1,0)</f>
        <v>0</v>
      </c>
      <c r="AH22" s="53">
        <f>IF(AND(AB22&lt;&gt;"",OR(AB22&lt;EXPEDIENTE!$I$25,AB22&gt;EXPEDIENTE!$I$29)),1,0)</f>
        <v>0</v>
      </c>
      <c r="AI22" s="53">
        <f>IF(DATE(YEAR(EXPEDIENTE!$I$25)+3,MONTH(DATEVALUE($C22&amp;"1")),1)&gt;=DATE(YEAR(EXPEDIENTE!$I$25),MONTH(EXPEDIENTE!$I$25),1),0,1)</f>
        <v>0</v>
      </c>
      <c r="AJ22" s="53" t="e">
        <f>IF(DATE(YEAR(EXPEDIENTE!$I$25)+3,MONTH(DATEVALUE($C22&amp;"1")),1)&lt;=DATE(YEAR(EXPEDIENTE!$I$27),MONTH(EXPEDIENTE!$I$27),1),0,1)</f>
        <v>#VALUE!</v>
      </c>
      <c r="AK22" s="53" t="e">
        <f t="shared" si="29"/>
        <v>#VALUE!</v>
      </c>
      <c r="AM22" s="1014"/>
      <c r="AN22" s="859" t="s">
        <v>272</v>
      </c>
      <c r="AO22" s="860"/>
      <c r="AP22" s="1038"/>
      <c r="AQ22" s="1039"/>
      <c r="AR22" s="198">
        <f t="shared" si="8"/>
        <v>0</v>
      </c>
      <c r="AS22" s="85"/>
      <c r="AT22" s="199">
        <f t="shared" si="30"/>
        <v>0</v>
      </c>
      <c r="AU22" s="200">
        <f t="shared" si="9"/>
        <v>0</v>
      </c>
      <c r="AV22" s="201"/>
      <c r="AW22" s="202">
        <f t="shared" si="31"/>
        <v>0</v>
      </c>
      <c r="AX22" s="200">
        <f t="shared" si="10"/>
        <v>0</v>
      </c>
      <c r="AY22" s="203"/>
      <c r="AZ22" s="204">
        <f t="shared" si="32"/>
        <v>0</v>
      </c>
      <c r="BA22" s="204">
        <f t="shared" si="11"/>
        <v>0</v>
      </c>
      <c r="BB22" s="203"/>
      <c r="BC22" s="204">
        <f t="shared" si="33"/>
        <v>0</v>
      </c>
      <c r="BD22" s="204">
        <f t="shared" si="12"/>
        <v>0</v>
      </c>
      <c r="BE22" s="203"/>
      <c r="BF22" s="204">
        <f t="shared" si="34"/>
        <v>0</v>
      </c>
      <c r="BG22" s="204">
        <f t="shared" si="13"/>
        <v>0</v>
      </c>
      <c r="BH22" s="203"/>
      <c r="BI22" s="204">
        <f t="shared" si="35"/>
        <v>0</v>
      </c>
      <c r="BJ22" s="204">
        <f t="shared" si="14"/>
        <v>0</v>
      </c>
      <c r="BK22" s="203"/>
      <c r="BL22" s="204">
        <f t="shared" si="36"/>
        <v>0</v>
      </c>
      <c r="BM22" s="175">
        <f t="shared" si="37"/>
        <v>0</v>
      </c>
      <c r="BN22" s="205">
        <f t="shared" si="38"/>
        <v>0</v>
      </c>
      <c r="BO22" s="177"/>
      <c r="BP22" s="200">
        <f t="shared" si="15"/>
        <v>0</v>
      </c>
      <c r="BQ22" s="201"/>
      <c r="BR22" s="206">
        <f t="shared" si="39"/>
        <v>0</v>
      </c>
      <c r="BS22" s="204">
        <f t="shared" si="16"/>
        <v>0</v>
      </c>
      <c r="BT22" s="203"/>
      <c r="BU22" s="204">
        <f t="shared" si="40"/>
        <v>0</v>
      </c>
      <c r="BV22" s="204">
        <f t="shared" si="17"/>
        <v>0</v>
      </c>
      <c r="BW22" s="203"/>
      <c r="BX22" s="204">
        <f t="shared" si="41"/>
        <v>0</v>
      </c>
      <c r="BY22" s="204">
        <f t="shared" si="18"/>
        <v>0</v>
      </c>
      <c r="BZ22" s="203"/>
      <c r="CA22" s="204">
        <f t="shared" si="42"/>
        <v>0</v>
      </c>
      <c r="CB22" s="204">
        <f t="shared" si="19"/>
        <v>0</v>
      </c>
      <c r="CC22" s="203"/>
      <c r="CD22" s="204">
        <f t="shared" si="43"/>
        <v>0</v>
      </c>
      <c r="CE22" s="175">
        <f t="shared" si="44"/>
        <v>0</v>
      </c>
      <c r="CF22" s="200">
        <f t="shared" si="20"/>
        <v>0</v>
      </c>
      <c r="CG22" s="203"/>
      <c r="CH22" s="207">
        <f t="shared" si="45"/>
        <v>0</v>
      </c>
      <c r="CI22" s="182"/>
      <c r="CJ22" s="208">
        <f t="shared" si="46"/>
        <v>0</v>
      </c>
      <c r="CK22" s="200">
        <f t="shared" si="21"/>
        <v>0</v>
      </c>
      <c r="CL22" s="201"/>
      <c r="CM22" s="202">
        <f t="shared" si="47"/>
        <v>0</v>
      </c>
      <c r="CN22" s="200">
        <f t="shared" si="22"/>
        <v>0</v>
      </c>
      <c r="CO22" s="203"/>
      <c r="CP22" s="207">
        <f t="shared" si="48"/>
        <v>0</v>
      </c>
      <c r="CQ22" s="208">
        <f t="shared" si="49"/>
        <v>0</v>
      </c>
      <c r="CR22" s="185" t="str">
        <f t="shared" si="23"/>
        <v/>
      </c>
      <c r="CS22" s="186"/>
      <c r="CT22" s="187" t="str">
        <f t="shared" si="50"/>
        <v/>
      </c>
      <c r="CU22" s="188" t="str">
        <f t="shared" si="24"/>
        <v/>
      </c>
      <c r="CV22" s="189"/>
      <c r="CW22" s="190" t="str">
        <f t="shared" si="51"/>
        <v/>
      </c>
      <c r="CX22" s="209" t="str">
        <f t="shared" si="52"/>
        <v/>
      </c>
      <c r="CY22" s="210"/>
      <c r="DA22" s="53">
        <f>IF(AND(CT22&lt;&gt;"",OR(CT22&lt;EXPEDIENTE!$I$25,CT22&gt;EXPEDIENTE!$I$29)),1,0)</f>
        <v>0</v>
      </c>
      <c r="DB22" s="53">
        <f>IF(AND(CW22&lt;&gt;"",OR(CW22&lt;EXPEDIENTE!$I$25,CW22&gt;EXPEDIENTE!$I$29)),1,0)</f>
        <v>0</v>
      </c>
      <c r="DD22" s="55">
        <f t="shared" si="25"/>
        <v>0</v>
      </c>
      <c r="DE22" s="55">
        <f t="shared" si="53"/>
        <v>0</v>
      </c>
      <c r="DF22" s="55">
        <f t="shared" si="54"/>
        <v>0</v>
      </c>
      <c r="DG22" s="55">
        <f t="shared" si="55"/>
        <v>0</v>
      </c>
      <c r="DH22" s="55">
        <f t="shared" si="56"/>
        <v>0</v>
      </c>
      <c r="DI22" s="55">
        <f t="shared" si="57"/>
        <v>0</v>
      </c>
      <c r="DJ22" s="55">
        <f t="shared" si="58"/>
        <v>0</v>
      </c>
      <c r="DK22" s="55">
        <f t="shared" si="59"/>
        <v>0</v>
      </c>
      <c r="DL22" s="55">
        <f t="shared" si="60"/>
        <v>0</v>
      </c>
      <c r="DM22" s="55">
        <f t="shared" si="61"/>
        <v>0</v>
      </c>
      <c r="DN22" s="55">
        <f t="shared" si="62"/>
        <v>0</v>
      </c>
      <c r="DO22" s="55">
        <f t="shared" si="63"/>
        <v>0</v>
      </c>
      <c r="DP22" s="55">
        <f t="shared" si="64"/>
        <v>0</v>
      </c>
      <c r="DQ22" s="55">
        <f t="shared" si="65"/>
        <v>0</v>
      </c>
      <c r="DR22" s="55">
        <f t="shared" si="66"/>
        <v>0</v>
      </c>
      <c r="DS22" s="55">
        <f t="shared" si="67"/>
        <v>0</v>
      </c>
      <c r="DT22" s="55">
        <f t="shared" si="68"/>
        <v>0</v>
      </c>
      <c r="DU22" s="55">
        <f t="shared" si="69"/>
        <v>0</v>
      </c>
      <c r="DW22" s="55">
        <f>IF(CY22&lt;&gt;"",MAX($DW$9:DW21)+1,0)</f>
        <v>0</v>
      </c>
      <c r="DX22" s="130" t="str">
        <f t="shared" si="70"/>
        <v/>
      </c>
    </row>
    <row r="23" spans="2:128" ht="30" customHeight="1" x14ac:dyDescent="0.25">
      <c r="B23" s="972"/>
      <c r="C23" s="981" t="s">
        <v>273</v>
      </c>
      <c r="D23" s="982"/>
      <c r="E23" s="193"/>
      <c r="F23" s="194"/>
      <c r="G23" s="195"/>
      <c r="H23" s="195"/>
      <c r="I23" s="195"/>
      <c r="J23" s="195"/>
      <c r="K23" s="195"/>
      <c r="L23" s="203">
        <f t="shared" si="26"/>
        <v>0</v>
      </c>
      <c r="M23" s="205">
        <f t="shared" si="71"/>
        <v>0</v>
      </c>
      <c r="N23" s="161"/>
      <c r="O23" s="194"/>
      <c r="P23" s="195"/>
      <c r="Q23" s="195"/>
      <c r="R23" s="195"/>
      <c r="S23" s="195"/>
      <c r="T23" s="203">
        <f t="shared" si="27"/>
        <v>0</v>
      </c>
      <c r="U23" s="196"/>
      <c r="V23" s="163"/>
      <c r="W23" s="205">
        <f t="shared" si="72"/>
        <v>0</v>
      </c>
      <c r="X23" s="194"/>
      <c r="Y23" s="195"/>
      <c r="Z23" s="203">
        <f t="shared" si="28"/>
        <v>0</v>
      </c>
      <c r="AA23" s="164"/>
      <c r="AB23" s="165"/>
      <c r="AC23" s="322"/>
      <c r="AD23" s="323"/>
      <c r="AE23" s="197"/>
      <c r="AF23" s="357"/>
      <c r="AG23" s="53">
        <f>IF(AND(AA23&lt;&gt;"",OR(AA23&lt;EXPEDIENTE!$I$25,AA23&gt;EXPEDIENTE!$I$29)),1,0)</f>
        <v>0</v>
      </c>
      <c r="AH23" s="53">
        <f>IF(AND(AB23&lt;&gt;"",OR(AB23&lt;EXPEDIENTE!$I$25,AB23&gt;EXPEDIENTE!$I$29)),1,0)</f>
        <v>0</v>
      </c>
      <c r="AI23" s="53">
        <f>IF(DATE(YEAR(EXPEDIENTE!$I$25)+3,MONTH(DATEVALUE($C23&amp;"1")),1)&gt;=DATE(YEAR(EXPEDIENTE!$I$25),MONTH(EXPEDIENTE!$I$25),1),0,1)</f>
        <v>0</v>
      </c>
      <c r="AJ23" s="53" t="e">
        <f>IF(DATE(YEAR(EXPEDIENTE!$I$25)+3,MONTH(DATEVALUE($C23&amp;"1")),1)&lt;=DATE(YEAR(EXPEDIENTE!$I$27),MONTH(EXPEDIENTE!$I$27),1),0,1)</f>
        <v>#VALUE!</v>
      </c>
      <c r="AK23" s="53" t="e">
        <f t="shared" si="29"/>
        <v>#VALUE!</v>
      </c>
      <c r="AM23" s="1014"/>
      <c r="AN23" s="859" t="s">
        <v>273</v>
      </c>
      <c r="AO23" s="860"/>
      <c r="AP23" s="1038"/>
      <c r="AQ23" s="1039"/>
      <c r="AR23" s="198">
        <f t="shared" si="8"/>
        <v>0</v>
      </c>
      <c r="AS23" s="85"/>
      <c r="AT23" s="199">
        <f t="shared" si="30"/>
        <v>0</v>
      </c>
      <c r="AU23" s="200">
        <f t="shared" si="9"/>
        <v>0</v>
      </c>
      <c r="AV23" s="201"/>
      <c r="AW23" s="202">
        <f t="shared" si="31"/>
        <v>0</v>
      </c>
      <c r="AX23" s="200">
        <f t="shared" si="10"/>
        <v>0</v>
      </c>
      <c r="AY23" s="203"/>
      <c r="AZ23" s="204">
        <f t="shared" si="32"/>
        <v>0</v>
      </c>
      <c r="BA23" s="204">
        <f t="shared" si="11"/>
        <v>0</v>
      </c>
      <c r="BB23" s="203"/>
      <c r="BC23" s="204">
        <f t="shared" si="33"/>
        <v>0</v>
      </c>
      <c r="BD23" s="204">
        <f t="shared" si="12"/>
        <v>0</v>
      </c>
      <c r="BE23" s="203"/>
      <c r="BF23" s="204">
        <f t="shared" si="34"/>
        <v>0</v>
      </c>
      <c r="BG23" s="204">
        <f t="shared" si="13"/>
        <v>0</v>
      </c>
      <c r="BH23" s="203"/>
      <c r="BI23" s="204">
        <f t="shared" si="35"/>
        <v>0</v>
      </c>
      <c r="BJ23" s="204">
        <f t="shared" si="14"/>
        <v>0</v>
      </c>
      <c r="BK23" s="203"/>
      <c r="BL23" s="204">
        <f t="shared" si="36"/>
        <v>0</v>
      </c>
      <c r="BM23" s="175">
        <f t="shared" si="37"/>
        <v>0</v>
      </c>
      <c r="BN23" s="205">
        <f t="shared" si="38"/>
        <v>0</v>
      </c>
      <c r="BO23" s="177"/>
      <c r="BP23" s="200">
        <f t="shared" si="15"/>
        <v>0</v>
      </c>
      <c r="BQ23" s="201"/>
      <c r="BR23" s="206">
        <f t="shared" si="39"/>
        <v>0</v>
      </c>
      <c r="BS23" s="204">
        <f t="shared" si="16"/>
        <v>0</v>
      </c>
      <c r="BT23" s="203"/>
      <c r="BU23" s="204">
        <f t="shared" si="40"/>
        <v>0</v>
      </c>
      <c r="BV23" s="204">
        <f t="shared" si="17"/>
        <v>0</v>
      </c>
      <c r="BW23" s="203"/>
      <c r="BX23" s="204">
        <f t="shared" si="41"/>
        <v>0</v>
      </c>
      <c r="BY23" s="204">
        <f t="shared" si="18"/>
        <v>0</v>
      </c>
      <c r="BZ23" s="203"/>
      <c r="CA23" s="204">
        <f t="shared" si="42"/>
        <v>0</v>
      </c>
      <c r="CB23" s="204">
        <f t="shared" si="19"/>
        <v>0</v>
      </c>
      <c r="CC23" s="203"/>
      <c r="CD23" s="204">
        <f t="shared" si="43"/>
        <v>0</v>
      </c>
      <c r="CE23" s="175">
        <f t="shared" si="44"/>
        <v>0</v>
      </c>
      <c r="CF23" s="200">
        <f t="shared" si="20"/>
        <v>0</v>
      </c>
      <c r="CG23" s="203"/>
      <c r="CH23" s="207">
        <f t="shared" si="45"/>
        <v>0</v>
      </c>
      <c r="CI23" s="182"/>
      <c r="CJ23" s="208">
        <f t="shared" si="46"/>
        <v>0</v>
      </c>
      <c r="CK23" s="200">
        <f t="shared" si="21"/>
        <v>0</v>
      </c>
      <c r="CL23" s="201"/>
      <c r="CM23" s="202">
        <f t="shared" si="47"/>
        <v>0</v>
      </c>
      <c r="CN23" s="200">
        <f t="shared" si="22"/>
        <v>0</v>
      </c>
      <c r="CO23" s="203"/>
      <c r="CP23" s="207">
        <f t="shared" si="48"/>
        <v>0</v>
      </c>
      <c r="CQ23" s="208">
        <f t="shared" si="49"/>
        <v>0</v>
      </c>
      <c r="CR23" s="185" t="str">
        <f t="shared" si="23"/>
        <v/>
      </c>
      <c r="CS23" s="186"/>
      <c r="CT23" s="187" t="str">
        <f t="shared" si="50"/>
        <v/>
      </c>
      <c r="CU23" s="188" t="str">
        <f t="shared" si="24"/>
        <v/>
      </c>
      <c r="CV23" s="189"/>
      <c r="CW23" s="190" t="str">
        <f t="shared" si="51"/>
        <v/>
      </c>
      <c r="CX23" s="209" t="str">
        <f t="shared" si="52"/>
        <v/>
      </c>
      <c r="CY23" s="210"/>
      <c r="DA23" s="53">
        <f>IF(AND(CT23&lt;&gt;"",OR(CT23&lt;EXPEDIENTE!$I$25,CT23&gt;EXPEDIENTE!$I$29)),1,0)</f>
        <v>0</v>
      </c>
      <c r="DB23" s="53">
        <f>IF(AND(CW23&lt;&gt;"",OR(CW23&lt;EXPEDIENTE!$I$25,CW23&gt;EXPEDIENTE!$I$29)),1,0)</f>
        <v>0</v>
      </c>
      <c r="DD23" s="55">
        <f t="shared" si="25"/>
        <v>0</v>
      </c>
      <c r="DE23" s="55">
        <f t="shared" si="53"/>
        <v>0</v>
      </c>
      <c r="DF23" s="55">
        <f t="shared" si="54"/>
        <v>0</v>
      </c>
      <c r="DG23" s="55">
        <f t="shared" si="55"/>
        <v>0</v>
      </c>
      <c r="DH23" s="55">
        <f t="shared" si="56"/>
        <v>0</v>
      </c>
      <c r="DI23" s="55">
        <f t="shared" si="57"/>
        <v>0</v>
      </c>
      <c r="DJ23" s="55">
        <f t="shared" si="58"/>
        <v>0</v>
      </c>
      <c r="DK23" s="55">
        <f t="shared" si="59"/>
        <v>0</v>
      </c>
      <c r="DL23" s="55">
        <f t="shared" si="60"/>
        <v>0</v>
      </c>
      <c r="DM23" s="55">
        <f t="shared" si="61"/>
        <v>0</v>
      </c>
      <c r="DN23" s="55">
        <f t="shared" si="62"/>
        <v>0</v>
      </c>
      <c r="DO23" s="55">
        <f t="shared" si="63"/>
        <v>0</v>
      </c>
      <c r="DP23" s="55">
        <f t="shared" si="64"/>
        <v>0</v>
      </c>
      <c r="DQ23" s="55">
        <f t="shared" si="65"/>
        <v>0</v>
      </c>
      <c r="DR23" s="55">
        <f t="shared" si="66"/>
        <v>0</v>
      </c>
      <c r="DS23" s="55">
        <f t="shared" si="67"/>
        <v>0</v>
      </c>
      <c r="DT23" s="55">
        <f t="shared" si="68"/>
        <v>0</v>
      </c>
      <c r="DU23" s="55">
        <f t="shared" si="69"/>
        <v>0</v>
      </c>
      <c r="DW23" s="55">
        <f>IF(CY23&lt;&gt;"",MAX($DW$9:DW22)+1,0)</f>
        <v>0</v>
      </c>
      <c r="DX23" s="130" t="str">
        <f t="shared" si="70"/>
        <v/>
      </c>
    </row>
    <row r="24" spans="2:128" ht="30" customHeight="1" x14ac:dyDescent="0.25">
      <c r="B24" s="972"/>
      <c r="C24" s="981" t="s">
        <v>274</v>
      </c>
      <c r="D24" s="982"/>
      <c r="E24" s="193"/>
      <c r="F24" s="194"/>
      <c r="G24" s="195"/>
      <c r="H24" s="195"/>
      <c r="I24" s="195"/>
      <c r="J24" s="195"/>
      <c r="K24" s="195"/>
      <c r="L24" s="203">
        <f t="shared" si="26"/>
        <v>0</v>
      </c>
      <c r="M24" s="205">
        <f t="shared" si="71"/>
        <v>0</v>
      </c>
      <c r="N24" s="161"/>
      <c r="O24" s="194"/>
      <c r="P24" s="195"/>
      <c r="Q24" s="195"/>
      <c r="R24" s="195"/>
      <c r="S24" s="195"/>
      <c r="T24" s="203">
        <f t="shared" si="27"/>
        <v>0</v>
      </c>
      <c r="U24" s="196"/>
      <c r="V24" s="163"/>
      <c r="W24" s="205">
        <f t="shared" si="72"/>
        <v>0</v>
      </c>
      <c r="X24" s="194"/>
      <c r="Y24" s="195"/>
      <c r="Z24" s="203">
        <f t="shared" si="28"/>
        <v>0</v>
      </c>
      <c r="AA24" s="164"/>
      <c r="AB24" s="165"/>
      <c r="AC24" s="322"/>
      <c r="AD24" s="323"/>
      <c r="AE24" s="197"/>
      <c r="AF24" s="357"/>
      <c r="AG24" s="53">
        <f>IF(AND(AA24&lt;&gt;"",OR(AA24&lt;EXPEDIENTE!$I$25,AA24&gt;EXPEDIENTE!$I$29)),1,0)</f>
        <v>0</v>
      </c>
      <c r="AH24" s="53">
        <f>IF(AND(AB24&lt;&gt;"",OR(AB24&lt;EXPEDIENTE!$I$25,AB24&gt;EXPEDIENTE!$I$29)),1,0)</f>
        <v>0</v>
      </c>
      <c r="AI24" s="53">
        <f>IF(DATE(YEAR(EXPEDIENTE!$I$25)+3,MONTH(DATEVALUE($C24&amp;"1")),1)&gt;=DATE(YEAR(EXPEDIENTE!$I$25),MONTH(EXPEDIENTE!$I$25),1),0,1)</f>
        <v>0</v>
      </c>
      <c r="AJ24" s="53" t="e">
        <f>IF(DATE(YEAR(EXPEDIENTE!$I$25)+3,MONTH(DATEVALUE($C24&amp;"1")),1)&lt;=DATE(YEAR(EXPEDIENTE!$I$27),MONTH(EXPEDIENTE!$I$27),1),0,1)</f>
        <v>#VALUE!</v>
      </c>
      <c r="AK24" s="53" t="e">
        <f t="shared" si="29"/>
        <v>#VALUE!</v>
      </c>
      <c r="AM24" s="1014"/>
      <c r="AN24" s="859" t="s">
        <v>274</v>
      </c>
      <c r="AO24" s="860"/>
      <c r="AP24" s="1038"/>
      <c r="AQ24" s="1039"/>
      <c r="AR24" s="198">
        <f t="shared" si="8"/>
        <v>0</v>
      </c>
      <c r="AS24" s="85"/>
      <c r="AT24" s="199">
        <f t="shared" si="30"/>
        <v>0</v>
      </c>
      <c r="AU24" s="200">
        <f t="shared" si="9"/>
        <v>0</v>
      </c>
      <c r="AV24" s="201"/>
      <c r="AW24" s="202">
        <f t="shared" si="31"/>
        <v>0</v>
      </c>
      <c r="AX24" s="200">
        <f t="shared" si="10"/>
        <v>0</v>
      </c>
      <c r="AY24" s="203"/>
      <c r="AZ24" s="204">
        <f t="shared" si="32"/>
        <v>0</v>
      </c>
      <c r="BA24" s="204">
        <f t="shared" si="11"/>
        <v>0</v>
      </c>
      <c r="BB24" s="203"/>
      <c r="BC24" s="204">
        <f t="shared" si="33"/>
        <v>0</v>
      </c>
      <c r="BD24" s="204">
        <f t="shared" si="12"/>
        <v>0</v>
      </c>
      <c r="BE24" s="203"/>
      <c r="BF24" s="204">
        <f t="shared" si="34"/>
        <v>0</v>
      </c>
      <c r="BG24" s="204">
        <f t="shared" si="13"/>
        <v>0</v>
      </c>
      <c r="BH24" s="203"/>
      <c r="BI24" s="204">
        <f t="shared" si="35"/>
        <v>0</v>
      </c>
      <c r="BJ24" s="204">
        <f t="shared" si="14"/>
        <v>0</v>
      </c>
      <c r="BK24" s="203"/>
      <c r="BL24" s="204">
        <f t="shared" si="36"/>
        <v>0</v>
      </c>
      <c r="BM24" s="175">
        <f t="shared" si="37"/>
        <v>0</v>
      </c>
      <c r="BN24" s="205">
        <f t="shared" si="38"/>
        <v>0</v>
      </c>
      <c r="BO24" s="177"/>
      <c r="BP24" s="200">
        <f t="shared" si="15"/>
        <v>0</v>
      </c>
      <c r="BQ24" s="201"/>
      <c r="BR24" s="206">
        <f t="shared" si="39"/>
        <v>0</v>
      </c>
      <c r="BS24" s="204">
        <f t="shared" si="16"/>
        <v>0</v>
      </c>
      <c r="BT24" s="203"/>
      <c r="BU24" s="204">
        <f t="shared" si="40"/>
        <v>0</v>
      </c>
      <c r="BV24" s="204">
        <f t="shared" si="17"/>
        <v>0</v>
      </c>
      <c r="BW24" s="203"/>
      <c r="BX24" s="204">
        <f t="shared" si="41"/>
        <v>0</v>
      </c>
      <c r="BY24" s="204">
        <f t="shared" si="18"/>
        <v>0</v>
      </c>
      <c r="BZ24" s="203"/>
      <c r="CA24" s="204">
        <f t="shared" si="42"/>
        <v>0</v>
      </c>
      <c r="CB24" s="204">
        <f t="shared" si="19"/>
        <v>0</v>
      </c>
      <c r="CC24" s="203"/>
      <c r="CD24" s="204">
        <f t="shared" si="43"/>
        <v>0</v>
      </c>
      <c r="CE24" s="175">
        <f t="shared" si="44"/>
        <v>0</v>
      </c>
      <c r="CF24" s="200">
        <f t="shared" si="20"/>
        <v>0</v>
      </c>
      <c r="CG24" s="203"/>
      <c r="CH24" s="207">
        <f t="shared" si="45"/>
        <v>0</v>
      </c>
      <c r="CI24" s="182"/>
      <c r="CJ24" s="208">
        <f t="shared" si="46"/>
        <v>0</v>
      </c>
      <c r="CK24" s="200">
        <f t="shared" si="21"/>
        <v>0</v>
      </c>
      <c r="CL24" s="201"/>
      <c r="CM24" s="202">
        <f t="shared" si="47"/>
        <v>0</v>
      </c>
      <c r="CN24" s="200">
        <f t="shared" si="22"/>
        <v>0</v>
      </c>
      <c r="CO24" s="203"/>
      <c r="CP24" s="207">
        <f t="shared" si="48"/>
        <v>0</v>
      </c>
      <c r="CQ24" s="208">
        <f t="shared" si="49"/>
        <v>0</v>
      </c>
      <c r="CR24" s="185" t="str">
        <f t="shared" si="23"/>
        <v/>
      </c>
      <c r="CS24" s="186"/>
      <c r="CT24" s="187" t="str">
        <f t="shared" si="50"/>
        <v/>
      </c>
      <c r="CU24" s="188" t="str">
        <f t="shared" si="24"/>
        <v/>
      </c>
      <c r="CV24" s="189"/>
      <c r="CW24" s="190" t="str">
        <f t="shared" si="51"/>
        <v/>
      </c>
      <c r="CX24" s="209" t="str">
        <f t="shared" si="52"/>
        <v/>
      </c>
      <c r="CY24" s="210"/>
      <c r="DA24" s="53">
        <f>IF(AND(CT24&lt;&gt;"",OR(CT24&lt;EXPEDIENTE!$I$25,CT24&gt;EXPEDIENTE!$I$29)),1,0)</f>
        <v>0</v>
      </c>
      <c r="DB24" s="53">
        <f>IF(AND(CW24&lt;&gt;"",OR(CW24&lt;EXPEDIENTE!$I$25,CW24&gt;EXPEDIENTE!$I$29)),1,0)</f>
        <v>0</v>
      </c>
      <c r="DD24" s="55">
        <f t="shared" si="25"/>
        <v>0</v>
      </c>
      <c r="DE24" s="55">
        <f t="shared" si="53"/>
        <v>0</v>
      </c>
      <c r="DF24" s="55">
        <f t="shared" si="54"/>
        <v>0</v>
      </c>
      <c r="DG24" s="55">
        <f t="shared" si="55"/>
        <v>0</v>
      </c>
      <c r="DH24" s="55">
        <f t="shared" si="56"/>
        <v>0</v>
      </c>
      <c r="DI24" s="55">
        <f t="shared" si="57"/>
        <v>0</v>
      </c>
      <c r="DJ24" s="55">
        <f t="shared" si="58"/>
        <v>0</v>
      </c>
      <c r="DK24" s="55">
        <f t="shared" si="59"/>
        <v>0</v>
      </c>
      <c r="DL24" s="55">
        <f t="shared" si="60"/>
        <v>0</v>
      </c>
      <c r="DM24" s="55">
        <f t="shared" si="61"/>
        <v>0</v>
      </c>
      <c r="DN24" s="55">
        <f t="shared" si="62"/>
        <v>0</v>
      </c>
      <c r="DO24" s="55">
        <f t="shared" si="63"/>
        <v>0</v>
      </c>
      <c r="DP24" s="55">
        <f t="shared" si="64"/>
        <v>0</v>
      </c>
      <c r="DQ24" s="55">
        <f t="shared" si="65"/>
        <v>0</v>
      </c>
      <c r="DR24" s="55">
        <f t="shared" si="66"/>
        <v>0</v>
      </c>
      <c r="DS24" s="55">
        <f t="shared" si="67"/>
        <v>0</v>
      </c>
      <c r="DT24" s="55">
        <f t="shared" si="68"/>
        <v>0</v>
      </c>
      <c r="DU24" s="55">
        <f t="shared" si="69"/>
        <v>0</v>
      </c>
      <c r="DW24" s="55">
        <f>IF(CY24&lt;&gt;"",MAX($DW$9:DW23)+1,0)</f>
        <v>0</v>
      </c>
      <c r="DX24" s="130" t="str">
        <f t="shared" si="70"/>
        <v/>
      </c>
    </row>
    <row r="25" spans="2:128" ht="30" customHeight="1" x14ac:dyDescent="0.25">
      <c r="B25" s="972"/>
      <c r="C25" s="981" t="s">
        <v>275</v>
      </c>
      <c r="D25" s="982"/>
      <c r="E25" s="193"/>
      <c r="F25" s="194"/>
      <c r="G25" s="195"/>
      <c r="H25" s="195"/>
      <c r="I25" s="195"/>
      <c r="J25" s="195"/>
      <c r="K25" s="195"/>
      <c r="L25" s="203">
        <f t="shared" si="26"/>
        <v>0</v>
      </c>
      <c r="M25" s="205">
        <f t="shared" si="71"/>
        <v>0</v>
      </c>
      <c r="N25" s="161"/>
      <c r="O25" s="194"/>
      <c r="P25" s="195"/>
      <c r="Q25" s="195"/>
      <c r="R25" s="195"/>
      <c r="S25" s="195"/>
      <c r="T25" s="203">
        <f t="shared" si="27"/>
        <v>0</v>
      </c>
      <c r="U25" s="196"/>
      <c r="V25" s="163"/>
      <c r="W25" s="205">
        <f t="shared" si="72"/>
        <v>0</v>
      </c>
      <c r="X25" s="194"/>
      <c r="Y25" s="195"/>
      <c r="Z25" s="203">
        <f t="shared" si="28"/>
        <v>0</v>
      </c>
      <c r="AA25" s="164"/>
      <c r="AB25" s="165"/>
      <c r="AC25" s="322"/>
      <c r="AD25" s="323"/>
      <c r="AE25" s="197"/>
      <c r="AF25" s="357"/>
      <c r="AG25" s="53">
        <f>IF(AND(AA25&lt;&gt;"",OR(AA25&lt;EXPEDIENTE!$I$25,AA25&gt;EXPEDIENTE!$I$29)),1,0)</f>
        <v>0</v>
      </c>
      <c r="AH25" s="53">
        <f>IF(AND(AB25&lt;&gt;"",OR(AB25&lt;EXPEDIENTE!$I$25,AB25&gt;EXPEDIENTE!$I$29)),1,0)</f>
        <v>0</v>
      </c>
      <c r="AI25" s="53">
        <f>IF(DATE(YEAR(EXPEDIENTE!$I$25)+3,MONTH(DATEVALUE($C25&amp;"1")),1)&gt;=DATE(YEAR(EXPEDIENTE!$I$25),MONTH(EXPEDIENTE!$I$25),1),0,1)</f>
        <v>0</v>
      </c>
      <c r="AJ25" s="53" t="e">
        <f>IF(DATE(YEAR(EXPEDIENTE!$I$25)+3,MONTH(DATEVALUE($C25&amp;"1")),1)&lt;=DATE(YEAR(EXPEDIENTE!$I$27),MONTH(EXPEDIENTE!$I$27),1),0,1)</f>
        <v>#VALUE!</v>
      </c>
      <c r="AK25" s="53" t="e">
        <f t="shared" si="29"/>
        <v>#VALUE!</v>
      </c>
      <c r="AM25" s="1014"/>
      <c r="AN25" s="859" t="s">
        <v>275</v>
      </c>
      <c r="AO25" s="860"/>
      <c r="AP25" s="1038"/>
      <c r="AQ25" s="1039"/>
      <c r="AR25" s="198">
        <f t="shared" si="8"/>
        <v>0</v>
      </c>
      <c r="AS25" s="85"/>
      <c r="AT25" s="199">
        <f t="shared" si="30"/>
        <v>0</v>
      </c>
      <c r="AU25" s="200">
        <f t="shared" si="9"/>
        <v>0</v>
      </c>
      <c r="AV25" s="201"/>
      <c r="AW25" s="202">
        <f t="shared" si="31"/>
        <v>0</v>
      </c>
      <c r="AX25" s="200">
        <f t="shared" si="10"/>
        <v>0</v>
      </c>
      <c r="AY25" s="203"/>
      <c r="AZ25" s="204">
        <f t="shared" si="32"/>
        <v>0</v>
      </c>
      <c r="BA25" s="204">
        <f t="shared" si="11"/>
        <v>0</v>
      </c>
      <c r="BB25" s="203"/>
      <c r="BC25" s="204">
        <f t="shared" si="33"/>
        <v>0</v>
      </c>
      <c r="BD25" s="204">
        <f t="shared" si="12"/>
        <v>0</v>
      </c>
      <c r="BE25" s="203"/>
      <c r="BF25" s="204">
        <f t="shared" si="34"/>
        <v>0</v>
      </c>
      <c r="BG25" s="204">
        <f t="shared" si="13"/>
        <v>0</v>
      </c>
      <c r="BH25" s="203"/>
      <c r="BI25" s="204">
        <f t="shared" si="35"/>
        <v>0</v>
      </c>
      <c r="BJ25" s="204">
        <f t="shared" si="14"/>
        <v>0</v>
      </c>
      <c r="BK25" s="203"/>
      <c r="BL25" s="204">
        <f t="shared" si="36"/>
        <v>0</v>
      </c>
      <c r="BM25" s="175">
        <f t="shared" si="37"/>
        <v>0</v>
      </c>
      <c r="BN25" s="205">
        <f t="shared" si="38"/>
        <v>0</v>
      </c>
      <c r="BO25" s="177"/>
      <c r="BP25" s="200">
        <f t="shared" si="15"/>
        <v>0</v>
      </c>
      <c r="BQ25" s="201"/>
      <c r="BR25" s="206">
        <f t="shared" si="39"/>
        <v>0</v>
      </c>
      <c r="BS25" s="204">
        <f t="shared" si="16"/>
        <v>0</v>
      </c>
      <c r="BT25" s="203"/>
      <c r="BU25" s="204">
        <f t="shared" si="40"/>
        <v>0</v>
      </c>
      <c r="BV25" s="204">
        <f t="shared" si="17"/>
        <v>0</v>
      </c>
      <c r="BW25" s="203"/>
      <c r="BX25" s="204">
        <f t="shared" si="41"/>
        <v>0</v>
      </c>
      <c r="BY25" s="204">
        <f t="shared" si="18"/>
        <v>0</v>
      </c>
      <c r="BZ25" s="203"/>
      <c r="CA25" s="204">
        <f t="shared" si="42"/>
        <v>0</v>
      </c>
      <c r="CB25" s="204">
        <f t="shared" si="19"/>
        <v>0</v>
      </c>
      <c r="CC25" s="203"/>
      <c r="CD25" s="204">
        <f t="shared" si="43"/>
        <v>0</v>
      </c>
      <c r="CE25" s="175">
        <f t="shared" si="44"/>
        <v>0</v>
      </c>
      <c r="CF25" s="200">
        <f t="shared" si="20"/>
        <v>0</v>
      </c>
      <c r="CG25" s="203"/>
      <c r="CH25" s="207">
        <f t="shared" si="45"/>
        <v>0</v>
      </c>
      <c r="CI25" s="182"/>
      <c r="CJ25" s="208">
        <f t="shared" si="46"/>
        <v>0</v>
      </c>
      <c r="CK25" s="200">
        <f t="shared" si="21"/>
        <v>0</v>
      </c>
      <c r="CL25" s="201"/>
      <c r="CM25" s="202">
        <f t="shared" si="47"/>
        <v>0</v>
      </c>
      <c r="CN25" s="200">
        <f t="shared" si="22"/>
        <v>0</v>
      </c>
      <c r="CO25" s="203"/>
      <c r="CP25" s="207">
        <f t="shared" si="48"/>
        <v>0</v>
      </c>
      <c r="CQ25" s="208">
        <f t="shared" si="49"/>
        <v>0</v>
      </c>
      <c r="CR25" s="185" t="str">
        <f t="shared" si="23"/>
        <v/>
      </c>
      <c r="CS25" s="186"/>
      <c r="CT25" s="187" t="str">
        <f t="shared" si="50"/>
        <v/>
      </c>
      <c r="CU25" s="188" t="str">
        <f t="shared" si="24"/>
        <v/>
      </c>
      <c r="CV25" s="189"/>
      <c r="CW25" s="190" t="str">
        <f t="shared" si="51"/>
        <v/>
      </c>
      <c r="CX25" s="209" t="str">
        <f t="shared" si="52"/>
        <v/>
      </c>
      <c r="CY25" s="210"/>
      <c r="DA25" s="53">
        <f>IF(AND(CT25&lt;&gt;"",OR(CT25&lt;EXPEDIENTE!$I$25,CT25&gt;EXPEDIENTE!$I$29)),1,0)</f>
        <v>0</v>
      </c>
      <c r="DB25" s="53">
        <f>IF(AND(CW25&lt;&gt;"",OR(CW25&lt;EXPEDIENTE!$I$25,CW25&gt;EXPEDIENTE!$I$29)),1,0)</f>
        <v>0</v>
      </c>
      <c r="DD25" s="55">
        <f t="shared" si="25"/>
        <v>0</v>
      </c>
      <c r="DE25" s="55">
        <f t="shared" si="53"/>
        <v>0</v>
      </c>
      <c r="DF25" s="55">
        <f t="shared" si="54"/>
        <v>0</v>
      </c>
      <c r="DG25" s="55">
        <f t="shared" si="55"/>
        <v>0</v>
      </c>
      <c r="DH25" s="55">
        <f t="shared" si="56"/>
        <v>0</v>
      </c>
      <c r="DI25" s="55">
        <f t="shared" si="57"/>
        <v>0</v>
      </c>
      <c r="DJ25" s="55">
        <f t="shared" si="58"/>
        <v>0</v>
      </c>
      <c r="DK25" s="55">
        <f t="shared" si="59"/>
        <v>0</v>
      </c>
      <c r="DL25" s="55">
        <f t="shared" si="60"/>
        <v>0</v>
      </c>
      <c r="DM25" s="55">
        <f t="shared" si="61"/>
        <v>0</v>
      </c>
      <c r="DN25" s="55">
        <f t="shared" si="62"/>
        <v>0</v>
      </c>
      <c r="DO25" s="55">
        <f t="shared" si="63"/>
        <v>0</v>
      </c>
      <c r="DP25" s="55">
        <f t="shared" si="64"/>
        <v>0</v>
      </c>
      <c r="DQ25" s="55">
        <f t="shared" si="65"/>
        <v>0</v>
      </c>
      <c r="DR25" s="55">
        <f t="shared" si="66"/>
        <v>0</v>
      </c>
      <c r="DS25" s="55">
        <f t="shared" si="67"/>
        <v>0</v>
      </c>
      <c r="DT25" s="55">
        <f t="shared" si="68"/>
        <v>0</v>
      </c>
      <c r="DU25" s="55">
        <f t="shared" si="69"/>
        <v>0</v>
      </c>
      <c r="DW25" s="55">
        <f>IF(CY25&lt;&gt;"",MAX($DW$9:DW24)+1,0)</f>
        <v>0</v>
      </c>
      <c r="DX25" s="130" t="str">
        <f t="shared" si="70"/>
        <v/>
      </c>
    </row>
    <row r="26" spans="2:128" ht="30" customHeight="1" x14ac:dyDescent="0.25">
      <c r="B26" s="972"/>
      <c r="C26" s="981" t="s">
        <v>276</v>
      </c>
      <c r="D26" s="982"/>
      <c r="E26" s="193"/>
      <c r="F26" s="194"/>
      <c r="G26" s="195"/>
      <c r="H26" s="195"/>
      <c r="I26" s="195"/>
      <c r="J26" s="195"/>
      <c r="K26" s="195"/>
      <c r="L26" s="203">
        <f t="shared" si="26"/>
        <v>0</v>
      </c>
      <c r="M26" s="205">
        <f t="shared" si="71"/>
        <v>0</v>
      </c>
      <c r="N26" s="161"/>
      <c r="O26" s="194"/>
      <c r="P26" s="195"/>
      <c r="Q26" s="195"/>
      <c r="R26" s="195"/>
      <c r="S26" s="195"/>
      <c r="T26" s="203">
        <f t="shared" si="27"/>
        <v>0</v>
      </c>
      <c r="U26" s="196"/>
      <c r="V26" s="163"/>
      <c r="W26" s="205">
        <f t="shared" si="72"/>
        <v>0</v>
      </c>
      <c r="X26" s="194"/>
      <c r="Y26" s="195"/>
      <c r="Z26" s="203">
        <f t="shared" si="28"/>
        <v>0</v>
      </c>
      <c r="AA26" s="164"/>
      <c r="AB26" s="165"/>
      <c r="AC26" s="322"/>
      <c r="AD26" s="323"/>
      <c r="AE26" s="197"/>
      <c r="AF26" s="357"/>
      <c r="AG26" s="53">
        <f>IF(AND(AA26&lt;&gt;"",OR(AA26&lt;EXPEDIENTE!$I$25,AA26&gt;EXPEDIENTE!$I$29)),1,0)</f>
        <v>0</v>
      </c>
      <c r="AH26" s="53">
        <f>IF(AND(AB26&lt;&gt;"",OR(AB26&lt;EXPEDIENTE!$I$25,AB26&gt;EXPEDIENTE!$I$29)),1,0)</f>
        <v>0</v>
      </c>
      <c r="AI26" s="53">
        <f>IF(DATE(YEAR(EXPEDIENTE!$I$25)+3,MONTH(DATEVALUE($C26&amp;"1")),1)&gt;=DATE(YEAR(EXPEDIENTE!$I$25),MONTH(EXPEDIENTE!$I$25),1),0,1)</f>
        <v>0</v>
      </c>
      <c r="AJ26" s="53" t="e">
        <f>IF(DATE(YEAR(EXPEDIENTE!$I$25)+3,MONTH(DATEVALUE($C26&amp;"1")),1)&lt;=DATE(YEAR(EXPEDIENTE!$I$27),MONTH(EXPEDIENTE!$I$27),1),0,1)</f>
        <v>#VALUE!</v>
      </c>
      <c r="AK26" s="53" t="e">
        <f t="shared" si="29"/>
        <v>#VALUE!</v>
      </c>
      <c r="AM26" s="1014"/>
      <c r="AN26" s="859" t="s">
        <v>276</v>
      </c>
      <c r="AO26" s="860"/>
      <c r="AP26" s="1038"/>
      <c r="AQ26" s="1039"/>
      <c r="AR26" s="198">
        <f t="shared" si="8"/>
        <v>0</v>
      </c>
      <c r="AS26" s="85"/>
      <c r="AT26" s="199">
        <f t="shared" si="30"/>
        <v>0</v>
      </c>
      <c r="AU26" s="200">
        <f t="shared" si="9"/>
        <v>0</v>
      </c>
      <c r="AV26" s="201"/>
      <c r="AW26" s="202">
        <f t="shared" si="31"/>
        <v>0</v>
      </c>
      <c r="AX26" s="200">
        <f t="shared" si="10"/>
        <v>0</v>
      </c>
      <c r="AY26" s="203"/>
      <c r="AZ26" s="204">
        <f t="shared" si="32"/>
        <v>0</v>
      </c>
      <c r="BA26" s="204">
        <f t="shared" si="11"/>
        <v>0</v>
      </c>
      <c r="BB26" s="203"/>
      <c r="BC26" s="204">
        <f t="shared" si="33"/>
        <v>0</v>
      </c>
      <c r="BD26" s="204">
        <f t="shared" si="12"/>
        <v>0</v>
      </c>
      <c r="BE26" s="203"/>
      <c r="BF26" s="204">
        <f t="shared" si="34"/>
        <v>0</v>
      </c>
      <c r="BG26" s="204">
        <f t="shared" si="13"/>
        <v>0</v>
      </c>
      <c r="BH26" s="203"/>
      <c r="BI26" s="204">
        <f t="shared" si="35"/>
        <v>0</v>
      </c>
      <c r="BJ26" s="204">
        <f t="shared" si="14"/>
        <v>0</v>
      </c>
      <c r="BK26" s="203"/>
      <c r="BL26" s="204">
        <f t="shared" si="36"/>
        <v>0</v>
      </c>
      <c r="BM26" s="175">
        <f t="shared" si="37"/>
        <v>0</v>
      </c>
      <c r="BN26" s="205">
        <f t="shared" si="38"/>
        <v>0</v>
      </c>
      <c r="BO26" s="177"/>
      <c r="BP26" s="200">
        <f t="shared" si="15"/>
        <v>0</v>
      </c>
      <c r="BQ26" s="201"/>
      <c r="BR26" s="206">
        <f t="shared" si="39"/>
        <v>0</v>
      </c>
      <c r="BS26" s="204">
        <f t="shared" si="16"/>
        <v>0</v>
      </c>
      <c r="BT26" s="203"/>
      <c r="BU26" s="204">
        <f t="shared" si="40"/>
        <v>0</v>
      </c>
      <c r="BV26" s="204">
        <f t="shared" si="17"/>
        <v>0</v>
      </c>
      <c r="BW26" s="203"/>
      <c r="BX26" s="204">
        <f t="shared" si="41"/>
        <v>0</v>
      </c>
      <c r="BY26" s="204">
        <f t="shared" si="18"/>
        <v>0</v>
      </c>
      <c r="BZ26" s="203"/>
      <c r="CA26" s="204">
        <f t="shared" si="42"/>
        <v>0</v>
      </c>
      <c r="CB26" s="204">
        <f t="shared" si="19"/>
        <v>0</v>
      </c>
      <c r="CC26" s="203"/>
      <c r="CD26" s="204">
        <f t="shared" si="43"/>
        <v>0</v>
      </c>
      <c r="CE26" s="175">
        <f t="shared" si="44"/>
        <v>0</v>
      </c>
      <c r="CF26" s="200">
        <f t="shared" si="20"/>
        <v>0</v>
      </c>
      <c r="CG26" s="203"/>
      <c r="CH26" s="207">
        <f t="shared" si="45"/>
        <v>0</v>
      </c>
      <c r="CI26" s="182"/>
      <c r="CJ26" s="208">
        <f t="shared" si="46"/>
        <v>0</v>
      </c>
      <c r="CK26" s="200">
        <f t="shared" si="21"/>
        <v>0</v>
      </c>
      <c r="CL26" s="201"/>
      <c r="CM26" s="202">
        <f t="shared" si="47"/>
        <v>0</v>
      </c>
      <c r="CN26" s="200">
        <f t="shared" si="22"/>
        <v>0</v>
      </c>
      <c r="CO26" s="203"/>
      <c r="CP26" s="207">
        <f t="shared" si="48"/>
        <v>0</v>
      </c>
      <c r="CQ26" s="208">
        <f t="shared" si="49"/>
        <v>0</v>
      </c>
      <c r="CR26" s="185" t="str">
        <f t="shared" si="23"/>
        <v/>
      </c>
      <c r="CS26" s="186"/>
      <c r="CT26" s="187" t="str">
        <f t="shared" si="50"/>
        <v/>
      </c>
      <c r="CU26" s="188" t="str">
        <f t="shared" si="24"/>
        <v/>
      </c>
      <c r="CV26" s="189"/>
      <c r="CW26" s="190" t="str">
        <f t="shared" si="51"/>
        <v/>
      </c>
      <c r="CX26" s="209" t="str">
        <f t="shared" si="52"/>
        <v/>
      </c>
      <c r="CY26" s="210"/>
      <c r="DA26" s="53">
        <f>IF(AND(CT26&lt;&gt;"",OR(CT26&lt;EXPEDIENTE!$I$25,CT26&gt;EXPEDIENTE!$I$29)),1,0)</f>
        <v>0</v>
      </c>
      <c r="DB26" s="53">
        <f>IF(AND(CW26&lt;&gt;"",OR(CW26&lt;EXPEDIENTE!$I$25,CW26&gt;EXPEDIENTE!$I$29)),1,0)</f>
        <v>0</v>
      </c>
      <c r="DD26" s="55">
        <f t="shared" si="25"/>
        <v>0</v>
      </c>
      <c r="DE26" s="55">
        <f t="shared" si="53"/>
        <v>0</v>
      </c>
      <c r="DF26" s="55">
        <f t="shared" si="54"/>
        <v>0</v>
      </c>
      <c r="DG26" s="55">
        <f t="shared" si="55"/>
        <v>0</v>
      </c>
      <c r="DH26" s="55">
        <f t="shared" si="56"/>
        <v>0</v>
      </c>
      <c r="DI26" s="55">
        <f t="shared" si="57"/>
        <v>0</v>
      </c>
      <c r="DJ26" s="55">
        <f t="shared" si="58"/>
        <v>0</v>
      </c>
      <c r="DK26" s="55">
        <f t="shared" si="59"/>
        <v>0</v>
      </c>
      <c r="DL26" s="55">
        <f t="shared" si="60"/>
        <v>0</v>
      </c>
      <c r="DM26" s="55">
        <f t="shared" si="61"/>
        <v>0</v>
      </c>
      <c r="DN26" s="55">
        <f t="shared" si="62"/>
        <v>0</v>
      </c>
      <c r="DO26" s="55">
        <f t="shared" si="63"/>
        <v>0</v>
      </c>
      <c r="DP26" s="55">
        <f t="shared" si="64"/>
        <v>0</v>
      </c>
      <c r="DQ26" s="55">
        <f t="shared" si="65"/>
        <v>0</v>
      </c>
      <c r="DR26" s="55">
        <f t="shared" si="66"/>
        <v>0</v>
      </c>
      <c r="DS26" s="55">
        <f t="shared" si="67"/>
        <v>0</v>
      </c>
      <c r="DT26" s="55">
        <f t="shared" si="68"/>
        <v>0</v>
      </c>
      <c r="DU26" s="55">
        <f t="shared" si="69"/>
        <v>0</v>
      </c>
      <c r="DW26" s="55">
        <f>IF(CY26&lt;&gt;"",MAX($DW$9:DW25)+1,0)</f>
        <v>0</v>
      </c>
      <c r="DX26" s="130" t="str">
        <f t="shared" si="70"/>
        <v/>
      </c>
    </row>
    <row r="27" spans="2:128" ht="30" customHeight="1" x14ac:dyDescent="0.25">
      <c r="B27" s="972"/>
      <c r="C27" s="981" t="s">
        <v>277</v>
      </c>
      <c r="D27" s="982"/>
      <c r="E27" s="193"/>
      <c r="F27" s="194"/>
      <c r="G27" s="195"/>
      <c r="H27" s="195"/>
      <c r="I27" s="195"/>
      <c r="J27" s="195"/>
      <c r="K27" s="195"/>
      <c r="L27" s="203">
        <f t="shared" si="26"/>
        <v>0</v>
      </c>
      <c r="M27" s="205">
        <f t="shared" si="71"/>
        <v>0</v>
      </c>
      <c r="N27" s="161"/>
      <c r="O27" s="194"/>
      <c r="P27" s="195"/>
      <c r="Q27" s="195"/>
      <c r="R27" s="195"/>
      <c r="S27" s="195"/>
      <c r="T27" s="203">
        <f t="shared" si="27"/>
        <v>0</v>
      </c>
      <c r="U27" s="196"/>
      <c r="V27" s="163"/>
      <c r="W27" s="205">
        <f t="shared" si="72"/>
        <v>0</v>
      </c>
      <c r="X27" s="194"/>
      <c r="Y27" s="195"/>
      <c r="Z27" s="203">
        <f t="shared" si="28"/>
        <v>0</v>
      </c>
      <c r="AA27" s="164"/>
      <c r="AB27" s="165"/>
      <c r="AC27" s="322"/>
      <c r="AD27" s="323"/>
      <c r="AE27" s="197"/>
      <c r="AF27" s="357"/>
      <c r="AG27" s="53">
        <f>IF(AND(AA27&lt;&gt;"",OR(AA27&lt;EXPEDIENTE!$I$25,AA27&gt;EXPEDIENTE!$I$29)),1,0)</f>
        <v>0</v>
      </c>
      <c r="AH27" s="53">
        <f>IF(AND(AB27&lt;&gt;"",OR(AB27&lt;EXPEDIENTE!$I$25,AB27&gt;EXPEDIENTE!$I$29)),1,0)</f>
        <v>0</v>
      </c>
      <c r="AI27" s="53">
        <f>IF(DATE(YEAR(EXPEDIENTE!$I$25)+3,MONTH(DATEVALUE($C27&amp;"1")),1)&gt;=DATE(YEAR(EXPEDIENTE!$I$25),MONTH(EXPEDIENTE!$I$25),1),0,1)</f>
        <v>0</v>
      </c>
      <c r="AJ27" s="53" t="e">
        <f>IF(DATE(YEAR(EXPEDIENTE!$I$25)+3,MONTH(DATEVALUE($C27&amp;"1")),1)&lt;=DATE(YEAR(EXPEDIENTE!$I$27),MONTH(EXPEDIENTE!$I$27),1),0,1)</f>
        <v>#VALUE!</v>
      </c>
      <c r="AK27" s="53" t="e">
        <f t="shared" si="29"/>
        <v>#VALUE!</v>
      </c>
      <c r="AM27" s="1014"/>
      <c r="AN27" s="859" t="s">
        <v>277</v>
      </c>
      <c r="AO27" s="860"/>
      <c r="AP27" s="1038"/>
      <c r="AQ27" s="1039"/>
      <c r="AR27" s="198">
        <f t="shared" si="8"/>
        <v>0</v>
      </c>
      <c r="AS27" s="85"/>
      <c r="AT27" s="199">
        <f t="shared" si="30"/>
        <v>0</v>
      </c>
      <c r="AU27" s="200">
        <f t="shared" si="9"/>
        <v>0</v>
      </c>
      <c r="AV27" s="201"/>
      <c r="AW27" s="202">
        <f t="shared" si="31"/>
        <v>0</v>
      </c>
      <c r="AX27" s="200">
        <f t="shared" si="10"/>
        <v>0</v>
      </c>
      <c r="AY27" s="203"/>
      <c r="AZ27" s="204">
        <f t="shared" si="32"/>
        <v>0</v>
      </c>
      <c r="BA27" s="204">
        <f t="shared" si="11"/>
        <v>0</v>
      </c>
      <c r="BB27" s="203"/>
      <c r="BC27" s="204">
        <f t="shared" si="33"/>
        <v>0</v>
      </c>
      <c r="BD27" s="204">
        <f t="shared" si="12"/>
        <v>0</v>
      </c>
      <c r="BE27" s="203"/>
      <c r="BF27" s="204">
        <f t="shared" si="34"/>
        <v>0</v>
      </c>
      <c r="BG27" s="204">
        <f t="shared" si="13"/>
        <v>0</v>
      </c>
      <c r="BH27" s="203"/>
      <c r="BI27" s="204">
        <f t="shared" si="35"/>
        <v>0</v>
      </c>
      <c r="BJ27" s="204">
        <f t="shared" si="14"/>
        <v>0</v>
      </c>
      <c r="BK27" s="203"/>
      <c r="BL27" s="204">
        <f t="shared" si="36"/>
        <v>0</v>
      </c>
      <c r="BM27" s="175">
        <f t="shared" si="37"/>
        <v>0</v>
      </c>
      <c r="BN27" s="205">
        <f t="shared" si="38"/>
        <v>0</v>
      </c>
      <c r="BO27" s="177"/>
      <c r="BP27" s="200">
        <f t="shared" si="15"/>
        <v>0</v>
      </c>
      <c r="BQ27" s="201"/>
      <c r="BR27" s="206">
        <f t="shared" si="39"/>
        <v>0</v>
      </c>
      <c r="BS27" s="204">
        <f t="shared" si="16"/>
        <v>0</v>
      </c>
      <c r="BT27" s="203"/>
      <c r="BU27" s="204">
        <f t="shared" si="40"/>
        <v>0</v>
      </c>
      <c r="BV27" s="204">
        <f t="shared" si="17"/>
        <v>0</v>
      </c>
      <c r="BW27" s="203"/>
      <c r="BX27" s="204">
        <f t="shared" si="41"/>
        <v>0</v>
      </c>
      <c r="BY27" s="204">
        <f t="shared" si="18"/>
        <v>0</v>
      </c>
      <c r="BZ27" s="203"/>
      <c r="CA27" s="204">
        <f t="shared" si="42"/>
        <v>0</v>
      </c>
      <c r="CB27" s="204">
        <f t="shared" si="19"/>
        <v>0</v>
      </c>
      <c r="CC27" s="203"/>
      <c r="CD27" s="204">
        <f t="shared" si="43"/>
        <v>0</v>
      </c>
      <c r="CE27" s="175">
        <f t="shared" si="44"/>
        <v>0</v>
      </c>
      <c r="CF27" s="200">
        <f t="shared" si="20"/>
        <v>0</v>
      </c>
      <c r="CG27" s="203"/>
      <c r="CH27" s="207">
        <f t="shared" si="45"/>
        <v>0</v>
      </c>
      <c r="CI27" s="182"/>
      <c r="CJ27" s="208">
        <f t="shared" si="46"/>
        <v>0</v>
      </c>
      <c r="CK27" s="200">
        <f t="shared" si="21"/>
        <v>0</v>
      </c>
      <c r="CL27" s="201"/>
      <c r="CM27" s="202">
        <f t="shared" si="47"/>
        <v>0</v>
      </c>
      <c r="CN27" s="200">
        <f t="shared" si="22"/>
        <v>0</v>
      </c>
      <c r="CO27" s="203"/>
      <c r="CP27" s="207">
        <f t="shared" si="48"/>
        <v>0</v>
      </c>
      <c r="CQ27" s="208">
        <f t="shared" si="49"/>
        <v>0</v>
      </c>
      <c r="CR27" s="185" t="str">
        <f t="shared" si="23"/>
        <v/>
      </c>
      <c r="CS27" s="186"/>
      <c r="CT27" s="187" t="str">
        <f t="shared" si="50"/>
        <v/>
      </c>
      <c r="CU27" s="188" t="str">
        <f t="shared" si="24"/>
        <v/>
      </c>
      <c r="CV27" s="189"/>
      <c r="CW27" s="190" t="str">
        <f t="shared" si="51"/>
        <v/>
      </c>
      <c r="CX27" s="209" t="str">
        <f t="shared" si="52"/>
        <v/>
      </c>
      <c r="CY27" s="210"/>
      <c r="DA27" s="53">
        <f>IF(AND(CT27&lt;&gt;"",OR(CT27&lt;EXPEDIENTE!$I$25,CT27&gt;EXPEDIENTE!$I$29)),1,0)</f>
        <v>0</v>
      </c>
      <c r="DB27" s="53">
        <f>IF(AND(CW27&lt;&gt;"",OR(CW27&lt;EXPEDIENTE!$I$25,CW27&gt;EXPEDIENTE!$I$29)),1,0)</f>
        <v>0</v>
      </c>
      <c r="DD27" s="55">
        <f t="shared" si="25"/>
        <v>0</v>
      </c>
      <c r="DE27" s="55">
        <f t="shared" si="53"/>
        <v>0</v>
      </c>
      <c r="DF27" s="55">
        <f t="shared" si="54"/>
        <v>0</v>
      </c>
      <c r="DG27" s="55">
        <f t="shared" si="55"/>
        <v>0</v>
      </c>
      <c r="DH27" s="55">
        <f t="shared" si="56"/>
        <v>0</v>
      </c>
      <c r="DI27" s="55">
        <f t="shared" si="57"/>
        <v>0</v>
      </c>
      <c r="DJ27" s="55">
        <f t="shared" si="58"/>
        <v>0</v>
      </c>
      <c r="DK27" s="55">
        <f t="shared" si="59"/>
        <v>0</v>
      </c>
      <c r="DL27" s="55">
        <f t="shared" si="60"/>
        <v>0</v>
      </c>
      <c r="DM27" s="55">
        <f t="shared" si="61"/>
        <v>0</v>
      </c>
      <c r="DN27" s="55">
        <f t="shared" si="62"/>
        <v>0</v>
      </c>
      <c r="DO27" s="55">
        <f t="shared" si="63"/>
        <v>0</v>
      </c>
      <c r="DP27" s="55">
        <f t="shared" si="64"/>
        <v>0</v>
      </c>
      <c r="DQ27" s="55">
        <f t="shared" si="65"/>
        <v>0</v>
      </c>
      <c r="DR27" s="55">
        <f t="shared" si="66"/>
        <v>0</v>
      </c>
      <c r="DS27" s="55">
        <f t="shared" si="67"/>
        <v>0</v>
      </c>
      <c r="DT27" s="55">
        <f t="shared" si="68"/>
        <v>0</v>
      </c>
      <c r="DU27" s="55">
        <f t="shared" si="69"/>
        <v>0</v>
      </c>
      <c r="DW27" s="55">
        <f>IF(CY27&lt;&gt;"",MAX($DW$9:DW26)+1,0)</f>
        <v>0</v>
      </c>
      <c r="DX27" s="130" t="str">
        <f t="shared" si="70"/>
        <v/>
      </c>
    </row>
    <row r="28" spans="2:128" ht="30" customHeight="1" x14ac:dyDescent="0.25">
      <c r="B28" s="972"/>
      <c r="C28" s="981" t="s">
        <v>278</v>
      </c>
      <c r="D28" s="982"/>
      <c r="E28" s="193"/>
      <c r="F28" s="194"/>
      <c r="G28" s="195"/>
      <c r="H28" s="195"/>
      <c r="I28" s="195"/>
      <c r="J28" s="195"/>
      <c r="K28" s="195"/>
      <c r="L28" s="203">
        <f t="shared" si="26"/>
        <v>0</v>
      </c>
      <c r="M28" s="205">
        <f t="shared" si="71"/>
        <v>0</v>
      </c>
      <c r="N28" s="161"/>
      <c r="O28" s="194"/>
      <c r="P28" s="195"/>
      <c r="Q28" s="195"/>
      <c r="R28" s="195"/>
      <c r="S28" s="195"/>
      <c r="T28" s="203">
        <f t="shared" si="27"/>
        <v>0</v>
      </c>
      <c r="U28" s="196"/>
      <c r="V28" s="163"/>
      <c r="W28" s="205">
        <f t="shared" si="72"/>
        <v>0</v>
      </c>
      <c r="X28" s="194"/>
      <c r="Y28" s="195"/>
      <c r="Z28" s="203">
        <f t="shared" si="28"/>
        <v>0</v>
      </c>
      <c r="AA28" s="164"/>
      <c r="AB28" s="165"/>
      <c r="AC28" s="322"/>
      <c r="AD28" s="323"/>
      <c r="AE28" s="197"/>
      <c r="AF28" s="357"/>
      <c r="AG28" s="53">
        <f>IF(AND(AA28&lt;&gt;"",OR(AA28&lt;EXPEDIENTE!$I$25,AA28&gt;EXPEDIENTE!$I$29)),1,0)</f>
        <v>0</v>
      </c>
      <c r="AH28" s="53">
        <f>IF(AND(AB28&lt;&gt;"",OR(AB28&lt;EXPEDIENTE!$I$25,AB28&gt;EXPEDIENTE!$I$29)),1,0)</f>
        <v>0</v>
      </c>
      <c r="AI28" s="53">
        <f>IF(DATE(YEAR(EXPEDIENTE!$I$25)+3,MONTH(DATEVALUE($C28&amp;"1")),1)&gt;=DATE(YEAR(EXPEDIENTE!$I$25),MONTH(EXPEDIENTE!$I$25),1),0,1)</f>
        <v>0</v>
      </c>
      <c r="AJ28" s="53" t="e">
        <f>IF(DATE(YEAR(EXPEDIENTE!$I$25)+3,MONTH(DATEVALUE($C28&amp;"1")),1)&lt;=DATE(YEAR(EXPEDIENTE!$I$27),MONTH(EXPEDIENTE!$I$27),1),0,1)</f>
        <v>#VALUE!</v>
      </c>
      <c r="AK28" s="53" t="e">
        <f t="shared" si="29"/>
        <v>#VALUE!</v>
      </c>
      <c r="AM28" s="1014"/>
      <c r="AN28" s="859" t="s">
        <v>278</v>
      </c>
      <c r="AO28" s="860"/>
      <c r="AP28" s="1038"/>
      <c r="AQ28" s="1039"/>
      <c r="AR28" s="198">
        <f t="shared" si="8"/>
        <v>0</v>
      </c>
      <c r="AS28" s="85"/>
      <c r="AT28" s="199">
        <f t="shared" si="30"/>
        <v>0</v>
      </c>
      <c r="AU28" s="200">
        <f t="shared" si="9"/>
        <v>0</v>
      </c>
      <c r="AV28" s="201"/>
      <c r="AW28" s="202">
        <f t="shared" si="31"/>
        <v>0</v>
      </c>
      <c r="AX28" s="200">
        <f t="shared" si="10"/>
        <v>0</v>
      </c>
      <c r="AY28" s="203"/>
      <c r="AZ28" s="204">
        <f t="shared" si="32"/>
        <v>0</v>
      </c>
      <c r="BA28" s="204">
        <f t="shared" si="11"/>
        <v>0</v>
      </c>
      <c r="BB28" s="203"/>
      <c r="BC28" s="204">
        <f t="shared" si="33"/>
        <v>0</v>
      </c>
      <c r="BD28" s="204">
        <f t="shared" si="12"/>
        <v>0</v>
      </c>
      <c r="BE28" s="203"/>
      <c r="BF28" s="204">
        <f t="shared" si="34"/>
        <v>0</v>
      </c>
      <c r="BG28" s="204">
        <f t="shared" si="13"/>
        <v>0</v>
      </c>
      <c r="BH28" s="203"/>
      <c r="BI28" s="204">
        <f t="shared" si="35"/>
        <v>0</v>
      </c>
      <c r="BJ28" s="204">
        <f t="shared" si="14"/>
        <v>0</v>
      </c>
      <c r="BK28" s="203"/>
      <c r="BL28" s="204">
        <f t="shared" si="36"/>
        <v>0</v>
      </c>
      <c r="BM28" s="175">
        <f t="shared" si="37"/>
        <v>0</v>
      </c>
      <c r="BN28" s="205">
        <f t="shared" si="38"/>
        <v>0</v>
      </c>
      <c r="BO28" s="177"/>
      <c r="BP28" s="200">
        <f t="shared" si="15"/>
        <v>0</v>
      </c>
      <c r="BQ28" s="201"/>
      <c r="BR28" s="206">
        <f t="shared" si="39"/>
        <v>0</v>
      </c>
      <c r="BS28" s="204">
        <f t="shared" si="16"/>
        <v>0</v>
      </c>
      <c r="BT28" s="203"/>
      <c r="BU28" s="204">
        <f t="shared" si="40"/>
        <v>0</v>
      </c>
      <c r="BV28" s="204">
        <f t="shared" si="17"/>
        <v>0</v>
      </c>
      <c r="BW28" s="203"/>
      <c r="BX28" s="204">
        <f t="shared" si="41"/>
        <v>0</v>
      </c>
      <c r="BY28" s="204">
        <f t="shared" si="18"/>
        <v>0</v>
      </c>
      <c r="BZ28" s="203"/>
      <c r="CA28" s="204">
        <f t="shared" si="42"/>
        <v>0</v>
      </c>
      <c r="CB28" s="204">
        <f t="shared" si="19"/>
        <v>0</v>
      </c>
      <c r="CC28" s="203"/>
      <c r="CD28" s="204">
        <f t="shared" si="43"/>
        <v>0</v>
      </c>
      <c r="CE28" s="175">
        <f t="shared" si="44"/>
        <v>0</v>
      </c>
      <c r="CF28" s="200">
        <f t="shared" si="20"/>
        <v>0</v>
      </c>
      <c r="CG28" s="203"/>
      <c r="CH28" s="207">
        <f t="shared" si="45"/>
        <v>0</v>
      </c>
      <c r="CI28" s="182"/>
      <c r="CJ28" s="208">
        <f t="shared" si="46"/>
        <v>0</v>
      </c>
      <c r="CK28" s="200">
        <f t="shared" si="21"/>
        <v>0</v>
      </c>
      <c r="CL28" s="201"/>
      <c r="CM28" s="202">
        <f t="shared" si="47"/>
        <v>0</v>
      </c>
      <c r="CN28" s="200">
        <f t="shared" si="22"/>
        <v>0</v>
      </c>
      <c r="CO28" s="203"/>
      <c r="CP28" s="207">
        <f t="shared" si="48"/>
        <v>0</v>
      </c>
      <c r="CQ28" s="208">
        <f t="shared" si="49"/>
        <v>0</v>
      </c>
      <c r="CR28" s="185" t="str">
        <f t="shared" si="23"/>
        <v/>
      </c>
      <c r="CS28" s="186"/>
      <c r="CT28" s="187" t="str">
        <f t="shared" si="50"/>
        <v/>
      </c>
      <c r="CU28" s="188" t="str">
        <f t="shared" si="24"/>
        <v/>
      </c>
      <c r="CV28" s="189"/>
      <c r="CW28" s="190" t="str">
        <f t="shared" si="51"/>
        <v/>
      </c>
      <c r="CX28" s="209" t="str">
        <f t="shared" si="52"/>
        <v/>
      </c>
      <c r="CY28" s="210"/>
      <c r="DA28" s="53">
        <f>IF(AND(CT28&lt;&gt;"",OR(CT28&lt;EXPEDIENTE!$I$25,CT28&gt;EXPEDIENTE!$I$29)),1,0)</f>
        <v>0</v>
      </c>
      <c r="DB28" s="53">
        <f>IF(AND(CW28&lt;&gt;"",OR(CW28&lt;EXPEDIENTE!$I$25,CW28&gt;EXPEDIENTE!$I$29)),1,0)</f>
        <v>0</v>
      </c>
      <c r="DD28" s="55">
        <f t="shared" si="25"/>
        <v>0</v>
      </c>
      <c r="DE28" s="55">
        <f t="shared" si="53"/>
        <v>0</v>
      </c>
      <c r="DF28" s="55">
        <f t="shared" si="54"/>
        <v>0</v>
      </c>
      <c r="DG28" s="55">
        <f t="shared" si="55"/>
        <v>0</v>
      </c>
      <c r="DH28" s="55">
        <f t="shared" si="56"/>
        <v>0</v>
      </c>
      <c r="DI28" s="55">
        <f t="shared" si="57"/>
        <v>0</v>
      </c>
      <c r="DJ28" s="55">
        <f t="shared" si="58"/>
        <v>0</v>
      </c>
      <c r="DK28" s="55">
        <f t="shared" si="59"/>
        <v>0</v>
      </c>
      <c r="DL28" s="55">
        <f t="shared" si="60"/>
        <v>0</v>
      </c>
      <c r="DM28" s="55">
        <f t="shared" si="61"/>
        <v>0</v>
      </c>
      <c r="DN28" s="55">
        <f t="shared" si="62"/>
        <v>0</v>
      </c>
      <c r="DO28" s="55">
        <f t="shared" si="63"/>
        <v>0</v>
      </c>
      <c r="DP28" s="55">
        <f t="shared" si="64"/>
        <v>0</v>
      </c>
      <c r="DQ28" s="55">
        <f t="shared" si="65"/>
        <v>0</v>
      </c>
      <c r="DR28" s="55">
        <f t="shared" si="66"/>
        <v>0</v>
      </c>
      <c r="DS28" s="55">
        <f t="shared" si="67"/>
        <v>0</v>
      </c>
      <c r="DT28" s="55">
        <f t="shared" si="68"/>
        <v>0</v>
      </c>
      <c r="DU28" s="55">
        <f t="shared" si="69"/>
        <v>0</v>
      </c>
      <c r="DW28" s="55">
        <f>IF(CY28&lt;&gt;"",MAX($DW$9:DW27)+1,0)</f>
        <v>0</v>
      </c>
      <c r="DX28" s="130" t="str">
        <f t="shared" si="70"/>
        <v/>
      </c>
    </row>
    <row r="29" spans="2:128" ht="30" customHeight="1" x14ac:dyDescent="0.25">
      <c r="B29" s="972"/>
      <c r="C29" s="981" t="s">
        <v>279</v>
      </c>
      <c r="D29" s="982"/>
      <c r="E29" s="193"/>
      <c r="F29" s="194"/>
      <c r="G29" s="195"/>
      <c r="H29" s="195"/>
      <c r="I29" s="195"/>
      <c r="J29" s="195"/>
      <c r="K29" s="195"/>
      <c r="L29" s="203">
        <f t="shared" si="26"/>
        <v>0</v>
      </c>
      <c r="M29" s="205">
        <f t="shared" si="71"/>
        <v>0</v>
      </c>
      <c r="N29" s="161"/>
      <c r="O29" s="194"/>
      <c r="P29" s="195"/>
      <c r="Q29" s="195"/>
      <c r="R29" s="195"/>
      <c r="S29" s="195"/>
      <c r="T29" s="203">
        <f t="shared" si="27"/>
        <v>0</v>
      </c>
      <c r="U29" s="196"/>
      <c r="V29" s="163"/>
      <c r="W29" s="205">
        <f t="shared" si="72"/>
        <v>0</v>
      </c>
      <c r="X29" s="194"/>
      <c r="Y29" s="195"/>
      <c r="Z29" s="203">
        <f t="shared" si="28"/>
        <v>0</v>
      </c>
      <c r="AA29" s="164"/>
      <c r="AB29" s="165"/>
      <c r="AC29" s="322"/>
      <c r="AD29" s="323"/>
      <c r="AE29" s="197"/>
      <c r="AF29" s="357"/>
      <c r="AG29" s="53">
        <f>IF(AND(AA29&lt;&gt;"",OR(AA29&lt;EXPEDIENTE!$I$25,AA29&gt;EXPEDIENTE!$I$29)),1,0)</f>
        <v>0</v>
      </c>
      <c r="AH29" s="53">
        <f>IF(AND(AB29&lt;&gt;"",OR(AB29&lt;EXPEDIENTE!$I$25,AB29&gt;EXPEDIENTE!$I$29)),1,0)</f>
        <v>0</v>
      </c>
      <c r="AI29" s="53">
        <f>IF(DATE(YEAR(EXPEDIENTE!$I$25)+3,MONTH(DATEVALUE($C29&amp;"1")),1)&gt;=DATE(YEAR(EXPEDIENTE!$I$25),MONTH(EXPEDIENTE!$I$25),1),0,1)</f>
        <v>0</v>
      </c>
      <c r="AJ29" s="53" t="e">
        <f>IF(DATE(YEAR(EXPEDIENTE!$I$25)+3,MONTH(DATEVALUE($C29&amp;"1")),1)&lt;=DATE(YEAR(EXPEDIENTE!$I$27),MONTH(EXPEDIENTE!$I$27),1),0,1)</f>
        <v>#VALUE!</v>
      </c>
      <c r="AK29" s="53" t="e">
        <f t="shared" si="29"/>
        <v>#VALUE!</v>
      </c>
      <c r="AM29" s="1014"/>
      <c r="AN29" s="859" t="s">
        <v>279</v>
      </c>
      <c r="AO29" s="860"/>
      <c r="AP29" s="1038"/>
      <c r="AQ29" s="1039"/>
      <c r="AR29" s="198">
        <f t="shared" si="8"/>
        <v>0</v>
      </c>
      <c r="AS29" s="85"/>
      <c r="AT29" s="199">
        <f t="shared" si="30"/>
        <v>0</v>
      </c>
      <c r="AU29" s="200">
        <f t="shared" si="9"/>
        <v>0</v>
      </c>
      <c r="AV29" s="201"/>
      <c r="AW29" s="202">
        <f t="shared" si="31"/>
        <v>0</v>
      </c>
      <c r="AX29" s="200">
        <f t="shared" si="10"/>
        <v>0</v>
      </c>
      <c r="AY29" s="203"/>
      <c r="AZ29" s="204">
        <f t="shared" si="32"/>
        <v>0</v>
      </c>
      <c r="BA29" s="204">
        <f t="shared" si="11"/>
        <v>0</v>
      </c>
      <c r="BB29" s="203"/>
      <c r="BC29" s="204">
        <f t="shared" si="33"/>
        <v>0</v>
      </c>
      <c r="BD29" s="204">
        <f t="shared" si="12"/>
        <v>0</v>
      </c>
      <c r="BE29" s="203"/>
      <c r="BF29" s="204">
        <f t="shared" si="34"/>
        <v>0</v>
      </c>
      <c r="BG29" s="204">
        <f t="shared" si="13"/>
        <v>0</v>
      </c>
      <c r="BH29" s="203"/>
      <c r="BI29" s="204">
        <f t="shared" si="35"/>
        <v>0</v>
      </c>
      <c r="BJ29" s="204">
        <f t="shared" si="14"/>
        <v>0</v>
      </c>
      <c r="BK29" s="203"/>
      <c r="BL29" s="204">
        <f t="shared" si="36"/>
        <v>0</v>
      </c>
      <c r="BM29" s="175">
        <f t="shared" si="37"/>
        <v>0</v>
      </c>
      <c r="BN29" s="205">
        <f t="shared" si="38"/>
        <v>0</v>
      </c>
      <c r="BO29" s="177"/>
      <c r="BP29" s="200">
        <f t="shared" si="15"/>
        <v>0</v>
      </c>
      <c r="BQ29" s="201"/>
      <c r="BR29" s="206">
        <f t="shared" si="39"/>
        <v>0</v>
      </c>
      <c r="BS29" s="204">
        <f t="shared" si="16"/>
        <v>0</v>
      </c>
      <c r="BT29" s="203"/>
      <c r="BU29" s="204">
        <f t="shared" si="40"/>
        <v>0</v>
      </c>
      <c r="BV29" s="204">
        <f t="shared" si="17"/>
        <v>0</v>
      </c>
      <c r="BW29" s="203"/>
      <c r="BX29" s="204">
        <f t="shared" si="41"/>
        <v>0</v>
      </c>
      <c r="BY29" s="204">
        <f t="shared" si="18"/>
        <v>0</v>
      </c>
      <c r="BZ29" s="203"/>
      <c r="CA29" s="204">
        <f t="shared" si="42"/>
        <v>0</v>
      </c>
      <c r="CB29" s="204">
        <f t="shared" si="19"/>
        <v>0</v>
      </c>
      <c r="CC29" s="203"/>
      <c r="CD29" s="204">
        <f t="shared" si="43"/>
        <v>0</v>
      </c>
      <c r="CE29" s="175">
        <f t="shared" si="44"/>
        <v>0</v>
      </c>
      <c r="CF29" s="200">
        <f t="shared" si="20"/>
        <v>0</v>
      </c>
      <c r="CG29" s="203"/>
      <c r="CH29" s="207">
        <f t="shared" si="45"/>
        <v>0</v>
      </c>
      <c r="CI29" s="182"/>
      <c r="CJ29" s="208">
        <f t="shared" si="46"/>
        <v>0</v>
      </c>
      <c r="CK29" s="200">
        <f t="shared" si="21"/>
        <v>0</v>
      </c>
      <c r="CL29" s="201"/>
      <c r="CM29" s="202">
        <f t="shared" si="47"/>
        <v>0</v>
      </c>
      <c r="CN29" s="200">
        <f t="shared" si="22"/>
        <v>0</v>
      </c>
      <c r="CO29" s="203"/>
      <c r="CP29" s="207">
        <f t="shared" si="48"/>
        <v>0</v>
      </c>
      <c r="CQ29" s="208">
        <f t="shared" si="49"/>
        <v>0</v>
      </c>
      <c r="CR29" s="185" t="str">
        <f t="shared" si="23"/>
        <v/>
      </c>
      <c r="CS29" s="186"/>
      <c r="CT29" s="187" t="str">
        <f t="shared" si="50"/>
        <v/>
      </c>
      <c r="CU29" s="188" t="str">
        <f t="shared" si="24"/>
        <v/>
      </c>
      <c r="CV29" s="189"/>
      <c r="CW29" s="190" t="str">
        <f t="shared" si="51"/>
        <v/>
      </c>
      <c r="CX29" s="209" t="str">
        <f t="shared" si="52"/>
        <v/>
      </c>
      <c r="CY29" s="210"/>
      <c r="DA29" s="53">
        <f>IF(AND(CT29&lt;&gt;"",OR(CT29&lt;EXPEDIENTE!$I$25,CT29&gt;EXPEDIENTE!$I$29)),1,0)</f>
        <v>0</v>
      </c>
      <c r="DB29" s="53">
        <f>IF(AND(CW29&lt;&gt;"",OR(CW29&lt;EXPEDIENTE!$I$25,CW29&gt;EXPEDIENTE!$I$29)),1,0)</f>
        <v>0</v>
      </c>
      <c r="DD29" s="55">
        <f t="shared" si="25"/>
        <v>0</v>
      </c>
      <c r="DE29" s="55">
        <f t="shared" si="53"/>
        <v>0</v>
      </c>
      <c r="DF29" s="55">
        <f t="shared" si="54"/>
        <v>0</v>
      </c>
      <c r="DG29" s="55">
        <f t="shared" si="55"/>
        <v>0</v>
      </c>
      <c r="DH29" s="55">
        <f t="shared" si="56"/>
        <v>0</v>
      </c>
      <c r="DI29" s="55">
        <f t="shared" si="57"/>
        <v>0</v>
      </c>
      <c r="DJ29" s="55">
        <f t="shared" si="58"/>
        <v>0</v>
      </c>
      <c r="DK29" s="55">
        <f t="shared" si="59"/>
        <v>0</v>
      </c>
      <c r="DL29" s="55">
        <f t="shared" si="60"/>
        <v>0</v>
      </c>
      <c r="DM29" s="55">
        <f t="shared" si="61"/>
        <v>0</v>
      </c>
      <c r="DN29" s="55">
        <f t="shared" si="62"/>
        <v>0</v>
      </c>
      <c r="DO29" s="55">
        <f t="shared" si="63"/>
        <v>0</v>
      </c>
      <c r="DP29" s="55">
        <f t="shared" si="64"/>
        <v>0</v>
      </c>
      <c r="DQ29" s="55">
        <f t="shared" si="65"/>
        <v>0</v>
      </c>
      <c r="DR29" s="55">
        <f t="shared" si="66"/>
        <v>0</v>
      </c>
      <c r="DS29" s="55">
        <f t="shared" si="67"/>
        <v>0</v>
      </c>
      <c r="DT29" s="55">
        <f t="shared" si="68"/>
        <v>0</v>
      </c>
      <c r="DU29" s="55">
        <f t="shared" si="69"/>
        <v>0</v>
      </c>
      <c r="DW29" s="55">
        <f>IF(CY29&lt;&gt;"",MAX($DW$9:DW28)+1,0)</f>
        <v>0</v>
      </c>
      <c r="DX29" s="130" t="str">
        <f t="shared" si="70"/>
        <v/>
      </c>
    </row>
    <row r="30" spans="2:128" ht="30" customHeight="1" x14ac:dyDescent="0.25">
      <c r="B30" s="972"/>
      <c r="C30" s="981" t="s">
        <v>280</v>
      </c>
      <c r="D30" s="982"/>
      <c r="E30" s="193"/>
      <c r="F30" s="194"/>
      <c r="G30" s="195"/>
      <c r="H30" s="195"/>
      <c r="I30" s="195"/>
      <c r="J30" s="195"/>
      <c r="K30" s="195"/>
      <c r="L30" s="203">
        <f t="shared" si="26"/>
        <v>0</v>
      </c>
      <c r="M30" s="205">
        <f t="shared" si="71"/>
        <v>0</v>
      </c>
      <c r="N30" s="161"/>
      <c r="O30" s="194"/>
      <c r="P30" s="195"/>
      <c r="Q30" s="195"/>
      <c r="R30" s="195"/>
      <c r="S30" s="195"/>
      <c r="T30" s="203">
        <f t="shared" si="27"/>
        <v>0</v>
      </c>
      <c r="U30" s="196"/>
      <c r="V30" s="163"/>
      <c r="W30" s="205">
        <f t="shared" si="72"/>
        <v>0</v>
      </c>
      <c r="X30" s="194"/>
      <c r="Y30" s="195"/>
      <c r="Z30" s="203">
        <f t="shared" si="28"/>
        <v>0</v>
      </c>
      <c r="AA30" s="164"/>
      <c r="AB30" s="165"/>
      <c r="AC30" s="322"/>
      <c r="AD30" s="323"/>
      <c r="AE30" s="197"/>
      <c r="AF30" s="357"/>
      <c r="AG30" s="53">
        <f>IF(AND(AA30&lt;&gt;"",OR(AA30&lt;EXPEDIENTE!$I$25,AA30&gt;EXPEDIENTE!$I$29)),1,0)</f>
        <v>0</v>
      </c>
      <c r="AH30" s="53">
        <f>IF(AND(AB30&lt;&gt;"",OR(AB30&lt;EXPEDIENTE!$I$25,AB30&gt;EXPEDIENTE!$I$29)),1,0)</f>
        <v>0</v>
      </c>
      <c r="AI30" s="53">
        <f>IF(DATE(YEAR(EXPEDIENTE!$I$25)+3,MONTH(DATEVALUE($C30&amp;"1")),1)&gt;=DATE(YEAR(EXPEDIENTE!$I$25),MONTH(EXPEDIENTE!$I$25),1),0,1)</f>
        <v>0</v>
      </c>
      <c r="AJ30" s="53" t="e">
        <f>IF(DATE(YEAR(EXPEDIENTE!$I$25)+3,MONTH(DATEVALUE($C30&amp;"1")),1)&lt;=DATE(YEAR(EXPEDIENTE!$I$27),MONTH(EXPEDIENTE!$I$27),1),0,1)</f>
        <v>#VALUE!</v>
      </c>
      <c r="AK30" s="53" t="e">
        <f t="shared" si="29"/>
        <v>#VALUE!</v>
      </c>
      <c r="AM30" s="1014"/>
      <c r="AN30" s="859" t="s">
        <v>280</v>
      </c>
      <c r="AO30" s="860"/>
      <c r="AP30" s="1038"/>
      <c r="AQ30" s="1039"/>
      <c r="AR30" s="198">
        <f t="shared" si="8"/>
        <v>0</v>
      </c>
      <c r="AS30" s="85"/>
      <c r="AT30" s="199">
        <f t="shared" si="30"/>
        <v>0</v>
      </c>
      <c r="AU30" s="200">
        <f t="shared" si="9"/>
        <v>0</v>
      </c>
      <c r="AV30" s="201"/>
      <c r="AW30" s="202">
        <f t="shared" si="31"/>
        <v>0</v>
      </c>
      <c r="AX30" s="200">
        <f t="shared" si="10"/>
        <v>0</v>
      </c>
      <c r="AY30" s="203"/>
      <c r="AZ30" s="204">
        <f t="shared" si="32"/>
        <v>0</v>
      </c>
      <c r="BA30" s="204">
        <f t="shared" si="11"/>
        <v>0</v>
      </c>
      <c r="BB30" s="203"/>
      <c r="BC30" s="204">
        <f t="shared" si="33"/>
        <v>0</v>
      </c>
      <c r="BD30" s="204">
        <f t="shared" si="12"/>
        <v>0</v>
      </c>
      <c r="BE30" s="203"/>
      <c r="BF30" s="204">
        <f t="shared" si="34"/>
        <v>0</v>
      </c>
      <c r="BG30" s="204">
        <f t="shared" si="13"/>
        <v>0</v>
      </c>
      <c r="BH30" s="203"/>
      <c r="BI30" s="204">
        <f t="shared" si="35"/>
        <v>0</v>
      </c>
      <c r="BJ30" s="204">
        <f t="shared" si="14"/>
        <v>0</v>
      </c>
      <c r="BK30" s="203"/>
      <c r="BL30" s="204">
        <f t="shared" si="36"/>
        <v>0</v>
      </c>
      <c r="BM30" s="175">
        <f t="shared" si="37"/>
        <v>0</v>
      </c>
      <c r="BN30" s="205">
        <f t="shared" si="38"/>
        <v>0</v>
      </c>
      <c r="BO30" s="177"/>
      <c r="BP30" s="200">
        <f t="shared" si="15"/>
        <v>0</v>
      </c>
      <c r="BQ30" s="201"/>
      <c r="BR30" s="206">
        <f t="shared" si="39"/>
        <v>0</v>
      </c>
      <c r="BS30" s="204">
        <f t="shared" si="16"/>
        <v>0</v>
      </c>
      <c r="BT30" s="203"/>
      <c r="BU30" s="204">
        <f t="shared" si="40"/>
        <v>0</v>
      </c>
      <c r="BV30" s="204">
        <f t="shared" si="17"/>
        <v>0</v>
      </c>
      <c r="BW30" s="203"/>
      <c r="BX30" s="204">
        <f t="shared" si="41"/>
        <v>0</v>
      </c>
      <c r="BY30" s="204">
        <f t="shared" si="18"/>
        <v>0</v>
      </c>
      <c r="BZ30" s="203"/>
      <c r="CA30" s="204">
        <f t="shared" si="42"/>
        <v>0</v>
      </c>
      <c r="CB30" s="204">
        <f t="shared" si="19"/>
        <v>0</v>
      </c>
      <c r="CC30" s="203"/>
      <c r="CD30" s="204">
        <f t="shared" si="43"/>
        <v>0</v>
      </c>
      <c r="CE30" s="175">
        <f t="shared" si="44"/>
        <v>0</v>
      </c>
      <c r="CF30" s="200">
        <f t="shared" si="20"/>
        <v>0</v>
      </c>
      <c r="CG30" s="203"/>
      <c r="CH30" s="207">
        <f t="shared" si="45"/>
        <v>0</v>
      </c>
      <c r="CI30" s="182"/>
      <c r="CJ30" s="208">
        <f t="shared" si="46"/>
        <v>0</v>
      </c>
      <c r="CK30" s="200">
        <f t="shared" si="21"/>
        <v>0</v>
      </c>
      <c r="CL30" s="201"/>
      <c r="CM30" s="202">
        <f t="shared" si="47"/>
        <v>0</v>
      </c>
      <c r="CN30" s="200">
        <f t="shared" si="22"/>
        <v>0</v>
      </c>
      <c r="CO30" s="203"/>
      <c r="CP30" s="207">
        <f t="shared" si="48"/>
        <v>0</v>
      </c>
      <c r="CQ30" s="208">
        <f t="shared" si="49"/>
        <v>0</v>
      </c>
      <c r="CR30" s="185" t="str">
        <f t="shared" si="23"/>
        <v/>
      </c>
      <c r="CS30" s="186"/>
      <c r="CT30" s="187" t="str">
        <f t="shared" si="50"/>
        <v/>
      </c>
      <c r="CU30" s="188" t="str">
        <f t="shared" si="24"/>
        <v/>
      </c>
      <c r="CV30" s="189"/>
      <c r="CW30" s="190" t="str">
        <f t="shared" si="51"/>
        <v/>
      </c>
      <c r="CX30" s="209" t="str">
        <f t="shared" si="52"/>
        <v/>
      </c>
      <c r="CY30" s="210"/>
      <c r="DA30" s="53">
        <f>IF(AND(CT30&lt;&gt;"",OR(CT30&lt;EXPEDIENTE!$I$25,CT30&gt;EXPEDIENTE!$I$29)),1,0)</f>
        <v>0</v>
      </c>
      <c r="DB30" s="53">
        <f>IF(AND(CW30&lt;&gt;"",OR(CW30&lt;EXPEDIENTE!$I$25,CW30&gt;EXPEDIENTE!$I$29)),1,0)</f>
        <v>0</v>
      </c>
      <c r="DD30" s="55">
        <f t="shared" si="25"/>
        <v>0</v>
      </c>
      <c r="DE30" s="55">
        <f t="shared" si="53"/>
        <v>0</v>
      </c>
      <c r="DF30" s="55">
        <f t="shared" si="54"/>
        <v>0</v>
      </c>
      <c r="DG30" s="55">
        <f t="shared" si="55"/>
        <v>0</v>
      </c>
      <c r="DH30" s="55">
        <f t="shared" si="56"/>
        <v>0</v>
      </c>
      <c r="DI30" s="55">
        <f t="shared" si="57"/>
        <v>0</v>
      </c>
      <c r="DJ30" s="55">
        <f t="shared" si="58"/>
        <v>0</v>
      </c>
      <c r="DK30" s="55">
        <f t="shared" si="59"/>
        <v>0</v>
      </c>
      <c r="DL30" s="55">
        <f t="shared" si="60"/>
        <v>0</v>
      </c>
      <c r="DM30" s="55">
        <f t="shared" si="61"/>
        <v>0</v>
      </c>
      <c r="DN30" s="55">
        <f t="shared" si="62"/>
        <v>0</v>
      </c>
      <c r="DO30" s="55">
        <f t="shared" si="63"/>
        <v>0</v>
      </c>
      <c r="DP30" s="55">
        <f t="shared" si="64"/>
        <v>0</v>
      </c>
      <c r="DQ30" s="55">
        <f t="shared" si="65"/>
        <v>0</v>
      </c>
      <c r="DR30" s="55">
        <f t="shared" si="66"/>
        <v>0</v>
      </c>
      <c r="DS30" s="55">
        <f t="shared" si="67"/>
        <v>0</v>
      </c>
      <c r="DT30" s="55">
        <f t="shared" si="68"/>
        <v>0</v>
      </c>
      <c r="DU30" s="55">
        <f t="shared" si="69"/>
        <v>0</v>
      </c>
      <c r="DW30" s="55">
        <f>IF(CY30&lt;&gt;"",MAX($DW$9:DW29)+1,0)</f>
        <v>0</v>
      </c>
      <c r="DX30" s="130" t="str">
        <f t="shared" si="70"/>
        <v/>
      </c>
    </row>
    <row r="31" spans="2:128" ht="30" customHeight="1" thickBot="1" x14ac:dyDescent="0.3">
      <c r="B31" s="972"/>
      <c r="C31" s="984" t="s">
        <v>281</v>
      </c>
      <c r="D31" s="985"/>
      <c r="E31" s="211"/>
      <c r="F31" s="212"/>
      <c r="G31" s="213"/>
      <c r="H31" s="213"/>
      <c r="I31" s="213"/>
      <c r="J31" s="213"/>
      <c r="K31" s="213"/>
      <c r="L31" s="268">
        <f t="shared" si="26"/>
        <v>0</v>
      </c>
      <c r="M31" s="690">
        <f t="shared" si="71"/>
        <v>0</v>
      </c>
      <c r="N31" s="161"/>
      <c r="O31" s="215"/>
      <c r="P31" s="216"/>
      <c r="Q31" s="216"/>
      <c r="R31" s="216"/>
      <c r="S31" s="216"/>
      <c r="T31" s="227">
        <f t="shared" si="27"/>
        <v>0</v>
      </c>
      <c r="U31" s="217"/>
      <c r="V31" s="163"/>
      <c r="W31" s="690">
        <f t="shared" si="72"/>
        <v>0</v>
      </c>
      <c r="X31" s="212"/>
      <c r="Y31" s="213"/>
      <c r="Z31" s="268">
        <f t="shared" si="28"/>
        <v>0</v>
      </c>
      <c r="AA31" s="218"/>
      <c r="AB31" s="219"/>
      <c r="AC31" s="324"/>
      <c r="AD31" s="325"/>
      <c r="AE31" s="220"/>
      <c r="AF31" s="357"/>
      <c r="AG31" s="53">
        <f>IF(AND(AA31&lt;&gt;"",OR(AA31&lt;EXPEDIENTE!$I$25,AA31&gt;EXPEDIENTE!$I$29)),1,0)</f>
        <v>0</v>
      </c>
      <c r="AH31" s="53">
        <f>IF(AND(AB31&lt;&gt;"",OR(AB31&lt;EXPEDIENTE!$I$25,AB31&gt;EXPEDIENTE!$I$29)),1,0)</f>
        <v>0</v>
      </c>
      <c r="AI31" s="53">
        <f>IF(DATE(YEAR(EXPEDIENTE!$I$25)+3,MONTH(DATEVALUE($C31&amp;"1")),1)&gt;=DATE(YEAR(EXPEDIENTE!$I$25),MONTH(EXPEDIENTE!$I$25),1),0,1)</f>
        <v>0</v>
      </c>
      <c r="AJ31" s="53" t="e">
        <f>IF(DATE(YEAR(EXPEDIENTE!$I$25)+3,MONTH(DATEVALUE($C31&amp;"1")),1)&lt;=DATE(YEAR(EXPEDIENTE!$I$27),MONTH(EXPEDIENTE!$I$27),1),0,1)</f>
        <v>#VALUE!</v>
      </c>
      <c r="AK31" s="53" t="e">
        <f t="shared" si="29"/>
        <v>#VALUE!</v>
      </c>
      <c r="AM31" s="1014"/>
      <c r="AN31" s="891" t="s">
        <v>281</v>
      </c>
      <c r="AO31" s="892"/>
      <c r="AP31" s="1040"/>
      <c r="AQ31" s="1041"/>
      <c r="AR31" s="221">
        <f t="shared" si="8"/>
        <v>0</v>
      </c>
      <c r="AS31" s="222"/>
      <c r="AT31" s="223">
        <f t="shared" si="30"/>
        <v>0</v>
      </c>
      <c r="AU31" s="224">
        <f t="shared" si="9"/>
        <v>0</v>
      </c>
      <c r="AV31" s="225"/>
      <c r="AW31" s="226">
        <f t="shared" si="31"/>
        <v>0</v>
      </c>
      <c r="AX31" s="224">
        <f t="shared" si="10"/>
        <v>0</v>
      </c>
      <c r="AY31" s="227"/>
      <c r="AZ31" s="228">
        <f t="shared" si="32"/>
        <v>0</v>
      </c>
      <c r="BA31" s="228">
        <f t="shared" si="11"/>
        <v>0</v>
      </c>
      <c r="BB31" s="227"/>
      <c r="BC31" s="228">
        <f t="shared" si="33"/>
        <v>0</v>
      </c>
      <c r="BD31" s="228">
        <f t="shared" si="12"/>
        <v>0</v>
      </c>
      <c r="BE31" s="227"/>
      <c r="BF31" s="228">
        <f t="shared" si="34"/>
        <v>0</v>
      </c>
      <c r="BG31" s="228">
        <f t="shared" si="13"/>
        <v>0</v>
      </c>
      <c r="BH31" s="227"/>
      <c r="BI31" s="228">
        <f t="shared" si="35"/>
        <v>0</v>
      </c>
      <c r="BJ31" s="228">
        <f t="shared" si="14"/>
        <v>0</v>
      </c>
      <c r="BK31" s="227"/>
      <c r="BL31" s="228">
        <f t="shared" si="36"/>
        <v>0</v>
      </c>
      <c r="BM31" s="229">
        <f t="shared" si="37"/>
        <v>0</v>
      </c>
      <c r="BN31" s="230">
        <f t="shared" si="38"/>
        <v>0</v>
      </c>
      <c r="BO31" s="177"/>
      <c r="BP31" s="224">
        <f t="shared" si="15"/>
        <v>0</v>
      </c>
      <c r="BQ31" s="225"/>
      <c r="BR31" s="231">
        <f t="shared" si="39"/>
        <v>0</v>
      </c>
      <c r="BS31" s="228">
        <f t="shared" si="16"/>
        <v>0</v>
      </c>
      <c r="BT31" s="227"/>
      <c r="BU31" s="228">
        <f t="shared" si="40"/>
        <v>0</v>
      </c>
      <c r="BV31" s="228">
        <f t="shared" si="17"/>
        <v>0</v>
      </c>
      <c r="BW31" s="227"/>
      <c r="BX31" s="228">
        <f t="shared" si="41"/>
        <v>0</v>
      </c>
      <c r="BY31" s="228">
        <f t="shared" si="18"/>
        <v>0</v>
      </c>
      <c r="BZ31" s="227"/>
      <c r="CA31" s="228">
        <f t="shared" si="42"/>
        <v>0</v>
      </c>
      <c r="CB31" s="228">
        <f t="shared" si="19"/>
        <v>0</v>
      </c>
      <c r="CC31" s="227"/>
      <c r="CD31" s="228">
        <f t="shared" si="43"/>
        <v>0</v>
      </c>
      <c r="CE31" s="229">
        <f t="shared" si="44"/>
        <v>0</v>
      </c>
      <c r="CF31" s="224">
        <f t="shared" si="20"/>
        <v>0</v>
      </c>
      <c r="CG31" s="227"/>
      <c r="CH31" s="232">
        <f t="shared" si="45"/>
        <v>0</v>
      </c>
      <c r="CI31" s="182"/>
      <c r="CJ31" s="230">
        <f t="shared" si="46"/>
        <v>0</v>
      </c>
      <c r="CK31" s="224">
        <f t="shared" si="21"/>
        <v>0</v>
      </c>
      <c r="CL31" s="225"/>
      <c r="CM31" s="226">
        <f t="shared" si="47"/>
        <v>0</v>
      </c>
      <c r="CN31" s="224">
        <f t="shared" si="22"/>
        <v>0</v>
      </c>
      <c r="CO31" s="227"/>
      <c r="CP31" s="232">
        <f t="shared" si="48"/>
        <v>0</v>
      </c>
      <c r="CQ31" s="230">
        <f t="shared" si="49"/>
        <v>0</v>
      </c>
      <c r="CR31" s="233" t="str">
        <f t="shared" si="23"/>
        <v/>
      </c>
      <c r="CS31" s="234"/>
      <c r="CT31" s="235" t="str">
        <f t="shared" si="50"/>
        <v/>
      </c>
      <c r="CU31" s="236" t="str">
        <f t="shared" si="24"/>
        <v/>
      </c>
      <c r="CV31" s="237"/>
      <c r="CW31" s="238" t="str">
        <f t="shared" si="51"/>
        <v/>
      </c>
      <c r="CX31" s="239" t="str">
        <f t="shared" si="52"/>
        <v/>
      </c>
      <c r="CY31" s="240"/>
      <c r="DA31" s="53">
        <f>IF(AND(CT31&lt;&gt;"",OR(CT31&lt;EXPEDIENTE!$I$25,CT31&gt;EXPEDIENTE!$I$29)),1,0)</f>
        <v>0</v>
      </c>
      <c r="DB31" s="53">
        <f>IF(AND(CW31&lt;&gt;"",OR(CW31&lt;EXPEDIENTE!$I$25,CW31&gt;EXPEDIENTE!$I$29)),1,0)</f>
        <v>0</v>
      </c>
      <c r="DD31" s="55">
        <f t="shared" si="25"/>
        <v>0</v>
      </c>
      <c r="DE31" s="55">
        <f t="shared" si="53"/>
        <v>0</v>
      </c>
      <c r="DF31" s="55">
        <f t="shared" si="54"/>
        <v>0</v>
      </c>
      <c r="DG31" s="55">
        <f t="shared" si="55"/>
        <v>0</v>
      </c>
      <c r="DH31" s="55">
        <f t="shared" si="56"/>
        <v>0</v>
      </c>
      <c r="DI31" s="55">
        <f t="shared" si="57"/>
        <v>0</v>
      </c>
      <c r="DJ31" s="55">
        <f t="shared" si="58"/>
        <v>0</v>
      </c>
      <c r="DK31" s="55">
        <f t="shared" si="59"/>
        <v>0</v>
      </c>
      <c r="DL31" s="55">
        <f t="shared" si="60"/>
        <v>0</v>
      </c>
      <c r="DM31" s="55">
        <f t="shared" si="61"/>
        <v>0</v>
      </c>
      <c r="DN31" s="55">
        <f t="shared" si="62"/>
        <v>0</v>
      </c>
      <c r="DO31" s="55">
        <f t="shared" si="63"/>
        <v>0</v>
      </c>
      <c r="DP31" s="55">
        <f t="shared" si="64"/>
        <v>0</v>
      </c>
      <c r="DQ31" s="55">
        <f t="shared" si="65"/>
        <v>0</v>
      </c>
      <c r="DR31" s="55">
        <f t="shared" si="66"/>
        <v>0</v>
      </c>
      <c r="DS31" s="55">
        <f t="shared" si="67"/>
        <v>0</v>
      </c>
      <c r="DT31" s="55">
        <f t="shared" si="68"/>
        <v>0</v>
      </c>
      <c r="DU31" s="55">
        <f t="shared" si="69"/>
        <v>0</v>
      </c>
      <c r="DW31" s="55">
        <f>IF(CY31&lt;&gt;"",MAX($DW$9:DW30)+1,0)</f>
        <v>0</v>
      </c>
      <c r="DX31" s="130" t="str">
        <f t="shared" si="70"/>
        <v/>
      </c>
    </row>
    <row r="32" spans="2:128" ht="9.9499999999999993" customHeight="1" thickBot="1" x14ac:dyDescent="0.3">
      <c r="B32" s="972"/>
      <c r="C32" s="336"/>
      <c r="D32" s="337"/>
      <c r="E32" s="337"/>
      <c r="F32" s="337"/>
      <c r="G32" s="337"/>
      <c r="H32" s="337"/>
      <c r="I32" s="337"/>
      <c r="J32" s="337"/>
      <c r="K32" s="337"/>
      <c r="L32" s="337"/>
      <c r="M32" s="338"/>
      <c r="N32" s="349"/>
      <c r="O32" s="350"/>
      <c r="P32" s="350"/>
      <c r="Q32" s="350"/>
      <c r="R32" s="350"/>
      <c r="S32" s="350"/>
      <c r="T32" s="350"/>
      <c r="U32" s="350"/>
      <c r="V32" s="351"/>
      <c r="W32" s="339"/>
      <c r="X32" s="337"/>
      <c r="Y32" s="337"/>
      <c r="Z32" s="337"/>
      <c r="AA32" s="337"/>
      <c r="AB32" s="337"/>
      <c r="AC32" s="337"/>
      <c r="AD32" s="337"/>
      <c r="AE32" s="340"/>
      <c r="AF32" s="357"/>
      <c r="AM32" s="1014"/>
      <c r="AN32" s="379"/>
      <c r="AO32" s="380"/>
      <c r="AP32" s="380"/>
      <c r="AQ32" s="380"/>
      <c r="AR32" s="380"/>
      <c r="AS32" s="380"/>
      <c r="AT32" s="380"/>
      <c r="AU32" s="380"/>
      <c r="AV32" s="380"/>
      <c r="AW32" s="380"/>
      <c r="AX32" s="380"/>
      <c r="AY32" s="380"/>
      <c r="AZ32" s="380"/>
      <c r="BA32" s="380"/>
      <c r="BB32" s="380"/>
      <c r="BC32" s="380"/>
      <c r="BD32" s="380"/>
      <c r="BE32" s="380"/>
      <c r="BF32" s="380"/>
      <c r="BG32" s="380"/>
      <c r="BH32" s="380"/>
      <c r="BI32" s="380"/>
      <c r="BJ32" s="380"/>
      <c r="BK32" s="380"/>
      <c r="BL32" s="380"/>
      <c r="BM32" s="380"/>
      <c r="BN32" s="381"/>
      <c r="BO32" s="241"/>
      <c r="BP32" s="242"/>
      <c r="BQ32" s="242"/>
      <c r="BR32" s="242"/>
      <c r="BS32" s="242"/>
      <c r="BT32" s="242"/>
      <c r="BU32" s="242"/>
      <c r="BV32" s="242"/>
      <c r="BW32" s="242"/>
      <c r="BX32" s="242"/>
      <c r="BY32" s="242"/>
      <c r="BZ32" s="242"/>
      <c r="CA32" s="242"/>
      <c r="CB32" s="242"/>
      <c r="CC32" s="242"/>
      <c r="CD32" s="242"/>
      <c r="CE32" s="242"/>
      <c r="CF32" s="242"/>
      <c r="CG32" s="242"/>
      <c r="CH32" s="242"/>
      <c r="CI32" s="243"/>
      <c r="CJ32" s="384"/>
      <c r="CK32" s="380"/>
      <c r="CL32" s="380"/>
      <c r="CM32" s="380"/>
      <c r="CN32" s="380"/>
      <c r="CO32" s="380"/>
      <c r="CP32" s="380"/>
      <c r="CQ32" s="380"/>
      <c r="CR32" s="380"/>
      <c r="CS32" s="380"/>
      <c r="CT32" s="380"/>
      <c r="CU32" s="380"/>
      <c r="CV32" s="380"/>
      <c r="CW32" s="380"/>
      <c r="CX32" s="380"/>
      <c r="CY32" s="385"/>
    </row>
    <row r="33" spans="2:128" ht="9.9499999999999993" customHeight="1" thickBot="1" x14ac:dyDescent="0.3">
      <c r="B33" s="972"/>
      <c r="C33" s="348"/>
      <c r="D33" s="346"/>
      <c r="E33" s="346"/>
      <c r="F33" s="346"/>
      <c r="G33" s="346"/>
      <c r="H33" s="346"/>
      <c r="I33" s="346"/>
      <c r="J33" s="346"/>
      <c r="K33" s="346"/>
      <c r="L33" s="346"/>
      <c r="M33" s="346"/>
      <c r="N33" s="346"/>
      <c r="O33" s="346"/>
      <c r="P33" s="346"/>
      <c r="Q33" s="346"/>
      <c r="R33" s="346"/>
      <c r="S33" s="346"/>
      <c r="T33" s="346"/>
      <c r="U33" s="346"/>
      <c r="V33" s="346"/>
      <c r="W33" s="346"/>
      <c r="X33" s="346"/>
      <c r="Y33" s="346"/>
      <c r="Z33" s="346"/>
      <c r="AA33" s="346"/>
      <c r="AB33" s="346"/>
      <c r="AC33" s="346"/>
      <c r="AD33" s="346"/>
      <c r="AE33" s="347"/>
      <c r="AF33" s="357"/>
      <c r="AM33" s="1014"/>
      <c r="AN33" s="377"/>
      <c r="AO33" s="378"/>
      <c r="AP33" s="378"/>
      <c r="AQ33" s="378"/>
      <c r="AR33" s="378"/>
      <c r="AS33" s="378"/>
      <c r="AT33" s="378"/>
      <c r="AU33" s="378"/>
      <c r="AV33" s="378"/>
      <c r="AW33" s="378"/>
      <c r="AX33" s="378"/>
      <c r="AY33" s="378"/>
      <c r="AZ33" s="378"/>
      <c r="BA33" s="378"/>
      <c r="BB33" s="378"/>
      <c r="BC33" s="378"/>
      <c r="BD33" s="378"/>
      <c r="BE33" s="378"/>
      <c r="BF33" s="378"/>
      <c r="BG33" s="378"/>
      <c r="BH33" s="378"/>
      <c r="BI33" s="378"/>
      <c r="BJ33" s="378"/>
      <c r="BK33" s="378"/>
      <c r="BL33" s="378"/>
      <c r="BM33" s="378"/>
      <c r="BN33" s="378"/>
      <c r="BO33" s="378"/>
      <c r="BP33" s="378"/>
      <c r="BQ33" s="378"/>
      <c r="BR33" s="378"/>
      <c r="BS33" s="378"/>
      <c r="BT33" s="378"/>
      <c r="BU33" s="378"/>
      <c r="BV33" s="378"/>
      <c r="BW33" s="378"/>
      <c r="BX33" s="378"/>
      <c r="BY33" s="378"/>
      <c r="BZ33" s="378"/>
      <c r="CA33" s="378"/>
      <c r="CB33" s="378"/>
      <c r="CC33" s="378"/>
      <c r="CD33" s="378"/>
      <c r="CE33" s="378"/>
      <c r="CF33" s="378"/>
      <c r="CG33" s="378"/>
      <c r="CH33" s="378"/>
      <c r="CI33" s="378"/>
      <c r="CJ33" s="378"/>
      <c r="CK33" s="378"/>
      <c r="CL33" s="378"/>
      <c r="CM33" s="378"/>
      <c r="CN33" s="378"/>
      <c r="CO33" s="378"/>
      <c r="CP33" s="378"/>
      <c r="CQ33" s="378"/>
      <c r="CR33" s="378"/>
      <c r="CS33" s="378"/>
      <c r="CT33" s="378"/>
      <c r="CU33" s="378"/>
      <c r="CV33" s="378"/>
      <c r="CW33" s="378"/>
      <c r="CX33" s="378"/>
      <c r="CY33" s="383"/>
    </row>
    <row r="34" spans="2:128" s="244" customFormat="1" ht="54.95" customHeight="1" thickTop="1" thickBot="1" x14ac:dyDescent="0.3">
      <c r="B34" s="972"/>
      <c r="C34" s="983" t="s">
        <v>282</v>
      </c>
      <c r="D34" s="983"/>
      <c r="E34" s="983"/>
      <c r="F34" s="983"/>
      <c r="G34" s="983"/>
      <c r="H34" s="983"/>
      <c r="I34" s="983"/>
      <c r="J34" s="983"/>
      <c r="K34" s="983"/>
      <c r="L34" s="983"/>
      <c r="M34" s="983"/>
      <c r="N34" s="983"/>
      <c r="O34" s="983"/>
      <c r="P34" s="983"/>
      <c r="Q34" s="983"/>
      <c r="R34" s="983"/>
      <c r="S34" s="983"/>
      <c r="T34" s="983"/>
      <c r="U34" s="983"/>
      <c r="V34" s="983"/>
      <c r="W34" s="983"/>
      <c r="X34" s="983"/>
      <c r="Y34" s="983"/>
      <c r="Z34" s="983"/>
      <c r="AA34" s="983"/>
      <c r="AB34" s="983"/>
      <c r="AC34" s="983"/>
      <c r="AD34" s="983"/>
      <c r="AE34" s="983"/>
      <c r="AF34" s="357"/>
      <c r="AG34" s="53"/>
      <c r="AH34" s="53"/>
      <c r="AI34" s="245"/>
      <c r="AJ34" s="245"/>
      <c r="AK34" s="245"/>
      <c r="AM34" s="1014"/>
      <c r="AN34" s="1019" t="s">
        <v>282</v>
      </c>
      <c r="AO34" s="1019"/>
      <c r="AP34" s="1019"/>
      <c r="AQ34" s="1019"/>
      <c r="AR34" s="1019"/>
      <c r="AS34" s="1019"/>
      <c r="AT34" s="1019"/>
      <c r="AU34" s="1019"/>
      <c r="AV34" s="1019"/>
      <c r="AW34" s="1019"/>
      <c r="AX34" s="1019"/>
      <c r="AY34" s="1019"/>
      <c r="AZ34" s="1019"/>
      <c r="BA34" s="1019"/>
      <c r="BB34" s="1019"/>
      <c r="BC34" s="1019"/>
      <c r="BD34" s="1019"/>
      <c r="BE34" s="1019"/>
      <c r="BF34" s="1019"/>
      <c r="BG34" s="1019"/>
      <c r="BH34" s="1019"/>
      <c r="BI34" s="1019"/>
      <c r="BJ34" s="1019"/>
      <c r="BK34" s="1019"/>
      <c r="BL34" s="1019"/>
      <c r="BM34" s="1019"/>
      <c r="BN34" s="1019"/>
      <c r="BO34" s="1019"/>
      <c r="BP34" s="1019"/>
      <c r="BQ34" s="1019"/>
      <c r="BR34" s="1019"/>
      <c r="BS34" s="1019"/>
      <c r="BT34" s="1019"/>
      <c r="BU34" s="1019"/>
      <c r="BV34" s="1019"/>
      <c r="BW34" s="1019"/>
      <c r="BX34" s="1019"/>
      <c r="BY34" s="1019"/>
      <c r="BZ34" s="1019"/>
      <c r="CA34" s="1019"/>
      <c r="CB34" s="1019"/>
      <c r="CC34" s="1019"/>
      <c r="CD34" s="1019"/>
      <c r="CE34" s="1019"/>
      <c r="CF34" s="1019"/>
      <c r="CG34" s="1019"/>
      <c r="CH34" s="1019"/>
      <c r="CI34" s="1019"/>
      <c r="CJ34" s="1019"/>
      <c r="CK34" s="1019"/>
      <c r="CL34" s="1019"/>
      <c r="CM34" s="1019"/>
      <c r="CN34" s="1019"/>
      <c r="CO34" s="1019"/>
      <c r="CP34" s="1019"/>
      <c r="CQ34" s="1019"/>
      <c r="CR34" s="1019"/>
      <c r="CS34" s="1019"/>
      <c r="CT34" s="1019"/>
      <c r="CU34" s="1019"/>
      <c r="CV34" s="1019"/>
      <c r="CW34" s="1019"/>
      <c r="CX34" s="1019"/>
      <c r="CY34" s="1020"/>
      <c r="DA34" s="53"/>
      <c r="DB34" s="53"/>
      <c r="DD34" s="245"/>
      <c r="DE34" s="245"/>
      <c r="DF34" s="245"/>
      <c r="DG34" s="245"/>
      <c r="DH34" s="245"/>
      <c r="DI34" s="245"/>
      <c r="DJ34" s="245"/>
      <c r="DK34" s="245"/>
      <c r="DL34" s="245"/>
      <c r="DM34" s="245"/>
      <c r="DN34" s="245"/>
      <c r="DO34" s="245"/>
      <c r="DP34" s="245"/>
      <c r="DQ34" s="245"/>
      <c r="DR34" s="245"/>
      <c r="DS34" s="245"/>
      <c r="DT34" s="245"/>
      <c r="DU34" s="245"/>
    </row>
    <row r="35" spans="2:128" ht="20.100000000000001" customHeight="1" thickTop="1" thickBot="1" x14ac:dyDescent="0.3">
      <c r="B35" s="972"/>
      <c r="C35" s="957" t="s">
        <v>193</v>
      </c>
      <c r="D35" s="958"/>
      <c r="E35" s="958"/>
      <c r="F35" s="959" t="s">
        <v>194</v>
      </c>
      <c r="G35" s="959"/>
      <c r="H35" s="959"/>
      <c r="I35" s="959"/>
      <c r="J35" s="959"/>
      <c r="K35" s="959"/>
      <c r="L35" s="959"/>
      <c r="M35" s="960"/>
      <c r="N35" s="968" t="s">
        <v>195</v>
      </c>
      <c r="O35" s="969"/>
      <c r="P35" s="969"/>
      <c r="Q35" s="969"/>
      <c r="R35" s="969"/>
      <c r="S35" s="969"/>
      <c r="T35" s="969"/>
      <c r="U35" s="969"/>
      <c r="V35" s="970"/>
      <c r="W35" s="961" t="s">
        <v>196</v>
      </c>
      <c r="X35" s="953" t="s">
        <v>197</v>
      </c>
      <c r="Y35" s="898" t="s">
        <v>198</v>
      </c>
      <c r="Z35" s="898" t="s">
        <v>199</v>
      </c>
      <c r="AA35" s="898" t="s">
        <v>200</v>
      </c>
      <c r="AB35" s="900" t="s">
        <v>201</v>
      </c>
      <c r="AC35" s="953" t="s">
        <v>202</v>
      </c>
      <c r="AD35" s="900" t="s">
        <v>203</v>
      </c>
      <c r="AE35" s="1009" t="s">
        <v>204</v>
      </c>
      <c r="AF35" s="358"/>
      <c r="AM35" s="1014"/>
      <c r="AN35" s="939" t="s">
        <v>193</v>
      </c>
      <c r="AO35" s="940"/>
      <c r="AP35" s="940"/>
      <c r="AQ35" s="940"/>
      <c r="AR35" s="940"/>
      <c r="AS35" s="940"/>
      <c r="AT35" s="942"/>
      <c r="AU35" s="888" t="s">
        <v>194</v>
      </c>
      <c r="AV35" s="889"/>
      <c r="AW35" s="889"/>
      <c r="AX35" s="889"/>
      <c r="AY35" s="889"/>
      <c r="AZ35" s="889"/>
      <c r="BA35" s="889"/>
      <c r="BB35" s="889"/>
      <c r="BC35" s="889"/>
      <c r="BD35" s="889"/>
      <c r="BE35" s="889"/>
      <c r="BF35" s="889"/>
      <c r="BG35" s="889"/>
      <c r="BH35" s="889"/>
      <c r="BI35" s="889"/>
      <c r="BJ35" s="889"/>
      <c r="BK35" s="889"/>
      <c r="BL35" s="889"/>
      <c r="BM35" s="889"/>
      <c r="BN35" s="890"/>
      <c r="BO35" s="916" t="s">
        <v>301</v>
      </c>
      <c r="BP35" s="917"/>
      <c r="BQ35" s="917"/>
      <c r="BR35" s="917"/>
      <c r="BS35" s="917"/>
      <c r="BT35" s="917"/>
      <c r="BU35" s="917"/>
      <c r="BV35" s="917"/>
      <c r="BW35" s="917"/>
      <c r="BX35" s="917"/>
      <c r="BY35" s="917"/>
      <c r="BZ35" s="917"/>
      <c r="CA35" s="917"/>
      <c r="CB35" s="917"/>
      <c r="CC35" s="917"/>
      <c r="CD35" s="917"/>
      <c r="CE35" s="917"/>
      <c r="CF35" s="917"/>
      <c r="CG35" s="918"/>
      <c r="CH35" s="918"/>
      <c r="CI35" s="919"/>
      <c r="CJ35" s="922" t="s">
        <v>196</v>
      </c>
      <c r="CK35" s="816" t="s">
        <v>208</v>
      </c>
      <c r="CL35" s="817"/>
      <c r="CM35" s="818"/>
      <c r="CN35" s="816" t="s">
        <v>209</v>
      </c>
      <c r="CO35" s="817"/>
      <c r="CP35" s="818"/>
      <c r="CQ35" s="885" t="s">
        <v>199</v>
      </c>
      <c r="CR35" s="827" t="s">
        <v>210</v>
      </c>
      <c r="CS35" s="828"/>
      <c r="CT35" s="829"/>
      <c r="CU35" s="830" t="s">
        <v>211</v>
      </c>
      <c r="CV35" s="831"/>
      <c r="CW35" s="832"/>
      <c r="CX35" s="847" t="s">
        <v>212</v>
      </c>
      <c r="CY35" s="838" t="s">
        <v>302</v>
      </c>
    </row>
    <row r="36" spans="2:128" ht="15" customHeight="1" x14ac:dyDescent="0.25">
      <c r="B36" s="972"/>
      <c r="C36" s="974" t="s">
        <v>283</v>
      </c>
      <c r="D36" s="897" t="s">
        <v>284</v>
      </c>
      <c r="E36" s="986"/>
      <c r="F36" s="951" t="s">
        <v>216</v>
      </c>
      <c r="G36" s="897" t="s">
        <v>217</v>
      </c>
      <c r="H36" s="897"/>
      <c r="I36" s="897"/>
      <c r="J36" s="897"/>
      <c r="K36" s="897"/>
      <c r="L36" s="1012"/>
      <c r="M36" s="902" t="s">
        <v>218</v>
      </c>
      <c r="N36" s="143"/>
      <c r="O36" s="896" t="s">
        <v>219</v>
      </c>
      <c r="P36" s="897"/>
      <c r="Q36" s="897"/>
      <c r="R36" s="897"/>
      <c r="S36" s="897"/>
      <c r="T36" s="897"/>
      <c r="U36" s="902" t="s">
        <v>220</v>
      </c>
      <c r="V36" s="144"/>
      <c r="W36" s="961"/>
      <c r="X36" s="953"/>
      <c r="Y36" s="898"/>
      <c r="Z36" s="898"/>
      <c r="AA36" s="898"/>
      <c r="AB36" s="900"/>
      <c r="AC36" s="953"/>
      <c r="AD36" s="900"/>
      <c r="AE36" s="1010"/>
      <c r="AF36" s="357"/>
      <c r="AM36" s="1014"/>
      <c r="AN36" s="920" t="s">
        <v>283</v>
      </c>
      <c r="AO36" s="862" t="s">
        <v>284</v>
      </c>
      <c r="AP36" s="863"/>
      <c r="AQ36" s="864"/>
      <c r="AR36" s="862" t="s">
        <v>284</v>
      </c>
      <c r="AS36" s="863"/>
      <c r="AT36" s="864"/>
      <c r="AU36" s="865" t="s">
        <v>221</v>
      </c>
      <c r="AV36" s="866"/>
      <c r="AW36" s="867"/>
      <c r="AX36" s="909" t="s">
        <v>217</v>
      </c>
      <c r="AY36" s="911"/>
      <c r="AZ36" s="911"/>
      <c r="BA36" s="911"/>
      <c r="BB36" s="911"/>
      <c r="BC36" s="911"/>
      <c r="BD36" s="911"/>
      <c r="BE36" s="911"/>
      <c r="BF36" s="911"/>
      <c r="BG36" s="911"/>
      <c r="BH36" s="911"/>
      <c r="BI36" s="911"/>
      <c r="BJ36" s="911"/>
      <c r="BK36" s="911"/>
      <c r="BL36" s="911"/>
      <c r="BM36" s="912"/>
      <c r="BN36" s="937" t="s">
        <v>222</v>
      </c>
      <c r="BO36" s="145"/>
      <c r="BP36" s="909" t="s">
        <v>303</v>
      </c>
      <c r="BQ36" s="910"/>
      <c r="BR36" s="910"/>
      <c r="BS36" s="911"/>
      <c r="BT36" s="911"/>
      <c r="BU36" s="911"/>
      <c r="BV36" s="911"/>
      <c r="BW36" s="911"/>
      <c r="BX36" s="911"/>
      <c r="BY36" s="911"/>
      <c r="BZ36" s="911"/>
      <c r="CA36" s="911"/>
      <c r="CB36" s="911"/>
      <c r="CC36" s="911"/>
      <c r="CD36" s="911"/>
      <c r="CE36" s="912"/>
      <c r="CF36" s="813" t="s">
        <v>224</v>
      </c>
      <c r="CG36" s="814"/>
      <c r="CH36" s="815"/>
      <c r="CI36" s="146"/>
      <c r="CJ36" s="923"/>
      <c r="CK36" s="819" t="s">
        <v>161</v>
      </c>
      <c r="CL36" s="821" t="s">
        <v>68</v>
      </c>
      <c r="CM36" s="823" t="s">
        <v>162</v>
      </c>
      <c r="CN36" s="819" t="s">
        <v>161</v>
      </c>
      <c r="CO36" s="821" t="s">
        <v>68</v>
      </c>
      <c r="CP36" s="823" t="s">
        <v>162</v>
      </c>
      <c r="CQ36" s="886"/>
      <c r="CR36" s="819" t="s">
        <v>161</v>
      </c>
      <c r="CS36" s="821" t="s">
        <v>68</v>
      </c>
      <c r="CT36" s="823" t="s">
        <v>162</v>
      </c>
      <c r="CU36" s="819" t="s">
        <v>161</v>
      </c>
      <c r="CV36" s="821" t="s">
        <v>68</v>
      </c>
      <c r="CW36" s="823" t="s">
        <v>162</v>
      </c>
      <c r="CX36" s="849"/>
      <c r="CY36" s="839"/>
    </row>
    <row r="37" spans="2:128" ht="45" customHeight="1" thickBot="1" x14ac:dyDescent="0.3">
      <c r="B37" s="972"/>
      <c r="C37" s="975"/>
      <c r="D37" s="329" t="s">
        <v>285</v>
      </c>
      <c r="E37" s="330" t="s">
        <v>286</v>
      </c>
      <c r="F37" s="952"/>
      <c r="G37" s="310" t="s">
        <v>225</v>
      </c>
      <c r="H37" s="310" t="s">
        <v>226</v>
      </c>
      <c r="I37" s="310" t="s">
        <v>227</v>
      </c>
      <c r="J37" s="310" t="s">
        <v>228</v>
      </c>
      <c r="K37" s="310" t="s">
        <v>229</v>
      </c>
      <c r="L37" s="311" t="s">
        <v>230</v>
      </c>
      <c r="M37" s="903"/>
      <c r="N37" s="147"/>
      <c r="O37" s="319" t="s">
        <v>231</v>
      </c>
      <c r="P37" s="310" t="s">
        <v>232</v>
      </c>
      <c r="Q37" s="310" t="s">
        <v>233</v>
      </c>
      <c r="R37" s="310" t="s">
        <v>234</v>
      </c>
      <c r="S37" s="310" t="s">
        <v>235</v>
      </c>
      <c r="T37" s="310" t="s">
        <v>236</v>
      </c>
      <c r="U37" s="903"/>
      <c r="V37" s="148"/>
      <c r="W37" s="962"/>
      <c r="X37" s="954"/>
      <c r="Y37" s="899"/>
      <c r="Z37" s="899"/>
      <c r="AA37" s="899"/>
      <c r="AB37" s="901"/>
      <c r="AC37" s="954"/>
      <c r="AD37" s="901"/>
      <c r="AE37" s="1011"/>
      <c r="AF37" s="357"/>
      <c r="AM37" s="1014"/>
      <c r="AN37" s="921"/>
      <c r="AO37" s="149" t="s">
        <v>287</v>
      </c>
      <c r="AP37" s="557" t="s">
        <v>288</v>
      </c>
      <c r="AQ37" s="150" t="s">
        <v>162</v>
      </c>
      <c r="AR37" s="149" t="s">
        <v>289</v>
      </c>
      <c r="AS37" s="557" t="s">
        <v>290</v>
      </c>
      <c r="AT37" s="150" t="s">
        <v>162</v>
      </c>
      <c r="AU37" s="149" t="s">
        <v>161</v>
      </c>
      <c r="AV37" s="554" t="s">
        <v>68</v>
      </c>
      <c r="AW37" s="150" t="s">
        <v>162</v>
      </c>
      <c r="AX37" s="151" t="s">
        <v>238</v>
      </c>
      <c r="AY37" s="555" t="s">
        <v>239</v>
      </c>
      <c r="AZ37" s="152" t="s">
        <v>240</v>
      </c>
      <c r="BA37" s="152" t="s">
        <v>241</v>
      </c>
      <c r="BB37" s="555" t="s">
        <v>242</v>
      </c>
      <c r="BC37" s="152" t="s">
        <v>243</v>
      </c>
      <c r="BD37" s="152" t="s">
        <v>244</v>
      </c>
      <c r="BE37" s="555" t="s">
        <v>245</v>
      </c>
      <c r="BF37" s="152" t="s">
        <v>246</v>
      </c>
      <c r="BG37" s="152" t="s">
        <v>247</v>
      </c>
      <c r="BH37" s="555" t="s">
        <v>248</v>
      </c>
      <c r="BI37" s="152" t="s">
        <v>249</v>
      </c>
      <c r="BJ37" s="152" t="s">
        <v>250</v>
      </c>
      <c r="BK37" s="555" t="s">
        <v>251</v>
      </c>
      <c r="BL37" s="152" t="s">
        <v>252</v>
      </c>
      <c r="BM37" s="373" t="s">
        <v>253</v>
      </c>
      <c r="BN37" s="938"/>
      <c r="BO37" s="154"/>
      <c r="BP37" s="151" t="s">
        <v>254</v>
      </c>
      <c r="BQ37" s="555" t="s">
        <v>255</v>
      </c>
      <c r="BR37" s="152" t="s">
        <v>256</v>
      </c>
      <c r="BS37" s="152" t="s">
        <v>257</v>
      </c>
      <c r="BT37" s="555" t="s">
        <v>258</v>
      </c>
      <c r="BU37" s="152" t="s">
        <v>259</v>
      </c>
      <c r="BV37" s="152" t="s">
        <v>260</v>
      </c>
      <c r="BW37" s="555" t="s">
        <v>261</v>
      </c>
      <c r="BX37" s="152" t="s">
        <v>262</v>
      </c>
      <c r="BY37" s="152" t="s">
        <v>263</v>
      </c>
      <c r="BZ37" s="555" t="s">
        <v>264</v>
      </c>
      <c r="CA37" s="152" t="s">
        <v>265</v>
      </c>
      <c r="CB37" s="152" t="s">
        <v>266</v>
      </c>
      <c r="CC37" s="555" t="s">
        <v>267</v>
      </c>
      <c r="CD37" s="152" t="s">
        <v>268</v>
      </c>
      <c r="CE37" s="373" t="s">
        <v>269</v>
      </c>
      <c r="CF37" s="155" t="s">
        <v>161</v>
      </c>
      <c r="CG37" s="556" t="s">
        <v>68</v>
      </c>
      <c r="CH37" s="156" t="s">
        <v>162</v>
      </c>
      <c r="CI37" s="157"/>
      <c r="CJ37" s="924"/>
      <c r="CK37" s="820"/>
      <c r="CL37" s="822"/>
      <c r="CM37" s="824"/>
      <c r="CN37" s="820"/>
      <c r="CO37" s="822"/>
      <c r="CP37" s="824"/>
      <c r="CQ37" s="887"/>
      <c r="CR37" s="820"/>
      <c r="CS37" s="822"/>
      <c r="CT37" s="824"/>
      <c r="CU37" s="820"/>
      <c r="CV37" s="822"/>
      <c r="CW37" s="824"/>
      <c r="CX37" s="848"/>
      <c r="CY37" s="840" t="s">
        <v>68</v>
      </c>
      <c r="DD37" s="55" t="s">
        <v>164</v>
      </c>
      <c r="DE37" s="55" t="s">
        <v>165</v>
      </c>
      <c r="DF37" s="55" t="s">
        <v>166</v>
      </c>
      <c r="DG37" s="55" t="s">
        <v>167</v>
      </c>
      <c r="DH37" s="55" t="s">
        <v>168</v>
      </c>
      <c r="DI37" s="55" t="s">
        <v>169</v>
      </c>
      <c r="DJ37" s="55" t="s">
        <v>170</v>
      </c>
      <c r="DK37" s="55" t="s">
        <v>171</v>
      </c>
      <c r="DL37" s="55" t="s">
        <v>172</v>
      </c>
      <c r="DM37" s="55" t="s">
        <v>173</v>
      </c>
      <c r="DN37" s="55" t="s">
        <v>174</v>
      </c>
      <c r="DO37" s="55" t="s">
        <v>175</v>
      </c>
      <c r="DP37" s="55" t="s">
        <v>176</v>
      </c>
      <c r="DQ37" s="55" t="s">
        <v>177</v>
      </c>
      <c r="DR37" s="55" t="s">
        <v>178</v>
      </c>
      <c r="DS37" s="55" t="s">
        <v>179</v>
      </c>
      <c r="DT37" s="55" t="s">
        <v>180</v>
      </c>
      <c r="DU37" s="55" t="s">
        <v>181</v>
      </c>
    </row>
    <row r="38" spans="2:128" ht="30" customHeight="1" x14ac:dyDescent="0.25">
      <c r="B38" s="972"/>
      <c r="C38" s="331"/>
      <c r="D38" s="164"/>
      <c r="E38" s="165"/>
      <c r="F38" s="159"/>
      <c r="G38" s="160"/>
      <c r="H38" s="160"/>
      <c r="I38" s="160"/>
      <c r="J38" s="160"/>
      <c r="K38" s="160"/>
      <c r="L38" s="180">
        <f>SUM(G38:K38)</f>
        <v>0</v>
      </c>
      <c r="M38" s="257">
        <f>F38+L38</f>
        <v>0</v>
      </c>
      <c r="N38" s="247"/>
      <c r="O38" s="248"/>
      <c r="P38" s="249"/>
      <c r="Q38" s="249"/>
      <c r="R38" s="249"/>
      <c r="S38" s="249"/>
      <c r="T38" s="180">
        <f>SUM(O38:S38)</f>
        <v>0</v>
      </c>
      <c r="U38" s="299"/>
      <c r="V38" s="163"/>
      <c r="W38" s="183">
        <f>M38+T38+U38</f>
        <v>0</v>
      </c>
      <c r="X38" s="248"/>
      <c r="Y38" s="249"/>
      <c r="Z38" s="173">
        <f>F38+L38+T38+U38-X38-Y38</f>
        <v>0</v>
      </c>
      <c r="AA38" s="164"/>
      <c r="AB38" s="165"/>
      <c r="AC38" s="320"/>
      <c r="AD38" s="321"/>
      <c r="AE38" s="251"/>
      <c r="AF38" s="357"/>
      <c r="AG38" s="53">
        <f>IF(AND(AA38&lt;&gt;"",OR(AA38&lt;EXPEDIENTE!$I$25,AA38&gt;EXPEDIENTE!$I$29)),1,0)</f>
        <v>0</v>
      </c>
      <c r="AH38" s="53">
        <f>IF(AND(AB38&lt;&gt;"",OR(AB38&lt;EXPEDIENTE!$I$25,AB38&gt;EXPEDIENTE!$I$29)),1,0)</f>
        <v>0</v>
      </c>
      <c r="AM38" s="1014"/>
      <c r="AN38" s="558" t="str">
        <f t="shared" ref="AN38:AO45" si="73">IF(C38="","",C38)</f>
        <v/>
      </c>
      <c r="AO38" s="252" t="str">
        <f>IF(D38="","",D38)</f>
        <v/>
      </c>
      <c r="AP38" s="253"/>
      <c r="AQ38" s="254" t="str">
        <f>IF(AP38="",AO38,AP38)</f>
        <v/>
      </c>
      <c r="AR38" s="252" t="str">
        <f t="shared" ref="AR38:AR45" si="74">IF(E38="","",E38)</f>
        <v/>
      </c>
      <c r="AS38" s="253"/>
      <c r="AT38" s="254" t="str">
        <f>IF(AS38="",AR38,AS38)</f>
        <v/>
      </c>
      <c r="AU38" s="170">
        <f t="shared" ref="AU38:AU45" si="75">IF(F38="",0,F38)</f>
        <v>0</v>
      </c>
      <c r="AV38" s="171"/>
      <c r="AW38" s="172">
        <f>IF(AV38="",AU38,AV38)</f>
        <v>0</v>
      </c>
      <c r="AX38" s="170">
        <f t="shared" ref="AX38:AX45" si="76">IF(G38="",0,G38)</f>
        <v>0</v>
      </c>
      <c r="AY38" s="173"/>
      <c r="AZ38" s="174">
        <f>IF(AY38="",AX38,AY38)</f>
        <v>0</v>
      </c>
      <c r="BA38" s="174">
        <f t="shared" ref="BA38:BA45" si="77">IF(H38="",0,H38)</f>
        <v>0</v>
      </c>
      <c r="BB38" s="173"/>
      <c r="BC38" s="174">
        <f>IF(BB38="",BA38,BB38)</f>
        <v>0</v>
      </c>
      <c r="BD38" s="174">
        <f t="shared" ref="BD38:BD45" si="78">IF(I38="",0,I38)</f>
        <v>0</v>
      </c>
      <c r="BE38" s="173"/>
      <c r="BF38" s="174">
        <f>IF(BE38="",BD38,BE38)</f>
        <v>0</v>
      </c>
      <c r="BG38" s="174">
        <f t="shared" ref="BG38:BG45" si="79">IF(J38="",0,J38)</f>
        <v>0</v>
      </c>
      <c r="BH38" s="173"/>
      <c r="BI38" s="174">
        <f>IF(BH38="",BG38,BH38)</f>
        <v>0</v>
      </c>
      <c r="BJ38" s="174">
        <f t="shared" ref="BJ38:BJ45" si="80">IF(K38="",0,K38)</f>
        <v>0</v>
      </c>
      <c r="BK38" s="173"/>
      <c r="BL38" s="174">
        <f>IF(BK38="",BJ38,BK38)</f>
        <v>0</v>
      </c>
      <c r="BM38" s="175">
        <f>AZ38+BC38+BF38+BI38+BL38</f>
        <v>0</v>
      </c>
      <c r="BN38" s="176">
        <f>AW38+BM38</f>
        <v>0</v>
      </c>
      <c r="BO38" s="255"/>
      <c r="BP38" s="170">
        <f t="shared" ref="BP38:BP45" si="81">IF(O38="",0,O38)</f>
        <v>0</v>
      </c>
      <c r="BQ38" s="256"/>
      <c r="BR38" s="178">
        <f>IF(BQ38="",BP38,BQ38)</f>
        <v>0</v>
      </c>
      <c r="BS38" s="174">
        <f t="shared" ref="BS38:BS45" si="82">IF(P38="",0,P38)</f>
        <v>0</v>
      </c>
      <c r="BT38" s="180"/>
      <c r="BU38" s="174">
        <f>IF(BT38="",BS38,BT38)</f>
        <v>0</v>
      </c>
      <c r="BV38" s="174">
        <f t="shared" ref="BV38:BV45" si="83">IF(Q38="",0,Q38)</f>
        <v>0</v>
      </c>
      <c r="BW38" s="180"/>
      <c r="BX38" s="174">
        <f>IF(BW38="",BV38,BW38)</f>
        <v>0</v>
      </c>
      <c r="BY38" s="174">
        <f t="shared" ref="BY38:BY45" si="84">IF(R38="",0,R38)</f>
        <v>0</v>
      </c>
      <c r="BZ38" s="180"/>
      <c r="CA38" s="174">
        <f>IF(BZ38="",BY38,BZ38)</f>
        <v>0</v>
      </c>
      <c r="CB38" s="174">
        <f t="shared" ref="CB38:CB45" si="85">IF(S38="",0,S38)</f>
        <v>0</v>
      </c>
      <c r="CC38" s="180"/>
      <c r="CD38" s="174">
        <f>IF(CC38="",CB38,CC38)</f>
        <v>0</v>
      </c>
      <c r="CE38" s="257">
        <f>BR38+BU38+BX38+CA38+CD38</f>
        <v>0</v>
      </c>
      <c r="CF38" s="179">
        <f t="shared" ref="CF38:CF45" si="86">IF(U38="",0,U38)</f>
        <v>0</v>
      </c>
      <c r="CG38" s="180"/>
      <c r="CH38" s="181">
        <f>IF(CG38="",CF38,CG38)</f>
        <v>0</v>
      </c>
      <c r="CI38" s="182"/>
      <c r="CJ38" s="183">
        <f>BN38+CE38+CH38</f>
        <v>0</v>
      </c>
      <c r="CK38" s="179">
        <f t="shared" ref="CK38:CK45" si="87">IF(X38="",0,X38)</f>
        <v>0</v>
      </c>
      <c r="CL38" s="256"/>
      <c r="CM38" s="258">
        <f>IF(CL38="",CK38,CL38)</f>
        <v>0</v>
      </c>
      <c r="CN38" s="179">
        <f t="shared" ref="CN38:CN45" si="88">IF(Y38="",0,Y38)</f>
        <v>0</v>
      </c>
      <c r="CO38" s="180"/>
      <c r="CP38" s="181">
        <f>IF(CO38="",CN38,CO38)</f>
        <v>0</v>
      </c>
      <c r="CQ38" s="183">
        <f>AW38+BM38+CE38+CH38-CM38-CP38</f>
        <v>0</v>
      </c>
      <c r="CR38" s="252" t="str">
        <f t="shared" ref="CR38:CR45" si="89">IF(AA38="","",AA38)</f>
        <v/>
      </c>
      <c r="CS38" s="259"/>
      <c r="CT38" s="254" t="str">
        <f>IF(CS38="",CR38,CS38)</f>
        <v/>
      </c>
      <c r="CU38" s="252" t="str">
        <f t="shared" ref="CU38:CU45" si="90">IF(AB38="","",AB38)</f>
        <v/>
      </c>
      <c r="CV38" s="259"/>
      <c r="CW38" s="254" t="str">
        <f>IF(CV38="",CU38,CV38)</f>
        <v/>
      </c>
      <c r="CX38" s="191" t="str">
        <f>IF(DD38=0,"",DD38)</f>
        <v/>
      </c>
      <c r="CY38" s="192"/>
      <c r="DA38" s="53">
        <f>IF(AND(CT38&lt;&gt;"",OR(CT38&lt;EXPEDIENTE!$I$25,CT38&gt;EXPEDIENTE!$I$29)),1,0)</f>
        <v>0</v>
      </c>
      <c r="DB38" s="53">
        <f>IF(AND(CW38&lt;&gt;"",OR(CW38&lt;EXPEDIENTE!$I$25,CW38&gt;EXPEDIENTE!$I$29)),1,0)</f>
        <v>0</v>
      </c>
      <c r="DD38" s="55">
        <f t="shared" ref="DD38:DD45" si="91">SUM(DE38:DU38)</f>
        <v>0</v>
      </c>
      <c r="DE38" s="55">
        <f>IF(AS38="",0,1)</f>
        <v>0</v>
      </c>
      <c r="DF38" s="55">
        <f>IF(AV38="",0,1)</f>
        <v>0</v>
      </c>
      <c r="DG38" s="55">
        <f>IF(AY38="",0,1)</f>
        <v>0</v>
      </c>
      <c r="DH38" s="55">
        <f>IF(BB38="",0,1)</f>
        <v>0</v>
      </c>
      <c r="DI38" s="55">
        <f>IF(BE38="",0,1)</f>
        <v>0</v>
      </c>
      <c r="DJ38" s="55">
        <f>IF(BH38="",0,1)</f>
        <v>0</v>
      </c>
      <c r="DK38" s="55">
        <f>IF(BK38="",0,1)</f>
        <v>0</v>
      </c>
      <c r="DL38" s="55">
        <f>IF(BQ38="",0,1)</f>
        <v>0</v>
      </c>
      <c r="DM38" s="55">
        <f>IF(BT38="",0,1)</f>
        <v>0</v>
      </c>
      <c r="DN38" s="55">
        <f>IF(BW38="",0,1)</f>
        <v>0</v>
      </c>
      <c r="DO38" s="55">
        <f>IF(BZ38="",0,1)</f>
        <v>0</v>
      </c>
      <c r="DP38" s="55">
        <f>IF(CC38="",0,1)</f>
        <v>0</v>
      </c>
      <c r="DQ38" s="55">
        <f>IF(CG38="",0,1)</f>
        <v>0</v>
      </c>
      <c r="DR38" s="55">
        <f>IF(CL38="",0,1)</f>
        <v>0</v>
      </c>
      <c r="DS38" s="55">
        <f>IF(CO38="",0,1)</f>
        <v>0</v>
      </c>
      <c r="DT38" s="55">
        <f>IF(CS38="",0,1)</f>
        <v>0</v>
      </c>
      <c r="DU38" s="55">
        <f>IF(CV38="",0,1)</f>
        <v>0</v>
      </c>
      <c r="DW38" s="55">
        <f>IF(CY38&lt;&gt;"",MAX($DW$9:DW37)+1,0)</f>
        <v>0</v>
      </c>
      <c r="DX38" s="130" t="str">
        <f t="shared" ref="DX38:DX45" si="92">IF(DW38=0,"",CY38)</f>
        <v/>
      </c>
    </row>
    <row r="39" spans="2:128" ht="30" customHeight="1" x14ac:dyDescent="0.25">
      <c r="B39" s="972"/>
      <c r="C39" s="332"/>
      <c r="D39" s="73"/>
      <c r="E39" s="260"/>
      <c r="F39" s="194"/>
      <c r="G39" s="195"/>
      <c r="H39" s="195"/>
      <c r="I39" s="195"/>
      <c r="J39" s="195"/>
      <c r="K39" s="195"/>
      <c r="L39" s="203">
        <f>SUM(G39:K39)</f>
        <v>0</v>
      </c>
      <c r="M39" s="175">
        <f t="shared" ref="M39:M45" si="93">F39+L39</f>
        <v>0</v>
      </c>
      <c r="N39" s="247"/>
      <c r="O39" s="194"/>
      <c r="P39" s="195"/>
      <c r="Q39" s="195"/>
      <c r="R39" s="195"/>
      <c r="S39" s="195"/>
      <c r="T39" s="203">
        <f t="shared" ref="T39:T45" si="94">SUM(O39:S39)</f>
        <v>0</v>
      </c>
      <c r="U39" s="300"/>
      <c r="V39" s="163"/>
      <c r="W39" s="208">
        <f t="shared" ref="W39:W45" si="95">M39+T39+U39</f>
        <v>0</v>
      </c>
      <c r="X39" s="194"/>
      <c r="Y39" s="195"/>
      <c r="Z39" s="173">
        <f t="shared" ref="Z39:Z45" si="96">F39+L39+T39+U39-X39-Y39</f>
        <v>0</v>
      </c>
      <c r="AA39" s="164"/>
      <c r="AB39" s="165"/>
      <c r="AC39" s="322"/>
      <c r="AD39" s="323"/>
      <c r="AE39" s="261"/>
      <c r="AF39" s="357"/>
      <c r="AG39" s="53">
        <f>IF(AND(AA39&lt;&gt;"",OR(AA39&lt;EXPEDIENTE!$I$25,AA39&gt;EXPEDIENTE!$I$29)),1,0)</f>
        <v>0</v>
      </c>
      <c r="AH39" s="53">
        <f>IF(AND(AB39&lt;&gt;"",OR(AB39&lt;EXPEDIENTE!$I$25,AB39&gt;EXPEDIENTE!$I$29)),1,0)</f>
        <v>0</v>
      </c>
      <c r="AM39" s="1014"/>
      <c r="AN39" s="559" t="str">
        <f t="shared" si="73"/>
        <v/>
      </c>
      <c r="AO39" s="188" t="str">
        <f t="shared" si="73"/>
        <v/>
      </c>
      <c r="AP39" s="189"/>
      <c r="AQ39" s="190" t="str">
        <f t="shared" ref="AQ39:AQ45" si="97">IF(AP39="",AO39,AP39)</f>
        <v/>
      </c>
      <c r="AR39" s="188" t="str">
        <f t="shared" si="74"/>
        <v/>
      </c>
      <c r="AS39" s="189"/>
      <c r="AT39" s="190" t="str">
        <f t="shared" ref="AT39:AT45" si="98">IF(AS39="",AR39,AS39)</f>
        <v/>
      </c>
      <c r="AU39" s="170">
        <f t="shared" si="75"/>
        <v>0</v>
      </c>
      <c r="AV39" s="201"/>
      <c r="AW39" s="202">
        <f t="shared" ref="AW39:AW45" si="99">IF(AV39="",AU39,AV39)</f>
        <v>0</v>
      </c>
      <c r="AX39" s="200">
        <f t="shared" si="76"/>
        <v>0</v>
      </c>
      <c r="AY39" s="203"/>
      <c r="AZ39" s="204">
        <f t="shared" ref="AZ39:AZ45" si="100">IF(AY39="",AX39,AY39)</f>
        <v>0</v>
      </c>
      <c r="BA39" s="204">
        <f t="shared" si="77"/>
        <v>0</v>
      </c>
      <c r="BB39" s="203"/>
      <c r="BC39" s="204">
        <f t="shared" ref="BC39:BC45" si="101">IF(BB39="",BA39,BB39)</f>
        <v>0</v>
      </c>
      <c r="BD39" s="204">
        <f t="shared" si="78"/>
        <v>0</v>
      </c>
      <c r="BE39" s="203"/>
      <c r="BF39" s="204">
        <f t="shared" ref="BF39:BF45" si="102">IF(BE39="",BD39,BE39)</f>
        <v>0</v>
      </c>
      <c r="BG39" s="204">
        <f t="shared" si="79"/>
        <v>0</v>
      </c>
      <c r="BH39" s="203"/>
      <c r="BI39" s="204">
        <f t="shared" ref="BI39:BI45" si="103">IF(BH39="",BG39,BH39)</f>
        <v>0</v>
      </c>
      <c r="BJ39" s="204">
        <f t="shared" si="80"/>
        <v>0</v>
      </c>
      <c r="BK39" s="203"/>
      <c r="BL39" s="204">
        <f t="shared" ref="BL39:BL45" si="104">IF(BK39="",BJ39,BK39)</f>
        <v>0</v>
      </c>
      <c r="BM39" s="175">
        <f t="shared" ref="BM39:BM45" si="105">AZ39+BC39+BF39+BI39+BL39</f>
        <v>0</v>
      </c>
      <c r="BN39" s="205">
        <f t="shared" ref="BN39:BN45" si="106">AW39+BM39</f>
        <v>0</v>
      </c>
      <c r="BO39" s="255"/>
      <c r="BP39" s="200">
        <f t="shared" si="81"/>
        <v>0</v>
      </c>
      <c r="BQ39" s="201"/>
      <c r="BR39" s="206">
        <f t="shared" ref="BR39:BR45" si="107">IF(BQ39="",BP39,BQ39)</f>
        <v>0</v>
      </c>
      <c r="BS39" s="204">
        <f t="shared" si="82"/>
        <v>0</v>
      </c>
      <c r="BT39" s="203"/>
      <c r="BU39" s="204">
        <f t="shared" ref="BU39:BU45" si="108">IF(BT39="",BS39,BT39)</f>
        <v>0</v>
      </c>
      <c r="BV39" s="204">
        <f t="shared" si="83"/>
        <v>0</v>
      </c>
      <c r="BW39" s="203"/>
      <c r="BX39" s="204">
        <f t="shared" ref="BX39:BX45" si="109">IF(BW39="",BV39,BW39)</f>
        <v>0</v>
      </c>
      <c r="BY39" s="204">
        <f t="shared" si="84"/>
        <v>0</v>
      </c>
      <c r="BZ39" s="203"/>
      <c r="CA39" s="204">
        <f t="shared" ref="CA39:CA45" si="110">IF(BZ39="",BY39,BZ39)</f>
        <v>0</v>
      </c>
      <c r="CB39" s="204">
        <f t="shared" si="85"/>
        <v>0</v>
      </c>
      <c r="CC39" s="203"/>
      <c r="CD39" s="204">
        <f t="shared" ref="CD39:CD45" si="111">IF(CC39="",CB39,CC39)</f>
        <v>0</v>
      </c>
      <c r="CE39" s="175">
        <f t="shared" ref="CE39:CE45" si="112">BR39+BU39+BX39+CA39+CD39</f>
        <v>0</v>
      </c>
      <c r="CF39" s="200">
        <f t="shared" si="86"/>
        <v>0</v>
      </c>
      <c r="CG39" s="203"/>
      <c r="CH39" s="207">
        <f t="shared" ref="CH39:CH45" si="113">IF(CG39="",CF39,CG39)</f>
        <v>0</v>
      </c>
      <c r="CI39" s="182"/>
      <c r="CJ39" s="208">
        <f t="shared" ref="CJ39:CJ45" si="114">BN39+CE39+CH39</f>
        <v>0</v>
      </c>
      <c r="CK39" s="200">
        <f t="shared" si="87"/>
        <v>0</v>
      </c>
      <c r="CL39" s="201"/>
      <c r="CM39" s="202">
        <f t="shared" ref="CM39:CM45" si="115">IF(CL39="",CK39,CL39)</f>
        <v>0</v>
      </c>
      <c r="CN39" s="200">
        <f t="shared" si="88"/>
        <v>0</v>
      </c>
      <c r="CO39" s="173"/>
      <c r="CP39" s="262">
        <f t="shared" ref="CP39:CP45" si="116">IF(CO39="",CN39,CO39)</f>
        <v>0</v>
      </c>
      <c r="CQ39" s="184">
        <f t="shared" ref="CQ39:CQ45" si="117">AW39+BM39+CE39+CH39-CM39-CP39</f>
        <v>0</v>
      </c>
      <c r="CR39" s="188" t="str">
        <f t="shared" si="89"/>
        <v/>
      </c>
      <c r="CS39" s="189"/>
      <c r="CT39" s="190" t="str">
        <f t="shared" ref="CT39:CT45" si="118">IF(CS39="",CR39,CS39)</f>
        <v/>
      </c>
      <c r="CU39" s="188" t="str">
        <f t="shared" si="90"/>
        <v/>
      </c>
      <c r="CV39" s="189"/>
      <c r="CW39" s="190" t="str">
        <f t="shared" ref="CW39:CW45" si="119">IF(CV39="",CU39,CV39)</f>
        <v/>
      </c>
      <c r="CX39" s="209" t="str">
        <f t="shared" ref="CX39:CX45" si="120">IF(DD39=0,"",DD39)</f>
        <v/>
      </c>
      <c r="CY39" s="210"/>
      <c r="DA39" s="53">
        <f>IF(AND(CT39&lt;&gt;"",OR(CT39&lt;EXPEDIENTE!$I$25,CT39&gt;EXPEDIENTE!$I$29)),1,0)</f>
        <v>0</v>
      </c>
      <c r="DB39" s="53">
        <f>IF(AND(CW39&lt;&gt;"",OR(CW39&lt;EXPEDIENTE!$I$25,CW39&gt;EXPEDIENTE!$I$29)),1,0)</f>
        <v>0</v>
      </c>
      <c r="DD39" s="55">
        <f t="shared" si="91"/>
        <v>0</v>
      </c>
      <c r="DE39" s="55">
        <f t="shared" ref="DE39:DE45" si="121">IF(AS39="",0,1)</f>
        <v>0</v>
      </c>
      <c r="DF39" s="55">
        <f t="shared" ref="DF39:DF45" si="122">IF(AV39="",0,1)</f>
        <v>0</v>
      </c>
      <c r="DG39" s="55">
        <f t="shared" ref="DG39:DG45" si="123">IF(AY39="",0,1)</f>
        <v>0</v>
      </c>
      <c r="DH39" s="55">
        <f t="shared" ref="DH39:DH45" si="124">IF(BB39="",0,1)</f>
        <v>0</v>
      </c>
      <c r="DI39" s="55">
        <f t="shared" ref="DI39:DI45" si="125">IF(BE39="",0,1)</f>
        <v>0</v>
      </c>
      <c r="DJ39" s="55">
        <f t="shared" ref="DJ39:DJ45" si="126">IF(BH39="",0,1)</f>
        <v>0</v>
      </c>
      <c r="DK39" s="55">
        <f t="shared" ref="DK39:DK45" si="127">IF(BK39="",0,1)</f>
        <v>0</v>
      </c>
      <c r="DL39" s="55">
        <f t="shared" ref="DL39:DL45" si="128">IF(BQ39="",0,1)</f>
        <v>0</v>
      </c>
      <c r="DM39" s="55">
        <f t="shared" ref="DM39:DM45" si="129">IF(BT39="",0,1)</f>
        <v>0</v>
      </c>
      <c r="DN39" s="55">
        <f t="shared" ref="DN39:DN45" si="130">IF(BW39="",0,1)</f>
        <v>0</v>
      </c>
      <c r="DO39" s="55">
        <f t="shared" ref="DO39:DO45" si="131">IF(BZ39="",0,1)</f>
        <v>0</v>
      </c>
      <c r="DP39" s="55">
        <f t="shared" ref="DP39:DP45" si="132">IF(CC39="",0,1)</f>
        <v>0</v>
      </c>
      <c r="DQ39" s="55">
        <f t="shared" ref="DQ39:DQ45" si="133">IF(CG39="",0,1)</f>
        <v>0</v>
      </c>
      <c r="DR39" s="55">
        <f t="shared" ref="DR39:DR45" si="134">IF(CL39="",0,1)</f>
        <v>0</v>
      </c>
      <c r="DS39" s="55">
        <f t="shared" ref="DS39:DS45" si="135">IF(CO39="",0,1)</f>
        <v>0</v>
      </c>
      <c r="DT39" s="55">
        <f t="shared" ref="DT39:DT45" si="136">IF(CS39="",0,1)</f>
        <v>0</v>
      </c>
      <c r="DU39" s="55">
        <f t="shared" ref="DU39:DU45" si="137">IF(CV39="",0,1)</f>
        <v>0</v>
      </c>
      <c r="DW39" s="55">
        <f>IF(CY39&lt;&gt;"",MAX($DW$9:DW38)+1,0)</f>
        <v>0</v>
      </c>
      <c r="DX39" s="130" t="str">
        <f t="shared" si="92"/>
        <v/>
      </c>
    </row>
    <row r="40" spans="2:128" ht="30" customHeight="1" x14ac:dyDescent="0.25">
      <c r="B40" s="972"/>
      <c r="C40" s="332"/>
      <c r="D40" s="73"/>
      <c r="E40" s="260"/>
      <c r="F40" s="194"/>
      <c r="G40" s="195"/>
      <c r="H40" s="195"/>
      <c r="I40" s="195"/>
      <c r="J40" s="195"/>
      <c r="K40" s="195"/>
      <c r="L40" s="203">
        <f t="shared" ref="L40:L45" si="138">SUM(G40:K40)</f>
        <v>0</v>
      </c>
      <c r="M40" s="175">
        <f t="shared" si="93"/>
        <v>0</v>
      </c>
      <c r="N40" s="247"/>
      <c r="O40" s="194"/>
      <c r="P40" s="195"/>
      <c r="Q40" s="195"/>
      <c r="R40" s="195"/>
      <c r="S40" s="195"/>
      <c r="T40" s="203">
        <f t="shared" si="94"/>
        <v>0</v>
      </c>
      <c r="U40" s="300"/>
      <c r="V40" s="163"/>
      <c r="W40" s="208">
        <f t="shared" si="95"/>
        <v>0</v>
      </c>
      <c r="X40" s="194"/>
      <c r="Y40" s="195"/>
      <c r="Z40" s="173">
        <f t="shared" si="96"/>
        <v>0</v>
      </c>
      <c r="AA40" s="164"/>
      <c r="AB40" s="165"/>
      <c r="AC40" s="322"/>
      <c r="AD40" s="323"/>
      <c r="AE40" s="261"/>
      <c r="AF40" s="357"/>
      <c r="AG40" s="53">
        <f>IF(AND(AA40&lt;&gt;"",OR(AA40&lt;EXPEDIENTE!$I$25,AA40&gt;EXPEDIENTE!$I$29)),1,0)</f>
        <v>0</v>
      </c>
      <c r="AH40" s="53">
        <f>IF(AND(AB40&lt;&gt;"",OR(AB40&lt;EXPEDIENTE!$I$25,AB40&gt;EXPEDIENTE!$I$29)),1,0)</f>
        <v>0</v>
      </c>
      <c r="AM40" s="1014"/>
      <c r="AN40" s="559" t="str">
        <f t="shared" si="73"/>
        <v/>
      </c>
      <c r="AO40" s="188" t="str">
        <f t="shared" si="73"/>
        <v/>
      </c>
      <c r="AP40" s="189"/>
      <c r="AQ40" s="190" t="str">
        <f t="shared" si="97"/>
        <v/>
      </c>
      <c r="AR40" s="188" t="str">
        <f t="shared" si="74"/>
        <v/>
      </c>
      <c r="AS40" s="189"/>
      <c r="AT40" s="190" t="str">
        <f t="shared" si="98"/>
        <v/>
      </c>
      <c r="AU40" s="170">
        <f t="shared" si="75"/>
        <v>0</v>
      </c>
      <c r="AV40" s="201"/>
      <c r="AW40" s="202">
        <f t="shared" si="99"/>
        <v>0</v>
      </c>
      <c r="AX40" s="200">
        <f t="shared" si="76"/>
        <v>0</v>
      </c>
      <c r="AY40" s="203"/>
      <c r="AZ40" s="204">
        <f t="shared" si="100"/>
        <v>0</v>
      </c>
      <c r="BA40" s="204">
        <f t="shared" si="77"/>
        <v>0</v>
      </c>
      <c r="BB40" s="203"/>
      <c r="BC40" s="204">
        <f t="shared" si="101"/>
        <v>0</v>
      </c>
      <c r="BD40" s="204">
        <f t="shared" si="78"/>
        <v>0</v>
      </c>
      <c r="BE40" s="203"/>
      <c r="BF40" s="204">
        <f t="shared" si="102"/>
        <v>0</v>
      </c>
      <c r="BG40" s="204">
        <f t="shared" si="79"/>
        <v>0</v>
      </c>
      <c r="BH40" s="203"/>
      <c r="BI40" s="204">
        <f t="shared" si="103"/>
        <v>0</v>
      </c>
      <c r="BJ40" s="204">
        <f t="shared" si="80"/>
        <v>0</v>
      </c>
      <c r="BK40" s="203"/>
      <c r="BL40" s="204">
        <f t="shared" si="104"/>
        <v>0</v>
      </c>
      <c r="BM40" s="175">
        <f t="shared" si="105"/>
        <v>0</v>
      </c>
      <c r="BN40" s="205">
        <f t="shared" si="106"/>
        <v>0</v>
      </c>
      <c r="BO40" s="255"/>
      <c r="BP40" s="200">
        <f t="shared" si="81"/>
        <v>0</v>
      </c>
      <c r="BQ40" s="201"/>
      <c r="BR40" s="206">
        <f t="shared" si="107"/>
        <v>0</v>
      </c>
      <c r="BS40" s="204">
        <f t="shared" si="82"/>
        <v>0</v>
      </c>
      <c r="BT40" s="203"/>
      <c r="BU40" s="204">
        <f t="shared" si="108"/>
        <v>0</v>
      </c>
      <c r="BV40" s="204">
        <f t="shared" si="83"/>
        <v>0</v>
      </c>
      <c r="BW40" s="203"/>
      <c r="BX40" s="204">
        <f t="shared" si="109"/>
        <v>0</v>
      </c>
      <c r="BY40" s="204">
        <f t="shared" si="84"/>
        <v>0</v>
      </c>
      <c r="BZ40" s="203"/>
      <c r="CA40" s="204">
        <f t="shared" si="110"/>
        <v>0</v>
      </c>
      <c r="CB40" s="204">
        <f t="shared" si="85"/>
        <v>0</v>
      </c>
      <c r="CC40" s="203"/>
      <c r="CD40" s="204">
        <f t="shared" si="111"/>
        <v>0</v>
      </c>
      <c r="CE40" s="175">
        <f t="shared" si="112"/>
        <v>0</v>
      </c>
      <c r="CF40" s="200">
        <f t="shared" si="86"/>
        <v>0</v>
      </c>
      <c r="CG40" s="203"/>
      <c r="CH40" s="207">
        <f t="shared" si="113"/>
        <v>0</v>
      </c>
      <c r="CI40" s="182"/>
      <c r="CJ40" s="208">
        <f t="shared" si="114"/>
        <v>0</v>
      </c>
      <c r="CK40" s="200">
        <f t="shared" si="87"/>
        <v>0</v>
      </c>
      <c r="CL40" s="201"/>
      <c r="CM40" s="202">
        <f t="shared" si="115"/>
        <v>0</v>
      </c>
      <c r="CN40" s="200">
        <f t="shared" si="88"/>
        <v>0</v>
      </c>
      <c r="CO40" s="173"/>
      <c r="CP40" s="262">
        <f t="shared" si="116"/>
        <v>0</v>
      </c>
      <c r="CQ40" s="184">
        <f t="shared" si="117"/>
        <v>0</v>
      </c>
      <c r="CR40" s="188" t="str">
        <f t="shared" si="89"/>
        <v/>
      </c>
      <c r="CS40" s="189"/>
      <c r="CT40" s="190" t="str">
        <f t="shared" si="118"/>
        <v/>
      </c>
      <c r="CU40" s="188" t="str">
        <f t="shared" si="90"/>
        <v/>
      </c>
      <c r="CV40" s="189"/>
      <c r="CW40" s="190" t="str">
        <f t="shared" si="119"/>
        <v/>
      </c>
      <c r="CX40" s="209" t="str">
        <f t="shared" si="120"/>
        <v/>
      </c>
      <c r="CY40" s="210"/>
      <c r="DA40" s="53">
        <f>IF(AND(CT40&lt;&gt;"",OR(CT40&lt;EXPEDIENTE!$I$25,CT40&gt;EXPEDIENTE!$I$29)),1,0)</f>
        <v>0</v>
      </c>
      <c r="DB40" s="53">
        <f>IF(AND(CW40&lt;&gt;"",OR(CW40&lt;EXPEDIENTE!$I$25,CW40&gt;EXPEDIENTE!$I$29)),1,0)</f>
        <v>0</v>
      </c>
      <c r="DD40" s="55">
        <f t="shared" si="91"/>
        <v>0</v>
      </c>
      <c r="DE40" s="55">
        <f t="shared" si="121"/>
        <v>0</v>
      </c>
      <c r="DF40" s="55">
        <f t="shared" si="122"/>
        <v>0</v>
      </c>
      <c r="DG40" s="55">
        <f t="shared" si="123"/>
        <v>0</v>
      </c>
      <c r="DH40" s="55">
        <f t="shared" si="124"/>
        <v>0</v>
      </c>
      <c r="DI40" s="55">
        <f t="shared" si="125"/>
        <v>0</v>
      </c>
      <c r="DJ40" s="55">
        <f t="shared" si="126"/>
        <v>0</v>
      </c>
      <c r="DK40" s="55">
        <f t="shared" si="127"/>
        <v>0</v>
      </c>
      <c r="DL40" s="55">
        <f t="shared" si="128"/>
        <v>0</v>
      </c>
      <c r="DM40" s="55">
        <f t="shared" si="129"/>
        <v>0</v>
      </c>
      <c r="DN40" s="55">
        <f t="shared" si="130"/>
        <v>0</v>
      </c>
      <c r="DO40" s="55">
        <f t="shared" si="131"/>
        <v>0</v>
      </c>
      <c r="DP40" s="55">
        <f t="shared" si="132"/>
        <v>0</v>
      </c>
      <c r="DQ40" s="55">
        <f t="shared" si="133"/>
        <v>0</v>
      </c>
      <c r="DR40" s="55">
        <f t="shared" si="134"/>
        <v>0</v>
      </c>
      <c r="DS40" s="55">
        <f t="shared" si="135"/>
        <v>0</v>
      </c>
      <c r="DT40" s="55">
        <f t="shared" si="136"/>
        <v>0</v>
      </c>
      <c r="DU40" s="55">
        <f t="shared" si="137"/>
        <v>0</v>
      </c>
      <c r="DW40" s="55">
        <f>IF(CY40&lt;&gt;"",MAX($DW$9:DW39)+1,0)</f>
        <v>0</v>
      </c>
      <c r="DX40" s="130" t="str">
        <f t="shared" si="92"/>
        <v/>
      </c>
    </row>
    <row r="41" spans="2:128" ht="30" customHeight="1" x14ac:dyDescent="0.25">
      <c r="B41" s="972"/>
      <c r="C41" s="332"/>
      <c r="D41" s="73"/>
      <c r="E41" s="260"/>
      <c r="F41" s="194"/>
      <c r="G41" s="195"/>
      <c r="H41" s="195"/>
      <c r="I41" s="195"/>
      <c r="J41" s="195"/>
      <c r="K41" s="195"/>
      <c r="L41" s="203">
        <f t="shared" ref="L41:L43" si="139">SUM(G41:K41)</f>
        <v>0</v>
      </c>
      <c r="M41" s="175">
        <f t="shared" ref="M41:M43" si="140">F41+L41</f>
        <v>0</v>
      </c>
      <c r="N41" s="247"/>
      <c r="O41" s="194"/>
      <c r="P41" s="195"/>
      <c r="Q41" s="195"/>
      <c r="R41" s="195"/>
      <c r="S41" s="195"/>
      <c r="T41" s="203">
        <f t="shared" si="94"/>
        <v>0</v>
      </c>
      <c r="U41" s="300"/>
      <c r="V41" s="163"/>
      <c r="W41" s="208">
        <f t="shared" si="95"/>
        <v>0</v>
      </c>
      <c r="X41" s="194"/>
      <c r="Y41" s="195"/>
      <c r="Z41" s="173">
        <f t="shared" si="96"/>
        <v>0</v>
      </c>
      <c r="AA41" s="164"/>
      <c r="AB41" s="165"/>
      <c r="AC41" s="322"/>
      <c r="AD41" s="323"/>
      <c r="AE41" s="261"/>
      <c r="AF41" s="357"/>
      <c r="AG41" s="53">
        <f>IF(AND(AA41&lt;&gt;"",OR(AA41&lt;EXPEDIENTE!$I$25,AA41&gt;EXPEDIENTE!$I$29)),1,0)</f>
        <v>0</v>
      </c>
      <c r="AH41" s="53">
        <f>IF(AND(AB41&lt;&gt;"",OR(AB41&lt;EXPEDIENTE!$I$25,AB41&gt;EXPEDIENTE!$I$29)),1,0)</f>
        <v>0</v>
      </c>
      <c r="AM41" s="1014"/>
      <c r="AN41" s="559" t="str">
        <f t="shared" si="73"/>
        <v/>
      </c>
      <c r="AO41" s="188" t="str">
        <f t="shared" si="73"/>
        <v/>
      </c>
      <c r="AP41" s="189"/>
      <c r="AQ41" s="190" t="str">
        <f t="shared" si="97"/>
        <v/>
      </c>
      <c r="AR41" s="188" t="str">
        <f t="shared" si="74"/>
        <v/>
      </c>
      <c r="AS41" s="189"/>
      <c r="AT41" s="190" t="str">
        <f t="shared" si="98"/>
        <v/>
      </c>
      <c r="AU41" s="170">
        <f t="shared" si="75"/>
        <v>0</v>
      </c>
      <c r="AV41" s="201"/>
      <c r="AW41" s="202">
        <f t="shared" si="99"/>
        <v>0</v>
      </c>
      <c r="AX41" s="200">
        <f t="shared" si="76"/>
        <v>0</v>
      </c>
      <c r="AY41" s="203"/>
      <c r="AZ41" s="204">
        <f t="shared" si="100"/>
        <v>0</v>
      </c>
      <c r="BA41" s="204">
        <f t="shared" si="77"/>
        <v>0</v>
      </c>
      <c r="BB41" s="203"/>
      <c r="BC41" s="204">
        <f t="shared" si="101"/>
        <v>0</v>
      </c>
      <c r="BD41" s="204">
        <f t="shared" si="78"/>
        <v>0</v>
      </c>
      <c r="BE41" s="203"/>
      <c r="BF41" s="204">
        <f t="shared" si="102"/>
        <v>0</v>
      </c>
      <c r="BG41" s="204">
        <f t="shared" si="79"/>
        <v>0</v>
      </c>
      <c r="BH41" s="203"/>
      <c r="BI41" s="204">
        <f t="shared" si="103"/>
        <v>0</v>
      </c>
      <c r="BJ41" s="204">
        <f t="shared" si="80"/>
        <v>0</v>
      </c>
      <c r="BK41" s="203"/>
      <c r="BL41" s="204">
        <f t="shared" si="104"/>
        <v>0</v>
      </c>
      <c r="BM41" s="175">
        <f t="shared" si="105"/>
        <v>0</v>
      </c>
      <c r="BN41" s="205">
        <f t="shared" si="106"/>
        <v>0</v>
      </c>
      <c r="BO41" s="255"/>
      <c r="BP41" s="200">
        <f t="shared" si="81"/>
        <v>0</v>
      </c>
      <c r="BQ41" s="201"/>
      <c r="BR41" s="206">
        <f t="shared" si="107"/>
        <v>0</v>
      </c>
      <c r="BS41" s="204">
        <f t="shared" si="82"/>
        <v>0</v>
      </c>
      <c r="BT41" s="203"/>
      <c r="BU41" s="204">
        <f t="shared" si="108"/>
        <v>0</v>
      </c>
      <c r="BV41" s="204">
        <f t="shared" si="83"/>
        <v>0</v>
      </c>
      <c r="BW41" s="203"/>
      <c r="BX41" s="204">
        <f t="shared" si="109"/>
        <v>0</v>
      </c>
      <c r="BY41" s="204">
        <f t="shared" si="84"/>
        <v>0</v>
      </c>
      <c r="BZ41" s="203"/>
      <c r="CA41" s="204">
        <f t="shared" si="110"/>
        <v>0</v>
      </c>
      <c r="CB41" s="204">
        <f t="shared" si="85"/>
        <v>0</v>
      </c>
      <c r="CC41" s="203"/>
      <c r="CD41" s="204">
        <f t="shared" si="111"/>
        <v>0</v>
      </c>
      <c r="CE41" s="175">
        <f t="shared" si="112"/>
        <v>0</v>
      </c>
      <c r="CF41" s="200">
        <f t="shared" si="86"/>
        <v>0</v>
      </c>
      <c r="CG41" s="203"/>
      <c r="CH41" s="207">
        <f t="shared" si="113"/>
        <v>0</v>
      </c>
      <c r="CI41" s="182"/>
      <c r="CJ41" s="208">
        <f t="shared" si="114"/>
        <v>0</v>
      </c>
      <c r="CK41" s="200">
        <f t="shared" si="87"/>
        <v>0</v>
      </c>
      <c r="CL41" s="201"/>
      <c r="CM41" s="202">
        <f t="shared" si="115"/>
        <v>0</v>
      </c>
      <c r="CN41" s="200">
        <f t="shared" si="88"/>
        <v>0</v>
      </c>
      <c r="CO41" s="173"/>
      <c r="CP41" s="262">
        <f t="shared" si="116"/>
        <v>0</v>
      </c>
      <c r="CQ41" s="184">
        <f t="shared" si="117"/>
        <v>0</v>
      </c>
      <c r="CR41" s="188" t="str">
        <f t="shared" si="89"/>
        <v/>
      </c>
      <c r="CS41" s="189"/>
      <c r="CT41" s="190" t="str">
        <f t="shared" si="118"/>
        <v/>
      </c>
      <c r="CU41" s="188" t="str">
        <f t="shared" si="90"/>
        <v/>
      </c>
      <c r="CV41" s="189"/>
      <c r="CW41" s="190" t="str">
        <f t="shared" si="119"/>
        <v/>
      </c>
      <c r="CX41" s="209" t="str">
        <f t="shared" si="120"/>
        <v/>
      </c>
      <c r="CY41" s="210"/>
      <c r="DA41" s="53">
        <f>IF(AND(CT41&lt;&gt;"",OR(CT41&lt;EXPEDIENTE!$I$25,CT41&gt;EXPEDIENTE!$I$29)),1,0)</f>
        <v>0</v>
      </c>
      <c r="DB41" s="53">
        <f>IF(AND(CW41&lt;&gt;"",OR(CW41&lt;EXPEDIENTE!$I$25,CW41&gt;EXPEDIENTE!$I$29)),1,0)</f>
        <v>0</v>
      </c>
      <c r="DD41" s="55">
        <f t="shared" si="91"/>
        <v>0</v>
      </c>
      <c r="DE41" s="55">
        <f t="shared" si="121"/>
        <v>0</v>
      </c>
      <c r="DF41" s="55">
        <f t="shared" si="122"/>
        <v>0</v>
      </c>
      <c r="DG41" s="55">
        <f t="shared" si="123"/>
        <v>0</v>
      </c>
      <c r="DH41" s="55">
        <f t="shared" si="124"/>
        <v>0</v>
      </c>
      <c r="DI41" s="55">
        <f t="shared" si="125"/>
        <v>0</v>
      </c>
      <c r="DJ41" s="55">
        <f t="shared" si="126"/>
        <v>0</v>
      </c>
      <c r="DK41" s="55">
        <f t="shared" si="127"/>
        <v>0</v>
      </c>
      <c r="DL41" s="55">
        <f t="shared" si="128"/>
        <v>0</v>
      </c>
      <c r="DM41" s="55">
        <f t="shared" si="129"/>
        <v>0</v>
      </c>
      <c r="DN41" s="55">
        <f t="shared" si="130"/>
        <v>0</v>
      </c>
      <c r="DO41" s="55">
        <f t="shared" si="131"/>
        <v>0</v>
      </c>
      <c r="DP41" s="55">
        <f t="shared" si="132"/>
        <v>0</v>
      </c>
      <c r="DQ41" s="55">
        <f t="shared" si="133"/>
        <v>0</v>
      </c>
      <c r="DR41" s="55">
        <f t="shared" si="134"/>
        <v>0</v>
      </c>
      <c r="DS41" s="55">
        <f t="shared" si="135"/>
        <v>0</v>
      </c>
      <c r="DT41" s="55">
        <f t="shared" si="136"/>
        <v>0</v>
      </c>
      <c r="DU41" s="55">
        <f t="shared" si="137"/>
        <v>0</v>
      </c>
      <c r="DW41" s="55">
        <f>IF(CY41&lt;&gt;"",MAX($DW$9:DW40)+1,0)</f>
        <v>0</v>
      </c>
      <c r="DX41" s="130" t="str">
        <f t="shared" si="92"/>
        <v/>
      </c>
    </row>
    <row r="42" spans="2:128" ht="30" customHeight="1" x14ac:dyDescent="0.25">
      <c r="B42" s="972"/>
      <c r="C42" s="332"/>
      <c r="D42" s="73"/>
      <c r="E42" s="260"/>
      <c r="F42" s="194"/>
      <c r="G42" s="195"/>
      <c r="H42" s="195"/>
      <c r="I42" s="195"/>
      <c r="J42" s="195"/>
      <c r="K42" s="195"/>
      <c r="L42" s="203">
        <f t="shared" si="139"/>
        <v>0</v>
      </c>
      <c r="M42" s="175">
        <f t="shared" si="140"/>
        <v>0</v>
      </c>
      <c r="N42" s="247"/>
      <c r="O42" s="194"/>
      <c r="P42" s="195"/>
      <c r="Q42" s="195"/>
      <c r="R42" s="195"/>
      <c r="S42" s="195"/>
      <c r="T42" s="203">
        <f t="shared" si="94"/>
        <v>0</v>
      </c>
      <c r="U42" s="300"/>
      <c r="V42" s="163"/>
      <c r="W42" s="208">
        <f t="shared" si="95"/>
        <v>0</v>
      </c>
      <c r="X42" s="194"/>
      <c r="Y42" s="195"/>
      <c r="Z42" s="173">
        <f t="shared" si="96"/>
        <v>0</v>
      </c>
      <c r="AA42" s="164"/>
      <c r="AB42" s="165"/>
      <c r="AC42" s="322"/>
      <c r="AD42" s="323"/>
      <c r="AE42" s="261"/>
      <c r="AF42" s="357"/>
      <c r="AG42" s="53">
        <f>IF(AND(AA42&lt;&gt;"",OR(AA42&lt;EXPEDIENTE!$I$25,AA42&gt;EXPEDIENTE!$I$29)),1,0)</f>
        <v>0</v>
      </c>
      <c r="AH42" s="53">
        <f>IF(AND(AB42&lt;&gt;"",OR(AB42&lt;EXPEDIENTE!$I$25,AB42&gt;EXPEDIENTE!$I$29)),1,0)</f>
        <v>0</v>
      </c>
      <c r="AM42" s="1014"/>
      <c r="AN42" s="559" t="str">
        <f t="shared" si="73"/>
        <v/>
      </c>
      <c r="AO42" s="188" t="str">
        <f t="shared" si="73"/>
        <v/>
      </c>
      <c r="AP42" s="189"/>
      <c r="AQ42" s="190" t="str">
        <f t="shared" si="97"/>
        <v/>
      </c>
      <c r="AR42" s="188" t="str">
        <f t="shared" si="74"/>
        <v/>
      </c>
      <c r="AS42" s="189"/>
      <c r="AT42" s="190" t="str">
        <f t="shared" si="98"/>
        <v/>
      </c>
      <c r="AU42" s="170">
        <f t="shared" si="75"/>
        <v>0</v>
      </c>
      <c r="AV42" s="201"/>
      <c r="AW42" s="202">
        <f t="shared" si="99"/>
        <v>0</v>
      </c>
      <c r="AX42" s="200">
        <f t="shared" si="76"/>
        <v>0</v>
      </c>
      <c r="AY42" s="203"/>
      <c r="AZ42" s="204">
        <f t="shared" si="100"/>
        <v>0</v>
      </c>
      <c r="BA42" s="204">
        <f t="shared" si="77"/>
        <v>0</v>
      </c>
      <c r="BB42" s="203"/>
      <c r="BC42" s="204">
        <f t="shared" si="101"/>
        <v>0</v>
      </c>
      <c r="BD42" s="204">
        <f t="shared" si="78"/>
        <v>0</v>
      </c>
      <c r="BE42" s="203"/>
      <c r="BF42" s="204">
        <f t="shared" si="102"/>
        <v>0</v>
      </c>
      <c r="BG42" s="204">
        <f t="shared" si="79"/>
        <v>0</v>
      </c>
      <c r="BH42" s="203"/>
      <c r="BI42" s="204">
        <f t="shared" si="103"/>
        <v>0</v>
      </c>
      <c r="BJ42" s="204">
        <f t="shared" si="80"/>
        <v>0</v>
      </c>
      <c r="BK42" s="203"/>
      <c r="BL42" s="204">
        <f t="shared" si="104"/>
        <v>0</v>
      </c>
      <c r="BM42" s="175">
        <f t="shared" si="105"/>
        <v>0</v>
      </c>
      <c r="BN42" s="205">
        <f t="shared" si="106"/>
        <v>0</v>
      </c>
      <c r="BO42" s="255"/>
      <c r="BP42" s="264">
        <f t="shared" si="81"/>
        <v>0</v>
      </c>
      <c r="BQ42" s="265"/>
      <c r="BR42" s="266">
        <f t="shared" si="107"/>
        <v>0</v>
      </c>
      <c r="BS42" s="267">
        <f t="shared" si="82"/>
        <v>0</v>
      </c>
      <c r="BT42" s="268"/>
      <c r="BU42" s="267">
        <f t="shared" si="108"/>
        <v>0</v>
      </c>
      <c r="BV42" s="267">
        <f t="shared" si="83"/>
        <v>0</v>
      </c>
      <c r="BW42" s="268"/>
      <c r="BX42" s="267">
        <f t="shared" si="109"/>
        <v>0</v>
      </c>
      <c r="BY42" s="267">
        <f t="shared" si="84"/>
        <v>0</v>
      </c>
      <c r="BZ42" s="268"/>
      <c r="CA42" s="267">
        <f t="shared" si="110"/>
        <v>0</v>
      </c>
      <c r="CB42" s="267">
        <f t="shared" si="85"/>
        <v>0</v>
      </c>
      <c r="CC42" s="268"/>
      <c r="CD42" s="267">
        <f t="shared" si="111"/>
        <v>0</v>
      </c>
      <c r="CE42" s="175">
        <f t="shared" si="112"/>
        <v>0</v>
      </c>
      <c r="CF42" s="200">
        <f t="shared" si="86"/>
        <v>0</v>
      </c>
      <c r="CG42" s="203"/>
      <c r="CH42" s="207">
        <f t="shared" si="113"/>
        <v>0</v>
      </c>
      <c r="CI42" s="182"/>
      <c r="CJ42" s="208">
        <f t="shared" si="114"/>
        <v>0</v>
      </c>
      <c r="CK42" s="200">
        <f t="shared" si="87"/>
        <v>0</v>
      </c>
      <c r="CL42" s="201"/>
      <c r="CM42" s="202">
        <f t="shared" si="115"/>
        <v>0</v>
      </c>
      <c r="CN42" s="200">
        <f t="shared" si="88"/>
        <v>0</v>
      </c>
      <c r="CO42" s="173"/>
      <c r="CP42" s="262">
        <f t="shared" si="116"/>
        <v>0</v>
      </c>
      <c r="CQ42" s="184">
        <f t="shared" si="117"/>
        <v>0</v>
      </c>
      <c r="CR42" s="188" t="str">
        <f t="shared" si="89"/>
        <v/>
      </c>
      <c r="CS42" s="189"/>
      <c r="CT42" s="190" t="str">
        <f t="shared" si="118"/>
        <v/>
      </c>
      <c r="CU42" s="188" t="str">
        <f t="shared" si="90"/>
        <v/>
      </c>
      <c r="CV42" s="189"/>
      <c r="CW42" s="190" t="str">
        <f t="shared" si="119"/>
        <v/>
      </c>
      <c r="CX42" s="209" t="str">
        <f t="shared" si="120"/>
        <v/>
      </c>
      <c r="CY42" s="210"/>
      <c r="DA42" s="53">
        <f>IF(AND(CT42&lt;&gt;"",OR(CT42&lt;EXPEDIENTE!$I$25,CT42&gt;EXPEDIENTE!$I$29)),1,0)</f>
        <v>0</v>
      </c>
      <c r="DB42" s="53">
        <f>IF(AND(CW42&lt;&gt;"",OR(CW42&lt;EXPEDIENTE!$I$25,CW42&gt;EXPEDIENTE!$I$29)),1,0)</f>
        <v>0</v>
      </c>
      <c r="DD42" s="55">
        <f t="shared" si="91"/>
        <v>0</v>
      </c>
      <c r="DE42" s="55">
        <f t="shared" si="121"/>
        <v>0</v>
      </c>
      <c r="DF42" s="55">
        <f t="shared" si="122"/>
        <v>0</v>
      </c>
      <c r="DG42" s="55">
        <f t="shared" si="123"/>
        <v>0</v>
      </c>
      <c r="DH42" s="55">
        <f t="shared" si="124"/>
        <v>0</v>
      </c>
      <c r="DI42" s="55">
        <f t="shared" si="125"/>
        <v>0</v>
      </c>
      <c r="DJ42" s="55">
        <f t="shared" si="126"/>
        <v>0</v>
      </c>
      <c r="DK42" s="55">
        <f t="shared" si="127"/>
        <v>0</v>
      </c>
      <c r="DL42" s="55">
        <f t="shared" si="128"/>
        <v>0</v>
      </c>
      <c r="DM42" s="55">
        <f t="shared" si="129"/>
        <v>0</v>
      </c>
      <c r="DN42" s="55">
        <f t="shared" si="130"/>
        <v>0</v>
      </c>
      <c r="DO42" s="55">
        <f t="shared" si="131"/>
        <v>0</v>
      </c>
      <c r="DP42" s="55">
        <f t="shared" si="132"/>
        <v>0</v>
      </c>
      <c r="DQ42" s="55">
        <f t="shared" si="133"/>
        <v>0</v>
      </c>
      <c r="DR42" s="55">
        <f t="shared" si="134"/>
        <v>0</v>
      </c>
      <c r="DS42" s="55">
        <f t="shared" si="135"/>
        <v>0</v>
      </c>
      <c r="DT42" s="55">
        <f t="shared" si="136"/>
        <v>0</v>
      </c>
      <c r="DU42" s="55">
        <f t="shared" si="137"/>
        <v>0</v>
      </c>
      <c r="DW42" s="55">
        <f>IF(CY42&lt;&gt;"",MAX($DW$9:DW41)+1,0)</f>
        <v>0</v>
      </c>
      <c r="DX42" s="130" t="str">
        <f t="shared" si="92"/>
        <v/>
      </c>
    </row>
    <row r="43" spans="2:128" ht="30" customHeight="1" x14ac:dyDescent="0.25">
      <c r="B43" s="972"/>
      <c r="C43" s="332"/>
      <c r="D43" s="73"/>
      <c r="E43" s="260"/>
      <c r="F43" s="194"/>
      <c r="G43" s="195"/>
      <c r="H43" s="195"/>
      <c r="I43" s="195"/>
      <c r="J43" s="195"/>
      <c r="K43" s="195"/>
      <c r="L43" s="203">
        <f t="shared" si="139"/>
        <v>0</v>
      </c>
      <c r="M43" s="175">
        <f t="shared" si="140"/>
        <v>0</v>
      </c>
      <c r="N43" s="247"/>
      <c r="O43" s="194"/>
      <c r="P43" s="195"/>
      <c r="Q43" s="195"/>
      <c r="R43" s="195"/>
      <c r="S43" s="195"/>
      <c r="T43" s="203">
        <f t="shared" si="94"/>
        <v>0</v>
      </c>
      <c r="U43" s="300"/>
      <c r="V43" s="163"/>
      <c r="W43" s="208">
        <f t="shared" si="95"/>
        <v>0</v>
      </c>
      <c r="X43" s="194"/>
      <c r="Y43" s="195"/>
      <c r="Z43" s="173">
        <f t="shared" si="96"/>
        <v>0</v>
      </c>
      <c r="AA43" s="164"/>
      <c r="AB43" s="165"/>
      <c r="AC43" s="322"/>
      <c r="AD43" s="323"/>
      <c r="AE43" s="261"/>
      <c r="AF43" s="357"/>
      <c r="AG43" s="53">
        <f>IF(AND(AA43&lt;&gt;"",OR(AA43&lt;EXPEDIENTE!$I$25,AA43&gt;EXPEDIENTE!$I$29)),1,0)</f>
        <v>0</v>
      </c>
      <c r="AH43" s="53">
        <f>IF(AND(AB43&lt;&gt;"",OR(AB43&lt;EXPEDIENTE!$I$25,AB43&gt;EXPEDIENTE!$I$29)),1,0)</f>
        <v>0</v>
      </c>
      <c r="AM43" s="1014"/>
      <c r="AN43" s="559" t="str">
        <f t="shared" si="73"/>
        <v/>
      </c>
      <c r="AO43" s="188" t="str">
        <f t="shared" si="73"/>
        <v/>
      </c>
      <c r="AP43" s="189"/>
      <c r="AQ43" s="190" t="str">
        <f t="shared" si="97"/>
        <v/>
      </c>
      <c r="AR43" s="188" t="str">
        <f t="shared" si="74"/>
        <v/>
      </c>
      <c r="AS43" s="189"/>
      <c r="AT43" s="190" t="str">
        <f t="shared" si="98"/>
        <v/>
      </c>
      <c r="AU43" s="170">
        <f t="shared" si="75"/>
        <v>0</v>
      </c>
      <c r="AV43" s="201"/>
      <c r="AW43" s="202">
        <f t="shared" si="99"/>
        <v>0</v>
      </c>
      <c r="AX43" s="200">
        <f t="shared" si="76"/>
        <v>0</v>
      </c>
      <c r="AY43" s="203"/>
      <c r="AZ43" s="204">
        <f t="shared" si="100"/>
        <v>0</v>
      </c>
      <c r="BA43" s="204">
        <f t="shared" si="77"/>
        <v>0</v>
      </c>
      <c r="BB43" s="203"/>
      <c r="BC43" s="204">
        <f t="shared" si="101"/>
        <v>0</v>
      </c>
      <c r="BD43" s="204">
        <f t="shared" si="78"/>
        <v>0</v>
      </c>
      <c r="BE43" s="203"/>
      <c r="BF43" s="204">
        <f t="shared" si="102"/>
        <v>0</v>
      </c>
      <c r="BG43" s="204">
        <f t="shared" si="79"/>
        <v>0</v>
      </c>
      <c r="BH43" s="203"/>
      <c r="BI43" s="204">
        <f t="shared" si="103"/>
        <v>0</v>
      </c>
      <c r="BJ43" s="204">
        <f t="shared" si="80"/>
        <v>0</v>
      </c>
      <c r="BK43" s="203"/>
      <c r="BL43" s="204">
        <f t="shared" si="104"/>
        <v>0</v>
      </c>
      <c r="BM43" s="175">
        <f t="shared" si="105"/>
        <v>0</v>
      </c>
      <c r="BN43" s="205">
        <f t="shared" si="106"/>
        <v>0</v>
      </c>
      <c r="BO43" s="255"/>
      <c r="BP43" s="264">
        <f t="shared" si="81"/>
        <v>0</v>
      </c>
      <c r="BQ43" s="265"/>
      <c r="BR43" s="266">
        <f t="shared" si="107"/>
        <v>0</v>
      </c>
      <c r="BS43" s="267">
        <f t="shared" si="82"/>
        <v>0</v>
      </c>
      <c r="BT43" s="268"/>
      <c r="BU43" s="267">
        <f t="shared" si="108"/>
        <v>0</v>
      </c>
      <c r="BV43" s="267">
        <f t="shared" si="83"/>
        <v>0</v>
      </c>
      <c r="BW43" s="268"/>
      <c r="BX43" s="267">
        <f t="shared" si="109"/>
        <v>0</v>
      </c>
      <c r="BY43" s="267">
        <f t="shared" si="84"/>
        <v>0</v>
      </c>
      <c r="BZ43" s="268"/>
      <c r="CA43" s="267">
        <f t="shared" si="110"/>
        <v>0</v>
      </c>
      <c r="CB43" s="267">
        <f t="shared" si="85"/>
        <v>0</v>
      </c>
      <c r="CC43" s="268"/>
      <c r="CD43" s="267">
        <f t="shared" si="111"/>
        <v>0</v>
      </c>
      <c r="CE43" s="175">
        <f t="shared" si="112"/>
        <v>0</v>
      </c>
      <c r="CF43" s="200">
        <f t="shared" si="86"/>
        <v>0</v>
      </c>
      <c r="CG43" s="203"/>
      <c r="CH43" s="207">
        <f t="shared" si="113"/>
        <v>0</v>
      </c>
      <c r="CI43" s="182"/>
      <c r="CJ43" s="208">
        <f t="shared" si="114"/>
        <v>0</v>
      </c>
      <c r="CK43" s="200">
        <f t="shared" si="87"/>
        <v>0</v>
      </c>
      <c r="CL43" s="201"/>
      <c r="CM43" s="202">
        <f t="shared" si="115"/>
        <v>0</v>
      </c>
      <c r="CN43" s="200">
        <f t="shared" si="88"/>
        <v>0</v>
      </c>
      <c r="CO43" s="173"/>
      <c r="CP43" s="262">
        <f t="shared" si="116"/>
        <v>0</v>
      </c>
      <c r="CQ43" s="184">
        <f t="shared" si="117"/>
        <v>0</v>
      </c>
      <c r="CR43" s="188" t="str">
        <f t="shared" si="89"/>
        <v/>
      </c>
      <c r="CS43" s="189"/>
      <c r="CT43" s="190" t="str">
        <f t="shared" si="118"/>
        <v/>
      </c>
      <c r="CU43" s="188" t="str">
        <f t="shared" si="90"/>
        <v/>
      </c>
      <c r="CV43" s="189"/>
      <c r="CW43" s="190" t="str">
        <f t="shared" si="119"/>
        <v/>
      </c>
      <c r="CX43" s="209" t="str">
        <f t="shared" si="120"/>
        <v/>
      </c>
      <c r="CY43" s="210"/>
      <c r="DA43" s="53">
        <f>IF(AND(CT43&lt;&gt;"",OR(CT43&lt;EXPEDIENTE!$I$25,CT43&gt;EXPEDIENTE!$I$29)),1,0)</f>
        <v>0</v>
      </c>
      <c r="DB43" s="53">
        <f>IF(AND(CW43&lt;&gt;"",OR(CW43&lt;EXPEDIENTE!$I$25,CW43&gt;EXPEDIENTE!$I$29)),1,0)</f>
        <v>0</v>
      </c>
      <c r="DD43" s="55">
        <f t="shared" si="91"/>
        <v>0</v>
      </c>
      <c r="DE43" s="55">
        <f t="shared" si="121"/>
        <v>0</v>
      </c>
      <c r="DF43" s="55">
        <f t="shared" si="122"/>
        <v>0</v>
      </c>
      <c r="DG43" s="55">
        <f t="shared" si="123"/>
        <v>0</v>
      </c>
      <c r="DH43" s="55">
        <f t="shared" si="124"/>
        <v>0</v>
      </c>
      <c r="DI43" s="55">
        <f t="shared" si="125"/>
        <v>0</v>
      </c>
      <c r="DJ43" s="55">
        <f t="shared" si="126"/>
        <v>0</v>
      </c>
      <c r="DK43" s="55">
        <f t="shared" si="127"/>
        <v>0</v>
      </c>
      <c r="DL43" s="55">
        <f t="shared" si="128"/>
        <v>0</v>
      </c>
      <c r="DM43" s="55">
        <f t="shared" si="129"/>
        <v>0</v>
      </c>
      <c r="DN43" s="55">
        <f t="shared" si="130"/>
        <v>0</v>
      </c>
      <c r="DO43" s="55">
        <f t="shared" si="131"/>
        <v>0</v>
      </c>
      <c r="DP43" s="55">
        <f t="shared" si="132"/>
        <v>0</v>
      </c>
      <c r="DQ43" s="55">
        <f t="shared" si="133"/>
        <v>0</v>
      </c>
      <c r="DR43" s="55">
        <f t="shared" si="134"/>
        <v>0</v>
      </c>
      <c r="DS43" s="55">
        <f t="shared" si="135"/>
        <v>0</v>
      </c>
      <c r="DT43" s="55">
        <f t="shared" si="136"/>
        <v>0</v>
      </c>
      <c r="DU43" s="55">
        <f t="shared" si="137"/>
        <v>0</v>
      </c>
      <c r="DW43" s="55">
        <f>IF(CY43&lt;&gt;"",MAX($DW$9:DW42)+1,0)</f>
        <v>0</v>
      </c>
      <c r="DX43" s="130" t="str">
        <f t="shared" si="92"/>
        <v/>
      </c>
    </row>
    <row r="44" spans="2:128" ht="30" customHeight="1" x14ac:dyDescent="0.25">
      <c r="B44" s="972"/>
      <c r="C44" s="332"/>
      <c r="D44" s="73"/>
      <c r="E44" s="260"/>
      <c r="F44" s="194"/>
      <c r="G44" s="195"/>
      <c r="H44" s="195"/>
      <c r="I44" s="195"/>
      <c r="J44" s="195"/>
      <c r="K44" s="195"/>
      <c r="L44" s="203">
        <f t="shared" si="138"/>
        <v>0</v>
      </c>
      <c r="M44" s="175">
        <f t="shared" si="93"/>
        <v>0</v>
      </c>
      <c r="N44" s="247"/>
      <c r="O44" s="194"/>
      <c r="P44" s="195"/>
      <c r="Q44" s="195"/>
      <c r="R44" s="195"/>
      <c r="S44" s="195"/>
      <c r="T44" s="203">
        <f t="shared" si="94"/>
        <v>0</v>
      </c>
      <c r="U44" s="300"/>
      <c r="V44" s="163"/>
      <c r="W44" s="208">
        <f t="shared" si="95"/>
        <v>0</v>
      </c>
      <c r="X44" s="194"/>
      <c r="Y44" s="195"/>
      <c r="Z44" s="173">
        <f t="shared" si="96"/>
        <v>0</v>
      </c>
      <c r="AA44" s="164"/>
      <c r="AB44" s="165"/>
      <c r="AC44" s="322"/>
      <c r="AD44" s="323"/>
      <c r="AE44" s="261"/>
      <c r="AF44" s="357"/>
      <c r="AG44" s="53">
        <f>IF(AND(AA44&lt;&gt;"",OR(AA44&lt;EXPEDIENTE!$I$25,AA44&gt;EXPEDIENTE!$I$29)),1,0)</f>
        <v>0</v>
      </c>
      <c r="AH44" s="53">
        <f>IF(AND(AB44&lt;&gt;"",OR(AB44&lt;EXPEDIENTE!$I$25,AB44&gt;EXPEDIENTE!$I$29)),1,0)</f>
        <v>0</v>
      </c>
      <c r="AM44" s="1014"/>
      <c r="AN44" s="559" t="str">
        <f t="shared" si="73"/>
        <v/>
      </c>
      <c r="AO44" s="188" t="str">
        <f t="shared" si="73"/>
        <v/>
      </c>
      <c r="AP44" s="189"/>
      <c r="AQ44" s="190" t="str">
        <f t="shared" si="97"/>
        <v/>
      </c>
      <c r="AR44" s="188" t="str">
        <f t="shared" si="74"/>
        <v/>
      </c>
      <c r="AS44" s="189"/>
      <c r="AT44" s="190" t="str">
        <f t="shared" si="98"/>
        <v/>
      </c>
      <c r="AU44" s="170">
        <f t="shared" si="75"/>
        <v>0</v>
      </c>
      <c r="AV44" s="201"/>
      <c r="AW44" s="202">
        <f t="shared" si="99"/>
        <v>0</v>
      </c>
      <c r="AX44" s="200">
        <f t="shared" si="76"/>
        <v>0</v>
      </c>
      <c r="AY44" s="203"/>
      <c r="AZ44" s="204">
        <f t="shared" si="100"/>
        <v>0</v>
      </c>
      <c r="BA44" s="204">
        <f t="shared" si="77"/>
        <v>0</v>
      </c>
      <c r="BB44" s="203"/>
      <c r="BC44" s="204">
        <f t="shared" si="101"/>
        <v>0</v>
      </c>
      <c r="BD44" s="204">
        <f t="shared" si="78"/>
        <v>0</v>
      </c>
      <c r="BE44" s="203"/>
      <c r="BF44" s="204">
        <f t="shared" si="102"/>
        <v>0</v>
      </c>
      <c r="BG44" s="204">
        <f t="shared" si="79"/>
        <v>0</v>
      </c>
      <c r="BH44" s="203"/>
      <c r="BI44" s="204">
        <f t="shared" si="103"/>
        <v>0</v>
      </c>
      <c r="BJ44" s="204">
        <f t="shared" si="80"/>
        <v>0</v>
      </c>
      <c r="BK44" s="203"/>
      <c r="BL44" s="204">
        <f t="shared" si="104"/>
        <v>0</v>
      </c>
      <c r="BM44" s="175">
        <f t="shared" si="105"/>
        <v>0</v>
      </c>
      <c r="BN44" s="205">
        <f t="shared" si="106"/>
        <v>0</v>
      </c>
      <c r="BO44" s="255"/>
      <c r="BP44" s="264">
        <f t="shared" si="81"/>
        <v>0</v>
      </c>
      <c r="BQ44" s="265"/>
      <c r="BR44" s="266">
        <f t="shared" si="107"/>
        <v>0</v>
      </c>
      <c r="BS44" s="267">
        <f t="shared" si="82"/>
        <v>0</v>
      </c>
      <c r="BT44" s="268"/>
      <c r="BU44" s="267">
        <f t="shared" si="108"/>
        <v>0</v>
      </c>
      <c r="BV44" s="267">
        <f t="shared" si="83"/>
        <v>0</v>
      </c>
      <c r="BW44" s="268"/>
      <c r="BX44" s="267">
        <f t="shared" si="109"/>
        <v>0</v>
      </c>
      <c r="BY44" s="267">
        <f t="shared" si="84"/>
        <v>0</v>
      </c>
      <c r="BZ44" s="268"/>
      <c r="CA44" s="267">
        <f t="shared" si="110"/>
        <v>0</v>
      </c>
      <c r="CB44" s="267">
        <f t="shared" si="85"/>
        <v>0</v>
      </c>
      <c r="CC44" s="268"/>
      <c r="CD44" s="267">
        <f t="shared" si="111"/>
        <v>0</v>
      </c>
      <c r="CE44" s="175">
        <f t="shared" si="112"/>
        <v>0</v>
      </c>
      <c r="CF44" s="200">
        <f t="shared" si="86"/>
        <v>0</v>
      </c>
      <c r="CG44" s="203"/>
      <c r="CH44" s="207">
        <f t="shared" si="113"/>
        <v>0</v>
      </c>
      <c r="CI44" s="182"/>
      <c r="CJ44" s="208">
        <f t="shared" si="114"/>
        <v>0</v>
      </c>
      <c r="CK44" s="200">
        <f t="shared" si="87"/>
        <v>0</v>
      </c>
      <c r="CL44" s="201"/>
      <c r="CM44" s="202">
        <f t="shared" si="115"/>
        <v>0</v>
      </c>
      <c r="CN44" s="200">
        <f t="shared" si="88"/>
        <v>0</v>
      </c>
      <c r="CO44" s="173"/>
      <c r="CP44" s="262">
        <f t="shared" si="116"/>
        <v>0</v>
      </c>
      <c r="CQ44" s="184">
        <f t="shared" si="117"/>
        <v>0</v>
      </c>
      <c r="CR44" s="188" t="str">
        <f t="shared" si="89"/>
        <v/>
      </c>
      <c r="CS44" s="189"/>
      <c r="CT44" s="190" t="str">
        <f t="shared" si="118"/>
        <v/>
      </c>
      <c r="CU44" s="188" t="str">
        <f t="shared" si="90"/>
        <v/>
      </c>
      <c r="CV44" s="189"/>
      <c r="CW44" s="190" t="str">
        <f t="shared" si="119"/>
        <v/>
      </c>
      <c r="CX44" s="209" t="str">
        <f t="shared" si="120"/>
        <v/>
      </c>
      <c r="CY44" s="210"/>
      <c r="DA44" s="53">
        <f>IF(AND(CT44&lt;&gt;"",OR(CT44&lt;EXPEDIENTE!$I$25,CT44&gt;EXPEDIENTE!$I$29)),1,0)</f>
        <v>0</v>
      </c>
      <c r="DB44" s="53">
        <f>IF(AND(CW44&lt;&gt;"",OR(CW44&lt;EXPEDIENTE!$I$25,CW44&gt;EXPEDIENTE!$I$29)),1,0)</f>
        <v>0</v>
      </c>
      <c r="DD44" s="55">
        <f t="shared" si="91"/>
        <v>0</v>
      </c>
      <c r="DE44" s="55">
        <f t="shared" si="121"/>
        <v>0</v>
      </c>
      <c r="DF44" s="55">
        <f t="shared" si="122"/>
        <v>0</v>
      </c>
      <c r="DG44" s="55">
        <f t="shared" si="123"/>
        <v>0</v>
      </c>
      <c r="DH44" s="55">
        <f t="shared" si="124"/>
        <v>0</v>
      </c>
      <c r="DI44" s="55">
        <f t="shared" si="125"/>
        <v>0</v>
      </c>
      <c r="DJ44" s="55">
        <f t="shared" si="126"/>
        <v>0</v>
      </c>
      <c r="DK44" s="55">
        <f t="shared" si="127"/>
        <v>0</v>
      </c>
      <c r="DL44" s="55">
        <f t="shared" si="128"/>
        <v>0</v>
      </c>
      <c r="DM44" s="55">
        <f t="shared" si="129"/>
        <v>0</v>
      </c>
      <c r="DN44" s="55">
        <f t="shared" si="130"/>
        <v>0</v>
      </c>
      <c r="DO44" s="55">
        <f t="shared" si="131"/>
        <v>0</v>
      </c>
      <c r="DP44" s="55">
        <f t="shared" si="132"/>
        <v>0</v>
      </c>
      <c r="DQ44" s="55">
        <f t="shared" si="133"/>
        <v>0</v>
      </c>
      <c r="DR44" s="55">
        <f t="shared" si="134"/>
        <v>0</v>
      </c>
      <c r="DS44" s="55">
        <f t="shared" si="135"/>
        <v>0</v>
      </c>
      <c r="DT44" s="55">
        <f t="shared" si="136"/>
        <v>0</v>
      </c>
      <c r="DU44" s="55">
        <f t="shared" si="137"/>
        <v>0</v>
      </c>
      <c r="DW44" s="55">
        <f>IF(CY44&lt;&gt;"",MAX($DW$9:DW43)+1,0)</f>
        <v>0</v>
      </c>
      <c r="DX44" s="130" t="str">
        <f t="shared" si="92"/>
        <v/>
      </c>
    </row>
    <row r="45" spans="2:128" ht="30" customHeight="1" thickBot="1" x14ac:dyDescent="0.3">
      <c r="B45" s="972"/>
      <c r="C45" s="333"/>
      <c r="D45" s="269"/>
      <c r="E45" s="270"/>
      <c r="F45" s="215"/>
      <c r="G45" s="213"/>
      <c r="H45" s="213"/>
      <c r="I45" s="213"/>
      <c r="J45" s="213"/>
      <c r="K45" s="213"/>
      <c r="L45" s="268">
        <f t="shared" si="138"/>
        <v>0</v>
      </c>
      <c r="M45" s="696">
        <f t="shared" si="93"/>
        <v>0</v>
      </c>
      <c r="N45" s="247"/>
      <c r="O45" s="215"/>
      <c r="P45" s="216"/>
      <c r="Q45" s="216"/>
      <c r="R45" s="216"/>
      <c r="S45" s="216"/>
      <c r="T45" s="227">
        <f t="shared" si="94"/>
        <v>0</v>
      </c>
      <c r="U45" s="301"/>
      <c r="V45" s="163"/>
      <c r="W45" s="697">
        <f t="shared" si="95"/>
        <v>0</v>
      </c>
      <c r="X45" s="212"/>
      <c r="Y45" s="213"/>
      <c r="Z45" s="698">
        <f t="shared" si="96"/>
        <v>0</v>
      </c>
      <c r="AA45" s="218"/>
      <c r="AB45" s="219"/>
      <c r="AC45" s="324"/>
      <c r="AD45" s="325"/>
      <c r="AE45" s="302"/>
      <c r="AF45" s="357"/>
      <c r="AG45" s="53">
        <f>IF(AND(AA45&lt;&gt;"",OR(AA45&lt;EXPEDIENTE!$I$25,AA45&gt;EXPEDIENTE!$I$29)),1,0)</f>
        <v>0</v>
      </c>
      <c r="AH45" s="53">
        <f>IF(AND(AB45&lt;&gt;"",OR(AB45&lt;EXPEDIENTE!$I$25,AB45&gt;EXPEDIENTE!$I$29)),1,0)</f>
        <v>0</v>
      </c>
      <c r="AM45" s="1014"/>
      <c r="AN45" s="560" t="str">
        <f t="shared" si="73"/>
        <v/>
      </c>
      <c r="AO45" s="236" t="str">
        <f t="shared" si="73"/>
        <v/>
      </c>
      <c r="AP45" s="237"/>
      <c r="AQ45" s="238" t="str">
        <f t="shared" si="97"/>
        <v/>
      </c>
      <c r="AR45" s="236" t="str">
        <f t="shared" si="74"/>
        <v/>
      </c>
      <c r="AS45" s="237"/>
      <c r="AT45" s="238" t="str">
        <f t="shared" si="98"/>
        <v/>
      </c>
      <c r="AU45" s="272">
        <f t="shared" si="75"/>
        <v>0</v>
      </c>
      <c r="AV45" s="225"/>
      <c r="AW45" s="226">
        <f t="shared" si="99"/>
        <v>0</v>
      </c>
      <c r="AX45" s="224">
        <f t="shared" si="76"/>
        <v>0</v>
      </c>
      <c r="AY45" s="227"/>
      <c r="AZ45" s="228">
        <f t="shared" si="100"/>
        <v>0</v>
      </c>
      <c r="BA45" s="228">
        <f t="shared" si="77"/>
        <v>0</v>
      </c>
      <c r="BB45" s="227"/>
      <c r="BC45" s="228">
        <f t="shared" si="101"/>
        <v>0</v>
      </c>
      <c r="BD45" s="228">
        <f t="shared" si="78"/>
        <v>0</v>
      </c>
      <c r="BE45" s="227"/>
      <c r="BF45" s="228">
        <f t="shared" si="102"/>
        <v>0</v>
      </c>
      <c r="BG45" s="228">
        <f t="shared" si="79"/>
        <v>0</v>
      </c>
      <c r="BH45" s="227"/>
      <c r="BI45" s="228">
        <f t="shared" si="103"/>
        <v>0</v>
      </c>
      <c r="BJ45" s="228">
        <f t="shared" si="80"/>
        <v>0</v>
      </c>
      <c r="BK45" s="227"/>
      <c r="BL45" s="228">
        <f t="shared" si="104"/>
        <v>0</v>
      </c>
      <c r="BM45" s="229">
        <f t="shared" si="105"/>
        <v>0</v>
      </c>
      <c r="BN45" s="205">
        <f t="shared" si="106"/>
        <v>0</v>
      </c>
      <c r="BO45" s="255"/>
      <c r="BP45" s="224">
        <f t="shared" si="81"/>
        <v>0</v>
      </c>
      <c r="BQ45" s="225"/>
      <c r="BR45" s="231">
        <f t="shared" si="107"/>
        <v>0</v>
      </c>
      <c r="BS45" s="228">
        <f t="shared" si="82"/>
        <v>0</v>
      </c>
      <c r="BT45" s="227"/>
      <c r="BU45" s="228">
        <f t="shared" si="108"/>
        <v>0</v>
      </c>
      <c r="BV45" s="228">
        <f t="shared" si="83"/>
        <v>0</v>
      </c>
      <c r="BW45" s="227"/>
      <c r="BX45" s="228">
        <f t="shared" si="109"/>
        <v>0</v>
      </c>
      <c r="BY45" s="228">
        <f t="shared" si="84"/>
        <v>0</v>
      </c>
      <c r="BZ45" s="227"/>
      <c r="CA45" s="228">
        <f t="shared" si="110"/>
        <v>0</v>
      </c>
      <c r="CB45" s="228">
        <f t="shared" si="85"/>
        <v>0</v>
      </c>
      <c r="CC45" s="227"/>
      <c r="CD45" s="228">
        <f t="shared" si="111"/>
        <v>0</v>
      </c>
      <c r="CE45" s="229">
        <f t="shared" si="112"/>
        <v>0</v>
      </c>
      <c r="CF45" s="224">
        <f t="shared" si="86"/>
        <v>0</v>
      </c>
      <c r="CG45" s="227"/>
      <c r="CH45" s="232">
        <f t="shared" si="113"/>
        <v>0</v>
      </c>
      <c r="CI45" s="182"/>
      <c r="CJ45" s="230">
        <f t="shared" si="114"/>
        <v>0</v>
      </c>
      <c r="CK45" s="224">
        <f t="shared" si="87"/>
        <v>0</v>
      </c>
      <c r="CL45" s="225"/>
      <c r="CM45" s="226">
        <f t="shared" si="115"/>
        <v>0</v>
      </c>
      <c r="CN45" s="224">
        <f t="shared" si="88"/>
        <v>0</v>
      </c>
      <c r="CO45" s="273"/>
      <c r="CP45" s="274">
        <f t="shared" si="116"/>
        <v>0</v>
      </c>
      <c r="CQ45" s="275">
        <f t="shared" si="117"/>
        <v>0</v>
      </c>
      <c r="CR45" s="236" t="str">
        <f t="shared" si="89"/>
        <v/>
      </c>
      <c r="CS45" s="237"/>
      <c r="CT45" s="238" t="str">
        <f t="shared" si="118"/>
        <v/>
      </c>
      <c r="CU45" s="236" t="str">
        <f t="shared" si="90"/>
        <v/>
      </c>
      <c r="CV45" s="237"/>
      <c r="CW45" s="238" t="str">
        <f t="shared" si="119"/>
        <v/>
      </c>
      <c r="CX45" s="239" t="str">
        <f t="shared" si="120"/>
        <v/>
      </c>
      <c r="CY45" s="240"/>
      <c r="DA45" s="53">
        <f>IF(AND(CT45&lt;&gt;"",OR(CT45&lt;EXPEDIENTE!$I$25,CT45&gt;EXPEDIENTE!$I$29)),1,0)</f>
        <v>0</v>
      </c>
      <c r="DB45" s="53">
        <f>IF(AND(CW45&lt;&gt;"",OR(CW45&lt;EXPEDIENTE!$I$25,CW45&gt;EXPEDIENTE!$I$29)),1,0)</f>
        <v>0</v>
      </c>
      <c r="DD45" s="55">
        <f t="shared" si="91"/>
        <v>0</v>
      </c>
      <c r="DE45" s="55">
        <f t="shared" si="121"/>
        <v>0</v>
      </c>
      <c r="DF45" s="55">
        <f t="shared" si="122"/>
        <v>0</v>
      </c>
      <c r="DG45" s="55">
        <f t="shared" si="123"/>
        <v>0</v>
      </c>
      <c r="DH45" s="55">
        <f t="shared" si="124"/>
        <v>0</v>
      </c>
      <c r="DI45" s="55">
        <f t="shared" si="125"/>
        <v>0</v>
      </c>
      <c r="DJ45" s="55">
        <f t="shared" si="126"/>
        <v>0</v>
      </c>
      <c r="DK45" s="55">
        <f t="shared" si="127"/>
        <v>0</v>
      </c>
      <c r="DL45" s="55">
        <f t="shared" si="128"/>
        <v>0</v>
      </c>
      <c r="DM45" s="55">
        <f t="shared" si="129"/>
        <v>0</v>
      </c>
      <c r="DN45" s="55">
        <f t="shared" si="130"/>
        <v>0</v>
      </c>
      <c r="DO45" s="55">
        <f t="shared" si="131"/>
        <v>0</v>
      </c>
      <c r="DP45" s="55">
        <f t="shared" si="132"/>
        <v>0</v>
      </c>
      <c r="DQ45" s="55">
        <f t="shared" si="133"/>
        <v>0</v>
      </c>
      <c r="DR45" s="55">
        <f t="shared" si="134"/>
        <v>0</v>
      </c>
      <c r="DS45" s="55">
        <f t="shared" si="135"/>
        <v>0</v>
      </c>
      <c r="DT45" s="55">
        <f t="shared" si="136"/>
        <v>0</v>
      </c>
      <c r="DU45" s="55">
        <f t="shared" si="137"/>
        <v>0</v>
      </c>
      <c r="DW45" s="55">
        <f>IF(CY45&lt;&gt;"",MAX($DW$9:DW44)+1,0)</f>
        <v>0</v>
      </c>
      <c r="DX45" s="130" t="str">
        <f t="shared" si="92"/>
        <v/>
      </c>
    </row>
    <row r="46" spans="2:128" ht="9.9499999999999993" customHeight="1" thickBot="1" x14ac:dyDescent="0.3">
      <c r="B46" s="972"/>
      <c r="C46" s="336"/>
      <c r="D46" s="337"/>
      <c r="E46" s="337"/>
      <c r="F46" s="337"/>
      <c r="G46" s="337"/>
      <c r="H46" s="337"/>
      <c r="I46" s="337"/>
      <c r="J46" s="337"/>
      <c r="K46" s="337"/>
      <c r="L46" s="337"/>
      <c r="M46" s="338"/>
      <c r="N46" s="349"/>
      <c r="O46" s="354"/>
      <c r="P46" s="354"/>
      <c r="Q46" s="354"/>
      <c r="R46" s="354"/>
      <c r="S46" s="354"/>
      <c r="T46" s="354"/>
      <c r="U46" s="354"/>
      <c r="V46" s="351"/>
      <c r="W46" s="339"/>
      <c r="X46" s="337"/>
      <c r="Y46" s="337"/>
      <c r="Z46" s="337"/>
      <c r="AA46" s="337"/>
      <c r="AB46" s="337"/>
      <c r="AC46" s="337"/>
      <c r="AD46" s="337"/>
      <c r="AE46" s="337"/>
      <c r="AF46" s="357"/>
      <c r="AM46" s="1014"/>
      <c r="AN46" s="379"/>
      <c r="AO46" s="393"/>
      <c r="AP46" s="393"/>
      <c r="AQ46" s="393"/>
      <c r="AR46" s="393"/>
      <c r="AS46" s="393"/>
      <c r="AT46" s="393"/>
      <c r="AU46" s="393"/>
      <c r="AV46" s="393"/>
      <c r="AW46" s="393"/>
      <c r="AX46" s="393"/>
      <c r="AY46" s="393"/>
      <c r="AZ46" s="393"/>
      <c r="BA46" s="393"/>
      <c r="BB46" s="393"/>
      <c r="BC46" s="393"/>
      <c r="BD46" s="393"/>
      <c r="BE46" s="393"/>
      <c r="BF46" s="393"/>
      <c r="BG46" s="393"/>
      <c r="BH46" s="393"/>
      <c r="BI46" s="393"/>
      <c r="BJ46" s="393"/>
      <c r="BK46" s="393"/>
      <c r="BL46" s="393"/>
      <c r="BM46" s="393"/>
      <c r="BN46" s="400"/>
      <c r="BO46" s="404"/>
      <c r="BP46" s="405"/>
      <c r="BQ46" s="405"/>
      <c r="BR46" s="405"/>
      <c r="BS46" s="405"/>
      <c r="BT46" s="405"/>
      <c r="BU46" s="405"/>
      <c r="BV46" s="405"/>
      <c r="BW46" s="405"/>
      <c r="BX46" s="405"/>
      <c r="BY46" s="405"/>
      <c r="BZ46" s="405"/>
      <c r="CA46" s="405"/>
      <c r="CB46" s="405"/>
      <c r="CC46" s="405"/>
      <c r="CD46" s="405"/>
      <c r="CE46" s="405"/>
      <c r="CF46" s="352"/>
      <c r="CG46" s="352"/>
      <c r="CH46" s="352"/>
      <c r="CI46" s="406"/>
      <c r="CJ46" s="384"/>
      <c r="CK46" s="380"/>
      <c r="CL46" s="380"/>
      <c r="CM46" s="380"/>
      <c r="CN46" s="380"/>
      <c r="CO46" s="380"/>
      <c r="CP46" s="380"/>
      <c r="CQ46" s="380"/>
      <c r="CR46" s="380"/>
      <c r="CS46" s="380"/>
      <c r="CT46" s="380"/>
      <c r="CU46" s="380"/>
      <c r="CV46" s="380"/>
      <c r="CW46" s="380"/>
      <c r="CX46" s="380"/>
      <c r="CY46" s="385"/>
    </row>
    <row r="47" spans="2:128" ht="9.9499999999999993" customHeight="1" thickBot="1" x14ac:dyDescent="0.3">
      <c r="B47" s="972"/>
      <c r="C47" s="348"/>
      <c r="D47" s="341"/>
      <c r="E47" s="341"/>
      <c r="F47" s="341"/>
      <c r="G47" s="341"/>
      <c r="H47" s="341"/>
      <c r="I47" s="341"/>
      <c r="J47" s="341"/>
      <c r="K47" s="341"/>
      <c r="L47" s="341"/>
      <c r="M47" s="341"/>
      <c r="N47" s="341"/>
      <c r="O47" s="341"/>
      <c r="P47" s="341"/>
      <c r="Q47" s="341"/>
      <c r="R47" s="341"/>
      <c r="S47" s="341"/>
      <c r="T47" s="341"/>
      <c r="U47" s="341"/>
      <c r="V47" s="341"/>
      <c r="W47" s="341"/>
      <c r="X47" s="341"/>
      <c r="Y47" s="341"/>
      <c r="Z47" s="341"/>
      <c r="AA47" s="341"/>
      <c r="AB47" s="341"/>
      <c r="AC47" s="341"/>
      <c r="AD47" s="341"/>
      <c r="AE47" s="341"/>
      <c r="AF47" s="357"/>
      <c r="AM47" s="1014"/>
      <c r="AN47" s="377"/>
      <c r="AO47" s="378"/>
      <c r="AP47" s="378"/>
      <c r="AQ47" s="378"/>
      <c r="AR47" s="378"/>
      <c r="AS47" s="378"/>
      <c r="AT47" s="378"/>
      <c r="AU47" s="378"/>
      <c r="AV47" s="378"/>
      <c r="AW47" s="378"/>
      <c r="AX47" s="378"/>
      <c r="AY47" s="378"/>
      <c r="AZ47" s="378"/>
      <c r="BA47" s="378"/>
      <c r="BB47" s="378"/>
      <c r="BC47" s="378"/>
      <c r="BD47" s="378"/>
      <c r="BE47" s="378"/>
      <c r="BF47" s="378"/>
      <c r="BG47" s="378"/>
      <c r="BH47" s="378"/>
      <c r="BI47" s="378"/>
      <c r="BJ47" s="378"/>
      <c r="BK47" s="378"/>
      <c r="BL47" s="393"/>
      <c r="BM47" s="393"/>
      <c r="BN47" s="393"/>
      <c r="BO47" s="382"/>
      <c r="BP47" s="382"/>
      <c r="BQ47" s="382"/>
      <c r="BR47" s="382"/>
      <c r="BS47" s="382"/>
      <c r="BT47" s="382"/>
      <c r="BU47" s="382"/>
      <c r="BV47" s="382"/>
      <c r="BW47" s="382"/>
      <c r="BX47" s="382"/>
      <c r="BY47" s="382"/>
      <c r="BZ47" s="382"/>
      <c r="CA47" s="382"/>
      <c r="CB47" s="382"/>
      <c r="CC47" s="382"/>
      <c r="CD47" s="382"/>
      <c r="CE47" s="382"/>
      <c r="CF47" s="382"/>
      <c r="CG47" s="382"/>
      <c r="CH47" s="382"/>
      <c r="CI47" s="382"/>
      <c r="CJ47" s="393"/>
      <c r="CK47" s="393"/>
      <c r="CL47" s="393"/>
      <c r="CM47" s="393"/>
      <c r="CN47" s="393"/>
      <c r="CO47" s="393"/>
      <c r="CP47" s="393"/>
      <c r="CQ47" s="393"/>
      <c r="CR47" s="393"/>
      <c r="CS47" s="393"/>
      <c r="CT47" s="393"/>
      <c r="CU47" s="393"/>
      <c r="CV47" s="393"/>
      <c r="CW47" s="393"/>
      <c r="CX47" s="393"/>
      <c r="CY47" s="394"/>
    </row>
    <row r="48" spans="2:128" ht="9.9499999999999993" customHeight="1" thickTop="1" thickBot="1" x14ac:dyDescent="0.3">
      <c r="B48" s="972"/>
      <c r="C48" s="841" t="str">
        <f>CONCATENATE("SEGURIDAD SOCIAL EMPRESA EJERCICIO ",YEAR(EXPEDIENTE!F25)+3)</f>
        <v>SEGURIDAD SOCIAL EMPRESA EJERCICIO 2028</v>
      </c>
      <c r="D48" s="841"/>
      <c r="E48" s="841"/>
      <c r="F48" s="841"/>
      <c r="G48" s="841"/>
      <c r="H48" s="841"/>
      <c r="I48" s="841"/>
      <c r="J48" s="841"/>
      <c r="K48" s="841"/>
      <c r="L48" s="841"/>
      <c r="M48" s="841"/>
      <c r="N48" s="353"/>
      <c r="O48" s="365"/>
      <c r="P48" s="365"/>
      <c r="Q48" s="365"/>
      <c r="R48" s="365"/>
      <c r="S48" s="365"/>
      <c r="T48" s="365"/>
      <c r="U48" s="365"/>
      <c r="V48" s="365"/>
      <c r="W48" s="365"/>
      <c r="X48" s="365"/>
      <c r="Y48" s="365"/>
      <c r="Z48" s="365"/>
      <c r="AA48" s="365"/>
      <c r="AB48" s="365"/>
      <c r="AC48" s="365"/>
      <c r="AD48" s="365"/>
      <c r="AE48" s="365"/>
      <c r="AF48" s="363"/>
      <c r="AL48" s="82"/>
      <c r="AM48" s="1014"/>
      <c r="AN48" s="843" t="str">
        <f>CONCATENATE("SEGURIDAD SOCIAL EMPRESA EJERCICIO ",YEAR(EXPEDIENTE!$F$25)+3)</f>
        <v>SEGURIDAD SOCIAL EMPRESA EJERCICIO 2028</v>
      </c>
      <c r="AO48" s="843"/>
      <c r="AP48" s="843"/>
      <c r="AQ48" s="843"/>
      <c r="AR48" s="843"/>
      <c r="AS48" s="843"/>
      <c r="AT48" s="843"/>
      <c r="AU48" s="843"/>
      <c r="AV48" s="843"/>
      <c r="AW48" s="843"/>
      <c r="AX48" s="843"/>
      <c r="AY48" s="843"/>
      <c r="AZ48" s="843"/>
      <c r="BA48" s="843"/>
      <c r="BB48" s="843"/>
      <c r="BC48" s="843"/>
      <c r="BD48" s="843"/>
      <c r="BE48" s="843"/>
      <c r="BF48" s="843"/>
      <c r="BG48" s="843"/>
      <c r="BH48" s="843"/>
      <c r="BI48" s="843"/>
      <c r="BJ48" s="843"/>
      <c r="BK48" s="843"/>
      <c r="BL48" s="843"/>
      <c r="BM48" s="843"/>
      <c r="BN48" s="843"/>
      <c r="BO48" s="843"/>
      <c r="BP48" s="843"/>
      <c r="BQ48" s="843"/>
      <c r="BR48" s="843"/>
      <c r="BS48" s="844"/>
      <c r="BT48" s="368"/>
      <c r="BU48" s="368"/>
      <c r="BV48" s="368"/>
      <c r="BW48" s="368"/>
      <c r="BX48" s="368"/>
      <c r="BY48" s="368"/>
      <c r="BZ48" s="368"/>
      <c r="CA48" s="368"/>
      <c r="CB48" s="368"/>
      <c r="CC48" s="368"/>
      <c r="CD48" s="368"/>
      <c r="CE48" s="368"/>
      <c r="CF48" s="368"/>
      <c r="CG48" s="368"/>
      <c r="CH48" s="368"/>
      <c r="CI48" s="368"/>
      <c r="CJ48" s="368"/>
      <c r="CK48" s="368"/>
      <c r="CL48" s="368"/>
      <c r="CM48" s="368"/>
      <c r="CN48" s="368"/>
      <c r="CO48" s="368"/>
      <c r="CP48" s="368"/>
      <c r="CQ48" s="368"/>
      <c r="CR48" s="368"/>
      <c r="CS48" s="368"/>
      <c r="CT48" s="368"/>
      <c r="CU48" s="368"/>
      <c r="CV48" s="368"/>
      <c r="CW48" s="368"/>
      <c r="CX48" s="368"/>
      <c r="CY48" s="368"/>
      <c r="CZ48" s="82"/>
    </row>
    <row r="49" spans="2:128" ht="24.95" customHeight="1" thickTop="1" thickBot="1" x14ac:dyDescent="0.3">
      <c r="B49" s="972"/>
      <c r="C49" s="842"/>
      <c r="D49" s="842"/>
      <c r="E49" s="842"/>
      <c r="F49" s="842"/>
      <c r="G49" s="842"/>
      <c r="H49" s="842"/>
      <c r="I49" s="842"/>
      <c r="J49" s="842"/>
      <c r="K49" s="842"/>
      <c r="L49" s="842"/>
      <c r="M49" s="842"/>
      <c r="N49" s="362"/>
      <c r="AM49" s="1014"/>
      <c r="AN49" s="845"/>
      <c r="AO49" s="845"/>
      <c r="AP49" s="845"/>
      <c r="AQ49" s="845"/>
      <c r="AR49" s="845"/>
      <c r="AS49" s="845"/>
      <c r="AT49" s="845"/>
      <c r="AU49" s="845"/>
      <c r="AV49" s="845"/>
      <c r="AW49" s="845"/>
      <c r="AX49" s="845"/>
      <c r="AY49" s="845"/>
      <c r="AZ49" s="845"/>
      <c r="BA49" s="845"/>
      <c r="BB49" s="845"/>
      <c r="BC49" s="845"/>
      <c r="BD49" s="845"/>
      <c r="BE49" s="845"/>
      <c r="BF49" s="845"/>
      <c r="BG49" s="845"/>
      <c r="BH49" s="845"/>
      <c r="BI49" s="845"/>
      <c r="BJ49" s="845"/>
      <c r="BK49" s="845"/>
      <c r="BL49" s="845"/>
      <c r="BM49" s="845"/>
      <c r="BN49" s="845"/>
      <c r="BO49" s="845"/>
      <c r="BP49" s="845"/>
      <c r="BQ49" s="845"/>
      <c r="BR49" s="845"/>
      <c r="BS49" s="846"/>
      <c r="CY49" s="81"/>
      <c r="CZ49" s="53"/>
      <c r="DB49" s="47"/>
    </row>
    <row r="50" spans="2:128" ht="20.100000000000001" customHeight="1" thickTop="1" thickBot="1" x14ac:dyDescent="0.3">
      <c r="B50" s="972"/>
      <c r="C50" s="987" t="s">
        <v>91</v>
      </c>
      <c r="D50" s="989" t="str">
        <f>IF(OR(SUM(T20:T31)&gt;0,SUM(T38:T45)&gt;0),"BASE
COTIZACIÓN
SUBVENCIO.","BASE
COTIZACIÓN")</f>
        <v>BASE
COTIZACIÓN</v>
      </c>
      <c r="E50" s="989" t="s">
        <v>291</v>
      </c>
      <c r="F50" s="989" t="s">
        <v>292</v>
      </c>
      <c r="G50" s="989" t="s">
        <v>293</v>
      </c>
      <c r="H50" s="989" t="s">
        <v>294</v>
      </c>
      <c r="I50" s="1043" t="s">
        <v>295</v>
      </c>
      <c r="J50" s="992" t="s">
        <v>204</v>
      </c>
      <c r="K50" s="993"/>
      <c r="L50" s="993"/>
      <c r="M50" s="994"/>
      <c r="N50" s="362"/>
      <c r="AM50" s="1014"/>
      <c r="AN50" s="853" t="s">
        <v>91</v>
      </c>
      <c r="AO50" s="1016" t="s">
        <v>296</v>
      </c>
      <c r="AP50" s="1017"/>
      <c r="AQ50" s="1018"/>
      <c r="AR50" s="923" t="s">
        <v>291</v>
      </c>
      <c r="AS50" s="855"/>
      <c r="AT50" s="856"/>
      <c r="AU50" s="834" t="s">
        <v>297</v>
      </c>
      <c r="AV50" s="835"/>
      <c r="AW50" s="836"/>
      <c r="AX50" s="834" t="s">
        <v>298</v>
      </c>
      <c r="AY50" s="835"/>
      <c r="AZ50" s="836"/>
      <c r="BA50" s="923" t="s">
        <v>294</v>
      </c>
      <c r="BB50" s="855"/>
      <c r="BC50" s="856"/>
      <c r="BD50" s="834" t="s">
        <v>299</v>
      </c>
      <c r="BE50" s="835"/>
      <c r="BF50" s="836"/>
      <c r="BG50" s="847" t="s">
        <v>212</v>
      </c>
      <c r="BH50" s="871" t="s">
        <v>213</v>
      </c>
      <c r="BI50" s="872"/>
      <c r="BJ50" s="872"/>
      <c r="BK50" s="872"/>
      <c r="BL50" s="872"/>
      <c r="BM50" s="872"/>
      <c r="BN50" s="872"/>
      <c r="BO50" s="872"/>
      <c r="BP50" s="872"/>
      <c r="BQ50" s="872"/>
      <c r="BR50" s="872"/>
      <c r="BS50" s="873"/>
      <c r="DA50" s="47"/>
      <c r="DB50" s="47"/>
      <c r="DC50" s="53"/>
    </row>
    <row r="51" spans="2:128" ht="50.1" customHeight="1" thickBot="1" x14ac:dyDescent="0.3">
      <c r="B51" s="972"/>
      <c r="C51" s="988"/>
      <c r="D51" s="899"/>
      <c r="E51" s="899"/>
      <c r="F51" s="899"/>
      <c r="G51" s="899"/>
      <c r="H51" s="899"/>
      <c r="I51" s="901"/>
      <c r="J51" s="995"/>
      <c r="K51" s="996"/>
      <c r="L51" s="996"/>
      <c r="M51" s="997"/>
      <c r="N51" s="357"/>
      <c r="AM51" s="1014"/>
      <c r="AN51" s="854"/>
      <c r="AO51" s="149" t="s">
        <v>161</v>
      </c>
      <c r="AP51" s="557" t="s">
        <v>68</v>
      </c>
      <c r="AQ51" s="150" t="s">
        <v>162</v>
      </c>
      <c r="AR51" s="924"/>
      <c r="AS51" s="855"/>
      <c r="AT51" s="856"/>
      <c r="AU51" s="276" t="s">
        <v>161</v>
      </c>
      <c r="AV51" s="561" t="s">
        <v>68</v>
      </c>
      <c r="AW51" s="277" t="s">
        <v>162</v>
      </c>
      <c r="AX51" s="276" t="s">
        <v>161</v>
      </c>
      <c r="AY51" s="562" t="s">
        <v>68</v>
      </c>
      <c r="AZ51" s="277" t="s">
        <v>162</v>
      </c>
      <c r="BA51" s="924"/>
      <c r="BB51" s="855"/>
      <c r="BC51" s="856"/>
      <c r="BD51" s="276" t="s">
        <v>161</v>
      </c>
      <c r="BE51" s="562" t="s">
        <v>68</v>
      </c>
      <c r="BF51" s="277" t="s">
        <v>162</v>
      </c>
      <c r="BG51" s="848"/>
      <c r="BH51" s="874"/>
      <c r="BI51" s="875"/>
      <c r="BJ51" s="875"/>
      <c r="BK51" s="875"/>
      <c r="BL51" s="875"/>
      <c r="BM51" s="875"/>
      <c r="BN51" s="875"/>
      <c r="BO51" s="875"/>
      <c r="BP51" s="875"/>
      <c r="BQ51" s="875"/>
      <c r="BR51" s="875"/>
      <c r="BS51" s="876"/>
      <c r="DA51" s="47"/>
      <c r="DB51" s="47"/>
      <c r="DD51" s="55" t="s">
        <v>164</v>
      </c>
      <c r="DE51" s="55" t="s">
        <v>300</v>
      </c>
      <c r="DF51" s="55" t="s">
        <v>166</v>
      </c>
      <c r="DG51" s="55" t="s">
        <v>167</v>
      </c>
      <c r="DH51" s="55" t="s">
        <v>169</v>
      </c>
      <c r="DU51" s="47"/>
    </row>
    <row r="52" spans="2:128" ht="30" customHeight="1" x14ac:dyDescent="0.25">
      <c r="B52" s="972"/>
      <c r="C52" s="389" t="s">
        <v>270</v>
      </c>
      <c r="D52" s="160"/>
      <c r="E52" s="203">
        <f>ROUND(D52*$F$15,2)</f>
        <v>0</v>
      </c>
      <c r="F52" s="160"/>
      <c r="G52" s="160"/>
      <c r="H52" s="699">
        <f>E52+F52-G52</f>
        <v>0</v>
      </c>
      <c r="I52" s="342"/>
      <c r="J52" s="1006"/>
      <c r="K52" s="1007"/>
      <c r="L52" s="1007"/>
      <c r="M52" s="1008"/>
      <c r="N52" s="357"/>
      <c r="P52" s="837" t="str">
        <f>IF(OR(SUM(T20:T31)&gt;0,SUM(T38:T45)&gt;0),"NOTA:
Se ha minorado el importe subvencionable de alguna de las nóminas del ejercicio.
En consecuencia, en la columna:
''BASE
COTIZACIÓN
SUBVENCIO.''
se deberá reflejar la base de cotización mensual restándole dicha minoración.","")</f>
        <v/>
      </c>
      <c r="Q52" s="837"/>
      <c r="AG52" s="53">
        <f>IF(AND(I52&lt;&gt;"",OR(I52&lt;EXPEDIENTE!$I$25,I52&gt;EXPEDIENTE!$I$29)),1,0)</f>
        <v>0</v>
      </c>
      <c r="AI52" s="53">
        <f>IF(DATE(YEAR(EXPEDIENTE!$I$25)+3,MONTH(DATEVALUE($C52&amp;"1")),1)&gt;=DATE(YEAR(EXPEDIENTE!$I$25),MONTH(EXPEDIENTE!$I$25),1),0,1)</f>
        <v>0</v>
      </c>
      <c r="AJ52" s="53" t="e">
        <f>IF(DATE(YEAR(EXPEDIENTE!$I$25)+3,MONTH(DATEVALUE($C52&amp;"1")),1)&lt;=DATE(YEAR(EXPEDIENTE!$I$27),MONTH(EXPEDIENTE!$I$27),1),0,1)</f>
        <v>#VALUE!</v>
      </c>
      <c r="AK52" s="53" t="e">
        <f>SUM(AI52:AJ52)</f>
        <v>#VALUE!</v>
      </c>
      <c r="AM52" s="1014"/>
      <c r="AN52" s="387" t="s">
        <v>270</v>
      </c>
      <c r="AO52" s="179">
        <f>IF(D52="",0,D52)</f>
        <v>0</v>
      </c>
      <c r="AP52" s="180"/>
      <c r="AQ52" s="181">
        <f>IF(AP52="",AO52,AP52)</f>
        <v>0</v>
      </c>
      <c r="AR52" s="183">
        <f t="shared" ref="AR52:AR63" si="141">IFERROR(ROUND(AQ52*$AT$15,2),0)</f>
        <v>0</v>
      </c>
      <c r="AS52" s="855"/>
      <c r="AT52" s="856"/>
      <c r="AU52" s="179">
        <f>IF(F52="",0,F52)</f>
        <v>0</v>
      </c>
      <c r="AV52" s="180"/>
      <c r="AW52" s="181">
        <f>IF(AV52="",AU52,AV52)</f>
        <v>0</v>
      </c>
      <c r="AX52" s="170">
        <f>IF(G52="",0,G52)</f>
        <v>0</v>
      </c>
      <c r="AY52" s="173"/>
      <c r="AZ52" s="262">
        <f>IF(AY52="",AX52,AY52)</f>
        <v>0</v>
      </c>
      <c r="BA52" s="278">
        <f t="shared" ref="BA52:BA63" si="142">IFERROR(AR52+AW52-AZ52,0)</f>
        <v>0</v>
      </c>
      <c r="BB52" s="855"/>
      <c r="BC52" s="856"/>
      <c r="BD52" s="252" t="str">
        <f t="shared" ref="BD52:BD63" si="143">IF(I52="","",I52)</f>
        <v/>
      </c>
      <c r="BE52" s="259"/>
      <c r="BF52" s="254" t="str">
        <f>IF(BE52="",BD52,BE52)</f>
        <v/>
      </c>
      <c r="BG52" s="191" t="str">
        <f>IF(DD52=0,"",DD52)</f>
        <v/>
      </c>
      <c r="BH52" s="880"/>
      <c r="BI52" s="881"/>
      <c r="BJ52" s="881"/>
      <c r="BK52" s="881"/>
      <c r="BL52" s="881"/>
      <c r="BM52" s="881"/>
      <c r="BN52" s="881"/>
      <c r="BO52" s="881"/>
      <c r="BP52" s="881"/>
      <c r="BQ52" s="881"/>
      <c r="BR52" s="881"/>
      <c r="BS52" s="882"/>
      <c r="DA52" s="53">
        <f>IF(AND(BE52&lt;&gt;"",OR(BE52&lt;EXPEDIENTE!$I$25,BE52&gt;EXPEDIENTE!$I$29)),1,0)</f>
        <v>0</v>
      </c>
      <c r="DB52" s="47"/>
      <c r="DD52" s="55">
        <f t="shared" ref="DD52:DD63" si="144">SUM(DE52:DT52)</f>
        <v>0</v>
      </c>
      <c r="DE52" s="55">
        <f>IF(AP52="",0,1)</f>
        <v>0</v>
      </c>
      <c r="DF52" s="55">
        <f>IF(AV52="",0,1)</f>
        <v>0</v>
      </c>
      <c r="DG52" s="55">
        <f>IF(AY52="",0,1)</f>
        <v>0</v>
      </c>
      <c r="DH52" s="55">
        <f t="shared" ref="DH52:DH63" si="145">IF(BE52="",0,1)</f>
        <v>0</v>
      </c>
      <c r="DU52" s="47"/>
      <c r="DW52" s="55">
        <f>IF(BH52&lt;&gt;"",MAX($DW$9:DW51)+1,0)</f>
        <v>0</v>
      </c>
      <c r="DX52" s="130" t="str">
        <f>IF(DW52=0,"",BH52)</f>
        <v/>
      </c>
    </row>
    <row r="53" spans="2:128" ht="30" customHeight="1" x14ac:dyDescent="0.25">
      <c r="B53" s="972"/>
      <c r="C53" s="390" t="s">
        <v>271</v>
      </c>
      <c r="D53" s="195"/>
      <c r="E53" s="203">
        <f t="shared" ref="E53:E63" si="146">ROUND(D53*$F$15,2)</f>
        <v>0</v>
      </c>
      <c r="F53" s="195"/>
      <c r="G53" s="195"/>
      <c r="H53" s="692">
        <f t="shared" ref="H53:H63" si="147">E53+F53-G53</f>
        <v>0</v>
      </c>
      <c r="I53" s="343"/>
      <c r="J53" s="1001"/>
      <c r="K53" s="1002"/>
      <c r="L53" s="1002"/>
      <c r="M53" s="1003"/>
      <c r="N53" s="357"/>
      <c r="O53" s="633"/>
      <c r="P53" s="837"/>
      <c r="Q53" s="837"/>
      <c r="AG53" s="53">
        <f>IF(AND(I53&lt;&gt;"",OR(I53&lt;EXPEDIENTE!$I$25,I53&gt;EXPEDIENTE!$I$29)),1,0)</f>
        <v>0</v>
      </c>
      <c r="AI53" s="53">
        <f>IF(DATE(YEAR(EXPEDIENTE!$I$25)+3,MONTH(DATEVALUE($C53&amp;"1")),1)&gt;=DATE(YEAR(EXPEDIENTE!$I$25),MONTH(EXPEDIENTE!$I$25),1),0,1)</f>
        <v>0</v>
      </c>
      <c r="AJ53" s="53" t="e">
        <f>IF(DATE(YEAR(EXPEDIENTE!$I$25)+3,MONTH(DATEVALUE($C53&amp;"1")),1)&lt;=DATE(YEAR(EXPEDIENTE!$I$27),MONTH(EXPEDIENTE!$I$27),1),0,1)</f>
        <v>#VALUE!</v>
      </c>
      <c r="AK53" s="53" t="e">
        <f t="shared" ref="AK53:AK63" si="148">SUM(AI53:AJ53)</f>
        <v>#VALUE!</v>
      </c>
      <c r="AM53" s="1014"/>
      <c r="AN53" s="388" t="s">
        <v>271</v>
      </c>
      <c r="AO53" s="200">
        <f t="shared" ref="AO53:AO63" si="149">IF(D53="",0,D53)</f>
        <v>0</v>
      </c>
      <c r="AP53" s="203"/>
      <c r="AQ53" s="207">
        <f t="shared" ref="AQ53:AQ63" si="150">IF(AP53="",AO53,AP53)</f>
        <v>0</v>
      </c>
      <c r="AR53" s="208">
        <f t="shared" si="141"/>
        <v>0</v>
      </c>
      <c r="AS53" s="855"/>
      <c r="AT53" s="856"/>
      <c r="AU53" s="200">
        <f t="shared" ref="AU53:AU63" si="151">IF(F53="",0,F53)</f>
        <v>0</v>
      </c>
      <c r="AV53" s="203"/>
      <c r="AW53" s="207">
        <f t="shared" ref="AW53:AW63" si="152">IF(AV53="",AU53,AV53)</f>
        <v>0</v>
      </c>
      <c r="AX53" s="200">
        <f t="shared" ref="AX53:AX63" si="153">IF(G53="",0,G53)</f>
        <v>0</v>
      </c>
      <c r="AY53" s="203"/>
      <c r="AZ53" s="207">
        <f t="shared" ref="AZ53:AZ63" si="154">IF(AY53="",AX53,AY53)</f>
        <v>0</v>
      </c>
      <c r="BA53" s="279">
        <f t="shared" si="142"/>
        <v>0</v>
      </c>
      <c r="BB53" s="855"/>
      <c r="BC53" s="856"/>
      <c r="BD53" s="185" t="str">
        <f t="shared" si="143"/>
        <v/>
      </c>
      <c r="BE53" s="253"/>
      <c r="BF53" s="187" t="str">
        <f t="shared" ref="BF53:BF63" si="155">IF(BE53="",BD53,BE53)</f>
        <v/>
      </c>
      <c r="BG53" s="280" t="str">
        <f t="shared" ref="BG53:BG63" si="156">IF(DD53=0,"",DD53)</f>
        <v/>
      </c>
      <c r="BH53" s="868"/>
      <c r="BI53" s="869"/>
      <c r="BJ53" s="869"/>
      <c r="BK53" s="869"/>
      <c r="BL53" s="869"/>
      <c r="BM53" s="869"/>
      <c r="BN53" s="869"/>
      <c r="BO53" s="869"/>
      <c r="BP53" s="869"/>
      <c r="BQ53" s="869"/>
      <c r="BR53" s="869"/>
      <c r="BS53" s="870"/>
      <c r="DA53" s="53">
        <f>IF(AND(BE53&lt;&gt;"",OR(BE53&lt;EXPEDIENTE!$I$25,BE53&gt;EXPEDIENTE!$I$29)),1,0)</f>
        <v>0</v>
      </c>
      <c r="DB53" s="47"/>
      <c r="DD53" s="55">
        <f t="shared" si="144"/>
        <v>0</v>
      </c>
      <c r="DE53" s="55">
        <f t="shared" ref="DE53:DE63" si="157">IF(AP53="",0,1)</f>
        <v>0</v>
      </c>
      <c r="DF53" s="55">
        <f t="shared" ref="DF53:DF63" si="158">IF(AV53="",0,1)</f>
        <v>0</v>
      </c>
      <c r="DG53" s="55">
        <f t="shared" ref="DG53:DG63" si="159">IF(AY53="",0,1)</f>
        <v>0</v>
      </c>
      <c r="DH53" s="55">
        <f t="shared" si="145"/>
        <v>0</v>
      </c>
      <c r="DU53" s="47"/>
      <c r="DW53" s="55">
        <f>IF(BH53&lt;&gt;"",MAX($DW$9:DW52)+1,0)</f>
        <v>0</v>
      </c>
      <c r="DX53" s="130" t="str">
        <f t="shared" ref="DX53:DX63" si="160">IF(DW53=0,"",BH53)</f>
        <v/>
      </c>
    </row>
    <row r="54" spans="2:128" ht="30" customHeight="1" x14ac:dyDescent="0.25">
      <c r="B54" s="972"/>
      <c r="C54" s="390" t="s">
        <v>272</v>
      </c>
      <c r="D54" s="195"/>
      <c r="E54" s="203">
        <f t="shared" si="146"/>
        <v>0</v>
      </c>
      <c r="F54" s="195"/>
      <c r="G54" s="195"/>
      <c r="H54" s="692">
        <f t="shared" si="147"/>
        <v>0</v>
      </c>
      <c r="I54" s="343"/>
      <c r="J54" s="1001"/>
      <c r="K54" s="1002"/>
      <c r="L54" s="1002"/>
      <c r="M54" s="1003"/>
      <c r="N54" s="364"/>
      <c r="O54" s="633"/>
      <c r="P54" s="837"/>
      <c r="Q54" s="837"/>
      <c r="AG54" s="53">
        <f>IF(AND(I54&lt;&gt;"",OR(I54&lt;EXPEDIENTE!$I$25,I54&gt;EXPEDIENTE!$I$29)),1,0)</f>
        <v>0</v>
      </c>
      <c r="AI54" s="53">
        <f>IF(DATE(YEAR(EXPEDIENTE!$I$25)+3,MONTH(DATEVALUE($C54&amp;"1")),1)&gt;=DATE(YEAR(EXPEDIENTE!$I$25),MONTH(EXPEDIENTE!$I$25),1),0,1)</f>
        <v>0</v>
      </c>
      <c r="AJ54" s="53" t="e">
        <f>IF(DATE(YEAR(EXPEDIENTE!$I$25)+3,MONTH(DATEVALUE($C54&amp;"1")),1)&lt;=DATE(YEAR(EXPEDIENTE!$I$27),MONTH(EXPEDIENTE!$I$27),1),0,1)</f>
        <v>#VALUE!</v>
      </c>
      <c r="AK54" s="53" t="e">
        <f t="shared" si="148"/>
        <v>#VALUE!</v>
      </c>
      <c r="AM54" s="1014"/>
      <c r="AN54" s="388" t="s">
        <v>272</v>
      </c>
      <c r="AO54" s="200">
        <f t="shared" si="149"/>
        <v>0</v>
      </c>
      <c r="AP54" s="203"/>
      <c r="AQ54" s="207">
        <f t="shared" si="150"/>
        <v>0</v>
      </c>
      <c r="AR54" s="208">
        <f t="shared" si="141"/>
        <v>0</v>
      </c>
      <c r="AS54" s="855"/>
      <c r="AT54" s="856"/>
      <c r="AU54" s="200">
        <f t="shared" si="151"/>
        <v>0</v>
      </c>
      <c r="AV54" s="203"/>
      <c r="AW54" s="207">
        <f t="shared" si="152"/>
        <v>0</v>
      </c>
      <c r="AX54" s="200">
        <f t="shared" si="153"/>
        <v>0</v>
      </c>
      <c r="AY54" s="203"/>
      <c r="AZ54" s="207">
        <f t="shared" si="154"/>
        <v>0</v>
      </c>
      <c r="BA54" s="279">
        <f t="shared" si="142"/>
        <v>0</v>
      </c>
      <c r="BB54" s="855"/>
      <c r="BC54" s="856"/>
      <c r="BD54" s="185" t="str">
        <f t="shared" si="143"/>
        <v/>
      </c>
      <c r="BE54" s="253"/>
      <c r="BF54" s="187" t="str">
        <f t="shared" si="155"/>
        <v/>
      </c>
      <c r="BG54" s="280" t="str">
        <f t="shared" si="156"/>
        <v/>
      </c>
      <c r="BH54" s="868"/>
      <c r="BI54" s="869"/>
      <c r="BJ54" s="869"/>
      <c r="BK54" s="869"/>
      <c r="BL54" s="869"/>
      <c r="BM54" s="869"/>
      <c r="BN54" s="869"/>
      <c r="BO54" s="869"/>
      <c r="BP54" s="869"/>
      <c r="BQ54" s="869"/>
      <c r="BR54" s="869"/>
      <c r="BS54" s="870"/>
      <c r="DA54" s="53">
        <f>IF(AND(BE54&lt;&gt;"",OR(BE54&lt;EXPEDIENTE!$I$25,BE54&gt;EXPEDIENTE!$I$29)),1,0)</f>
        <v>0</v>
      </c>
      <c r="DB54" s="47"/>
      <c r="DD54" s="55">
        <f t="shared" si="144"/>
        <v>0</v>
      </c>
      <c r="DE54" s="55">
        <f t="shared" si="157"/>
        <v>0</v>
      </c>
      <c r="DF54" s="55">
        <f t="shared" si="158"/>
        <v>0</v>
      </c>
      <c r="DG54" s="55">
        <f t="shared" si="159"/>
        <v>0</v>
      </c>
      <c r="DH54" s="55">
        <f t="shared" si="145"/>
        <v>0</v>
      </c>
      <c r="DU54" s="47"/>
      <c r="DW54" s="55">
        <f>IF(BH54&lt;&gt;"",MAX($DW$9:DW53)+1,0)</f>
        <v>0</v>
      </c>
      <c r="DX54" s="130" t="str">
        <f t="shared" si="160"/>
        <v/>
      </c>
    </row>
    <row r="55" spans="2:128" ht="30" customHeight="1" x14ac:dyDescent="0.25">
      <c r="B55" s="972"/>
      <c r="C55" s="390" t="s">
        <v>273</v>
      </c>
      <c r="D55" s="195"/>
      <c r="E55" s="203">
        <f t="shared" si="146"/>
        <v>0</v>
      </c>
      <c r="F55" s="195"/>
      <c r="G55" s="195"/>
      <c r="H55" s="692">
        <f t="shared" si="147"/>
        <v>0</v>
      </c>
      <c r="I55" s="343"/>
      <c r="J55" s="1001"/>
      <c r="K55" s="1002"/>
      <c r="L55" s="1002"/>
      <c r="M55" s="1003"/>
      <c r="N55" s="364"/>
      <c r="O55" s="633"/>
      <c r="P55" s="837"/>
      <c r="Q55" s="837"/>
      <c r="AG55" s="53">
        <f>IF(AND(I55&lt;&gt;"",OR(I55&lt;EXPEDIENTE!$I$25,I55&gt;EXPEDIENTE!$I$29)),1,0)</f>
        <v>0</v>
      </c>
      <c r="AI55" s="53">
        <f>IF(DATE(YEAR(EXPEDIENTE!$I$25)+3,MONTH(DATEVALUE($C55&amp;"1")),1)&gt;=DATE(YEAR(EXPEDIENTE!$I$25),MONTH(EXPEDIENTE!$I$25),1),0,1)</f>
        <v>0</v>
      </c>
      <c r="AJ55" s="53" t="e">
        <f>IF(DATE(YEAR(EXPEDIENTE!$I$25)+3,MONTH(DATEVALUE($C55&amp;"1")),1)&lt;=DATE(YEAR(EXPEDIENTE!$I$27),MONTH(EXPEDIENTE!$I$27),1),0,1)</f>
        <v>#VALUE!</v>
      </c>
      <c r="AK55" s="53" t="e">
        <f t="shared" si="148"/>
        <v>#VALUE!</v>
      </c>
      <c r="AM55" s="1014"/>
      <c r="AN55" s="388" t="s">
        <v>273</v>
      </c>
      <c r="AO55" s="200">
        <f t="shared" si="149"/>
        <v>0</v>
      </c>
      <c r="AP55" s="203"/>
      <c r="AQ55" s="207">
        <f t="shared" si="150"/>
        <v>0</v>
      </c>
      <c r="AR55" s="208">
        <f t="shared" si="141"/>
        <v>0</v>
      </c>
      <c r="AS55" s="855"/>
      <c r="AT55" s="856"/>
      <c r="AU55" s="200">
        <f t="shared" si="151"/>
        <v>0</v>
      </c>
      <c r="AV55" s="203"/>
      <c r="AW55" s="207">
        <f t="shared" si="152"/>
        <v>0</v>
      </c>
      <c r="AX55" s="200">
        <f t="shared" si="153"/>
        <v>0</v>
      </c>
      <c r="AY55" s="203"/>
      <c r="AZ55" s="207">
        <f t="shared" si="154"/>
        <v>0</v>
      </c>
      <c r="BA55" s="279">
        <f t="shared" si="142"/>
        <v>0</v>
      </c>
      <c r="BB55" s="855"/>
      <c r="BC55" s="856"/>
      <c r="BD55" s="185" t="str">
        <f t="shared" si="143"/>
        <v/>
      </c>
      <c r="BE55" s="253"/>
      <c r="BF55" s="187" t="str">
        <f t="shared" si="155"/>
        <v/>
      </c>
      <c r="BG55" s="280" t="str">
        <f t="shared" si="156"/>
        <v/>
      </c>
      <c r="BH55" s="868"/>
      <c r="BI55" s="869"/>
      <c r="BJ55" s="869"/>
      <c r="BK55" s="869"/>
      <c r="BL55" s="869"/>
      <c r="BM55" s="869"/>
      <c r="BN55" s="869"/>
      <c r="BO55" s="869"/>
      <c r="BP55" s="869"/>
      <c r="BQ55" s="869"/>
      <c r="BR55" s="869"/>
      <c r="BS55" s="870"/>
      <c r="DA55" s="53">
        <f>IF(AND(BE55&lt;&gt;"",OR(BE55&lt;EXPEDIENTE!$I$25,BE55&gt;EXPEDIENTE!$I$29)),1,0)</f>
        <v>0</v>
      </c>
      <c r="DB55" s="47"/>
      <c r="DD55" s="55">
        <f t="shared" si="144"/>
        <v>0</v>
      </c>
      <c r="DE55" s="55">
        <f t="shared" si="157"/>
        <v>0</v>
      </c>
      <c r="DF55" s="55">
        <f t="shared" si="158"/>
        <v>0</v>
      </c>
      <c r="DG55" s="55">
        <f t="shared" si="159"/>
        <v>0</v>
      </c>
      <c r="DH55" s="55">
        <f t="shared" si="145"/>
        <v>0</v>
      </c>
      <c r="DU55" s="47"/>
      <c r="DW55" s="55">
        <f>IF(BH55&lt;&gt;"",MAX($DW$9:DW54)+1,0)</f>
        <v>0</v>
      </c>
      <c r="DX55" s="130" t="str">
        <f t="shared" si="160"/>
        <v/>
      </c>
    </row>
    <row r="56" spans="2:128" ht="30" customHeight="1" x14ac:dyDescent="0.25">
      <c r="B56" s="972"/>
      <c r="C56" s="390" t="s">
        <v>274</v>
      </c>
      <c r="D56" s="195"/>
      <c r="E56" s="203">
        <f t="shared" si="146"/>
        <v>0</v>
      </c>
      <c r="F56" s="195"/>
      <c r="G56" s="195"/>
      <c r="H56" s="692">
        <f t="shared" si="147"/>
        <v>0</v>
      </c>
      <c r="I56" s="343"/>
      <c r="J56" s="1001"/>
      <c r="K56" s="1002"/>
      <c r="L56" s="1002"/>
      <c r="M56" s="1003"/>
      <c r="N56" s="364"/>
      <c r="O56" s="633"/>
      <c r="P56" s="837"/>
      <c r="Q56" s="837"/>
      <c r="AG56" s="53">
        <f>IF(AND(I56&lt;&gt;"",OR(I56&lt;EXPEDIENTE!$I$25,I56&gt;EXPEDIENTE!$I$29)),1,0)</f>
        <v>0</v>
      </c>
      <c r="AI56" s="53">
        <f>IF(DATE(YEAR(EXPEDIENTE!$I$25)+3,MONTH(DATEVALUE($C56&amp;"1")),1)&gt;=DATE(YEAR(EXPEDIENTE!$I$25),MONTH(EXPEDIENTE!$I$25),1),0,1)</f>
        <v>0</v>
      </c>
      <c r="AJ56" s="53" t="e">
        <f>IF(DATE(YEAR(EXPEDIENTE!$I$25)+3,MONTH(DATEVALUE($C56&amp;"1")),1)&lt;=DATE(YEAR(EXPEDIENTE!$I$27),MONTH(EXPEDIENTE!$I$27),1),0,1)</f>
        <v>#VALUE!</v>
      </c>
      <c r="AK56" s="53" t="e">
        <f t="shared" si="148"/>
        <v>#VALUE!</v>
      </c>
      <c r="AM56" s="1014"/>
      <c r="AN56" s="388" t="s">
        <v>274</v>
      </c>
      <c r="AO56" s="200">
        <f t="shared" si="149"/>
        <v>0</v>
      </c>
      <c r="AP56" s="203"/>
      <c r="AQ56" s="207">
        <f t="shared" si="150"/>
        <v>0</v>
      </c>
      <c r="AR56" s="208">
        <f t="shared" si="141"/>
        <v>0</v>
      </c>
      <c r="AS56" s="855"/>
      <c r="AT56" s="856"/>
      <c r="AU56" s="200">
        <f t="shared" si="151"/>
        <v>0</v>
      </c>
      <c r="AV56" s="203"/>
      <c r="AW56" s="207">
        <f t="shared" si="152"/>
        <v>0</v>
      </c>
      <c r="AX56" s="200">
        <f t="shared" si="153"/>
        <v>0</v>
      </c>
      <c r="AY56" s="203"/>
      <c r="AZ56" s="207">
        <f t="shared" si="154"/>
        <v>0</v>
      </c>
      <c r="BA56" s="279">
        <f t="shared" si="142"/>
        <v>0</v>
      </c>
      <c r="BB56" s="855"/>
      <c r="BC56" s="856"/>
      <c r="BD56" s="185" t="str">
        <f t="shared" si="143"/>
        <v/>
      </c>
      <c r="BE56" s="253"/>
      <c r="BF56" s="187" t="str">
        <f t="shared" si="155"/>
        <v/>
      </c>
      <c r="BG56" s="280" t="str">
        <f t="shared" si="156"/>
        <v/>
      </c>
      <c r="BH56" s="868"/>
      <c r="BI56" s="869"/>
      <c r="BJ56" s="869"/>
      <c r="BK56" s="869"/>
      <c r="BL56" s="869"/>
      <c r="BM56" s="869"/>
      <c r="BN56" s="869"/>
      <c r="BO56" s="869"/>
      <c r="BP56" s="869"/>
      <c r="BQ56" s="869"/>
      <c r="BR56" s="869"/>
      <c r="BS56" s="870"/>
      <c r="DA56" s="53">
        <f>IF(AND(BE56&lt;&gt;"",OR(BE56&lt;EXPEDIENTE!$I$25,BE56&gt;EXPEDIENTE!$I$29)),1,0)</f>
        <v>0</v>
      </c>
      <c r="DB56" s="47"/>
      <c r="DD56" s="55">
        <f t="shared" si="144"/>
        <v>0</v>
      </c>
      <c r="DE56" s="55">
        <f t="shared" si="157"/>
        <v>0</v>
      </c>
      <c r="DF56" s="55">
        <f t="shared" si="158"/>
        <v>0</v>
      </c>
      <c r="DG56" s="55">
        <f t="shared" si="159"/>
        <v>0</v>
      </c>
      <c r="DH56" s="55">
        <f t="shared" si="145"/>
        <v>0</v>
      </c>
      <c r="DU56" s="47"/>
      <c r="DW56" s="55">
        <f>IF(BH56&lt;&gt;"",MAX($DW$9:DW55)+1,0)</f>
        <v>0</v>
      </c>
      <c r="DX56" s="130" t="str">
        <f t="shared" si="160"/>
        <v/>
      </c>
    </row>
    <row r="57" spans="2:128" ht="30" customHeight="1" x14ac:dyDescent="0.25">
      <c r="B57" s="972"/>
      <c r="C57" s="390" t="s">
        <v>275</v>
      </c>
      <c r="D57" s="195"/>
      <c r="E57" s="203">
        <f t="shared" si="146"/>
        <v>0</v>
      </c>
      <c r="F57" s="195"/>
      <c r="G57" s="195"/>
      <c r="H57" s="692">
        <f t="shared" si="147"/>
        <v>0</v>
      </c>
      <c r="I57" s="343"/>
      <c r="J57" s="1001"/>
      <c r="K57" s="1002"/>
      <c r="L57" s="1002"/>
      <c r="M57" s="1003"/>
      <c r="N57" s="364"/>
      <c r="O57" s="633"/>
      <c r="P57" s="837"/>
      <c r="Q57" s="837"/>
      <c r="AG57" s="53">
        <f>IF(AND(I57&lt;&gt;"",OR(I57&lt;EXPEDIENTE!$I$25,I57&gt;EXPEDIENTE!$I$29)),1,0)</f>
        <v>0</v>
      </c>
      <c r="AI57" s="53">
        <f>IF(DATE(YEAR(EXPEDIENTE!$I$25)+3,MONTH(DATEVALUE($C57&amp;"1")),1)&gt;=DATE(YEAR(EXPEDIENTE!$I$25),MONTH(EXPEDIENTE!$I$25),1),0,1)</f>
        <v>0</v>
      </c>
      <c r="AJ57" s="53" t="e">
        <f>IF(DATE(YEAR(EXPEDIENTE!$I$25)+3,MONTH(DATEVALUE($C57&amp;"1")),1)&lt;=DATE(YEAR(EXPEDIENTE!$I$27),MONTH(EXPEDIENTE!$I$27),1),0,1)</f>
        <v>#VALUE!</v>
      </c>
      <c r="AK57" s="53" t="e">
        <f t="shared" si="148"/>
        <v>#VALUE!</v>
      </c>
      <c r="AM57" s="1014"/>
      <c r="AN57" s="388" t="s">
        <v>275</v>
      </c>
      <c r="AO57" s="200">
        <f t="shared" si="149"/>
        <v>0</v>
      </c>
      <c r="AP57" s="203"/>
      <c r="AQ57" s="207">
        <f t="shared" si="150"/>
        <v>0</v>
      </c>
      <c r="AR57" s="208">
        <f t="shared" si="141"/>
        <v>0</v>
      </c>
      <c r="AS57" s="855"/>
      <c r="AT57" s="856"/>
      <c r="AU57" s="200">
        <f t="shared" si="151"/>
        <v>0</v>
      </c>
      <c r="AV57" s="203"/>
      <c r="AW57" s="207">
        <f t="shared" si="152"/>
        <v>0</v>
      </c>
      <c r="AX57" s="200">
        <f t="shared" si="153"/>
        <v>0</v>
      </c>
      <c r="AY57" s="203"/>
      <c r="AZ57" s="207">
        <f t="shared" si="154"/>
        <v>0</v>
      </c>
      <c r="BA57" s="279">
        <f t="shared" si="142"/>
        <v>0</v>
      </c>
      <c r="BB57" s="855"/>
      <c r="BC57" s="856"/>
      <c r="BD57" s="185" t="str">
        <f t="shared" si="143"/>
        <v/>
      </c>
      <c r="BE57" s="253"/>
      <c r="BF57" s="187" t="str">
        <f t="shared" si="155"/>
        <v/>
      </c>
      <c r="BG57" s="280" t="str">
        <f t="shared" si="156"/>
        <v/>
      </c>
      <c r="BH57" s="868"/>
      <c r="BI57" s="869"/>
      <c r="BJ57" s="869"/>
      <c r="BK57" s="869"/>
      <c r="BL57" s="869"/>
      <c r="BM57" s="869"/>
      <c r="BN57" s="869"/>
      <c r="BO57" s="869"/>
      <c r="BP57" s="869"/>
      <c r="BQ57" s="869"/>
      <c r="BR57" s="869"/>
      <c r="BS57" s="870"/>
      <c r="DA57" s="53">
        <f>IF(AND(BE57&lt;&gt;"",OR(BE57&lt;EXPEDIENTE!$I$25,BE57&gt;EXPEDIENTE!$I$29)),1,0)</f>
        <v>0</v>
      </c>
      <c r="DB57" s="47"/>
      <c r="DD57" s="55">
        <f t="shared" si="144"/>
        <v>0</v>
      </c>
      <c r="DE57" s="55">
        <f t="shared" si="157"/>
        <v>0</v>
      </c>
      <c r="DF57" s="55">
        <f t="shared" si="158"/>
        <v>0</v>
      </c>
      <c r="DG57" s="55">
        <f t="shared" si="159"/>
        <v>0</v>
      </c>
      <c r="DH57" s="55">
        <f t="shared" si="145"/>
        <v>0</v>
      </c>
      <c r="DU57" s="47"/>
      <c r="DW57" s="55">
        <f>IF(BH57&lt;&gt;"",MAX($DW$9:DW56)+1,0)</f>
        <v>0</v>
      </c>
      <c r="DX57" s="130" t="str">
        <f t="shared" si="160"/>
        <v/>
      </c>
    </row>
    <row r="58" spans="2:128" ht="30" customHeight="1" x14ac:dyDescent="0.25">
      <c r="B58" s="972"/>
      <c r="C58" s="390" t="s">
        <v>276</v>
      </c>
      <c r="D58" s="195"/>
      <c r="E58" s="203">
        <f t="shared" si="146"/>
        <v>0</v>
      </c>
      <c r="F58" s="195"/>
      <c r="G58" s="195"/>
      <c r="H58" s="692">
        <f t="shared" si="147"/>
        <v>0</v>
      </c>
      <c r="I58" s="343"/>
      <c r="J58" s="1001"/>
      <c r="K58" s="1002"/>
      <c r="L58" s="1002"/>
      <c r="M58" s="1003"/>
      <c r="N58" s="364"/>
      <c r="O58" s="633"/>
      <c r="P58" s="837"/>
      <c r="Q58" s="837"/>
      <c r="AG58" s="53">
        <f>IF(AND(I58&lt;&gt;"",OR(I58&lt;EXPEDIENTE!$I$25,I58&gt;EXPEDIENTE!$I$29)),1,0)</f>
        <v>0</v>
      </c>
      <c r="AI58" s="53">
        <f>IF(DATE(YEAR(EXPEDIENTE!$I$25)+3,MONTH(DATEVALUE($C58&amp;"1")),1)&gt;=DATE(YEAR(EXPEDIENTE!$I$25),MONTH(EXPEDIENTE!$I$25),1),0,1)</f>
        <v>0</v>
      </c>
      <c r="AJ58" s="53" t="e">
        <f>IF(DATE(YEAR(EXPEDIENTE!$I$25)+3,MONTH(DATEVALUE($C58&amp;"1")),1)&lt;=DATE(YEAR(EXPEDIENTE!$I$27),MONTH(EXPEDIENTE!$I$27),1),0,1)</f>
        <v>#VALUE!</v>
      </c>
      <c r="AK58" s="53" t="e">
        <f t="shared" si="148"/>
        <v>#VALUE!</v>
      </c>
      <c r="AM58" s="1014"/>
      <c r="AN58" s="388" t="s">
        <v>276</v>
      </c>
      <c r="AO58" s="200">
        <f t="shared" si="149"/>
        <v>0</v>
      </c>
      <c r="AP58" s="203"/>
      <c r="AQ58" s="207">
        <f t="shared" si="150"/>
        <v>0</v>
      </c>
      <c r="AR58" s="208">
        <f t="shared" si="141"/>
        <v>0</v>
      </c>
      <c r="AS58" s="855"/>
      <c r="AT58" s="856"/>
      <c r="AU58" s="200">
        <f t="shared" si="151"/>
        <v>0</v>
      </c>
      <c r="AV58" s="203"/>
      <c r="AW58" s="207">
        <f t="shared" si="152"/>
        <v>0</v>
      </c>
      <c r="AX58" s="200">
        <f t="shared" si="153"/>
        <v>0</v>
      </c>
      <c r="AY58" s="203"/>
      <c r="AZ58" s="207">
        <f t="shared" si="154"/>
        <v>0</v>
      </c>
      <c r="BA58" s="279">
        <f t="shared" si="142"/>
        <v>0</v>
      </c>
      <c r="BB58" s="855"/>
      <c r="BC58" s="856"/>
      <c r="BD58" s="185" t="str">
        <f t="shared" si="143"/>
        <v/>
      </c>
      <c r="BE58" s="253"/>
      <c r="BF58" s="187" t="str">
        <f t="shared" si="155"/>
        <v/>
      </c>
      <c r="BG58" s="280" t="str">
        <f t="shared" si="156"/>
        <v/>
      </c>
      <c r="BH58" s="868"/>
      <c r="BI58" s="869"/>
      <c r="BJ58" s="869"/>
      <c r="BK58" s="869"/>
      <c r="BL58" s="869"/>
      <c r="BM58" s="869"/>
      <c r="BN58" s="869"/>
      <c r="BO58" s="869"/>
      <c r="BP58" s="869"/>
      <c r="BQ58" s="869"/>
      <c r="BR58" s="869"/>
      <c r="BS58" s="870"/>
      <c r="DA58" s="53">
        <f>IF(AND(BE58&lt;&gt;"",OR(BE58&lt;EXPEDIENTE!$I$25,BE58&gt;EXPEDIENTE!$I$29)),1,0)</f>
        <v>0</v>
      </c>
      <c r="DB58" s="47"/>
      <c r="DD58" s="55">
        <f t="shared" si="144"/>
        <v>0</v>
      </c>
      <c r="DE58" s="55">
        <f t="shared" si="157"/>
        <v>0</v>
      </c>
      <c r="DF58" s="55">
        <f t="shared" si="158"/>
        <v>0</v>
      </c>
      <c r="DG58" s="55">
        <f t="shared" si="159"/>
        <v>0</v>
      </c>
      <c r="DH58" s="55">
        <f t="shared" si="145"/>
        <v>0</v>
      </c>
      <c r="DU58" s="47"/>
      <c r="DW58" s="55">
        <f>IF(BH58&lt;&gt;"",MAX($DW$9:DW57)+1,0)</f>
        <v>0</v>
      </c>
      <c r="DX58" s="130" t="str">
        <f t="shared" si="160"/>
        <v/>
      </c>
    </row>
    <row r="59" spans="2:128" ht="30" customHeight="1" x14ac:dyDescent="0.25">
      <c r="B59" s="972"/>
      <c r="C59" s="390" t="s">
        <v>277</v>
      </c>
      <c r="D59" s="195"/>
      <c r="E59" s="203">
        <f t="shared" si="146"/>
        <v>0</v>
      </c>
      <c r="F59" s="195"/>
      <c r="G59" s="195"/>
      <c r="H59" s="692">
        <f t="shared" si="147"/>
        <v>0</v>
      </c>
      <c r="I59" s="343"/>
      <c r="J59" s="1001"/>
      <c r="K59" s="1002"/>
      <c r="L59" s="1002"/>
      <c r="M59" s="1003"/>
      <c r="N59" s="364"/>
      <c r="O59" s="633"/>
      <c r="P59" s="837"/>
      <c r="Q59" s="837"/>
      <c r="AG59" s="53">
        <f>IF(AND(I59&lt;&gt;"",OR(I59&lt;EXPEDIENTE!$I$25,I59&gt;EXPEDIENTE!$I$29)),1,0)</f>
        <v>0</v>
      </c>
      <c r="AI59" s="53">
        <f>IF(DATE(YEAR(EXPEDIENTE!$I$25)+3,MONTH(DATEVALUE($C59&amp;"1")),1)&gt;=DATE(YEAR(EXPEDIENTE!$I$25),MONTH(EXPEDIENTE!$I$25),1),0,1)</f>
        <v>0</v>
      </c>
      <c r="AJ59" s="53" t="e">
        <f>IF(DATE(YEAR(EXPEDIENTE!$I$25)+3,MONTH(DATEVALUE($C59&amp;"1")),1)&lt;=DATE(YEAR(EXPEDIENTE!$I$27),MONTH(EXPEDIENTE!$I$27),1),0,1)</f>
        <v>#VALUE!</v>
      </c>
      <c r="AK59" s="53" t="e">
        <f t="shared" si="148"/>
        <v>#VALUE!</v>
      </c>
      <c r="AM59" s="1014"/>
      <c r="AN59" s="388" t="s">
        <v>277</v>
      </c>
      <c r="AO59" s="200">
        <f t="shared" si="149"/>
        <v>0</v>
      </c>
      <c r="AP59" s="203"/>
      <c r="AQ59" s="207">
        <f t="shared" si="150"/>
        <v>0</v>
      </c>
      <c r="AR59" s="208">
        <f t="shared" si="141"/>
        <v>0</v>
      </c>
      <c r="AS59" s="855"/>
      <c r="AT59" s="856"/>
      <c r="AU59" s="200">
        <f t="shared" si="151"/>
        <v>0</v>
      </c>
      <c r="AV59" s="203"/>
      <c r="AW59" s="207">
        <f t="shared" si="152"/>
        <v>0</v>
      </c>
      <c r="AX59" s="200">
        <f t="shared" si="153"/>
        <v>0</v>
      </c>
      <c r="AY59" s="203"/>
      <c r="AZ59" s="207">
        <f t="shared" si="154"/>
        <v>0</v>
      </c>
      <c r="BA59" s="279">
        <f t="shared" si="142"/>
        <v>0</v>
      </c>
      <c r="BB59" s="855"/>
      <c r="BC59" s="856"/>
      <c r="BD59" s="185" t="str">
        <f t="shared" si="143"/>
        <v/>
      </c>
      <c r="BE59" s="253"/>
      <c r="BF59" s="187" t="str">
        <f t="shared" si="155"/>
        <v/>
      </c>
      <c r="BG59" s="280" t="str">
        <f t="shared" si="156"/>
        <v/>
      </c>
      <c r="BH59" s="868"/>
      <c r="BI59" s="869"/>
      <c r="BJ59" s="869"/>
      <c r="BK59" s="869"/>
      <c r="BL59" s="869"/>
      <c r="BM59" s="869"/>
      <c r="BN59" s="869"/>
      <c r="BO59" s="869"/>
      <c r="BP59" s="869"/>
      <c r="BQ59" s="869"/>
      <c r="BR59" s="869"/>
      <c r="BS59" s="870"/>
      <c r="DA59" s="53">
        <f>IF(AND(BE59&lt;&gt;"",OR(BE59&lt;EXPEDIENTE!$I$25,BE59&gt;EXPEDIENTE!$I$29)),1,0)</f>
        <v>0</v>
      </c>
      <c r="DB59" s="47"/>
      <c r="DD59" s="55">
        <f t="shared" si="144"/>
        <v>0</v>
      </c>
      <c r="DE59" s="55">
        <f t="shared" si="157"/>
        <v>0</v>
      </c>
      <c r="DF59" s="55">
        <f t="shared" si="158"/>
        <v>0</v>
      </c>
      <c r="DG59" s="55">
        <f t="shared" si="159"/>
        <v>0</v>
      </c>
      <c r="DH59" s="55">
        <f t="shared" si="145"/>
        <v>0</v>
      </c>
      <c r="DU59" s="47"/>
      <c r="DW59" s="55">
        <f>IF(BH59&lt;&gt;"",MAX($DW$9:DW58)+1,0)</f>
        <v>0</v>
      </c>
      <c r="DX59" s="130" t="str">
        <f t="shared" si="160"/>
        <v/>
      </c>
    </row>
    <row r="60" spans="2:128" ht="30" customHeight="1" x14ac:dyDescent="0.25">
      <c r="B60" s="972"/>
      <c r="C60" s="390" t="s">
        <v>278</v>
      </c>
      <c r="D60" s="195"/>
      <c r="E60" s="203">
        <f t="shared" si="146"/>
        <v>0</v>
      </c>
      <c r="F60" s="195"/>
      <c r="G60" s="195"/>
      <c r="H60" s="692">
        <f t="shared" si="147"/>
        <v>0</v>
      </c>
      <c r="I60" s="343"/>
      <c r="J60" s="1001"/>
      <c r="K60" s="1002"/>
      <c r="L60" s="1002"/>
      <c r="M60" s="1003"/>
      <c r="N60" s="364"/>
      <c r="O60" s="633"/>
      <c r="P60" s="837"/>
      <c r="Q60" s="837"/>
      <c r="AG60" s="53">
        <f>IF(AND(I60&lt;&gt;"",OR(I60&lt;EXPEDIENTE!$I$25,I60&gt;EXPEDIENTE!$I$29)),1,0)</f>
        <v>0</v>
      </c>
      <c r="AI60" s="53">
        <f>IF(DATE(YEAR(EXPEDIENTE!$I$25)+3,MONTH(DATEVALUE($C60&amp;"1")),1)&gt;=DATE(YEAR(EXPEDIENTE!$I$25),MONTH(EXPEDIENTE!$I$25),1),0,1)</f>
        <v>0</v>
      </c>
      <c r="AJ60" s="53" t="e">
        <f>IF(DATE(YEAR(EXPEDIENTE!$I$25)+3,MONTH(DATEVALUE($C60&amp;"1")),1)&lt;=DATE(YEAR(EXPEDIENTE!$I$27),MONTH(EXPEDIENTE!$I$27),1),0,1)</f>
        <v>#VALUE!</v>
      </c>
      <c r="AK60" s="53" t="e">
        <f t="shared" si="148"/>
        <v>#VALUE!</v>
      </c>
      <c r="AM60" s="1014"/>
      <c r="AN60" s="388" t="s">
        <v>278</v>
      </c>
      <c r="AO60" s="200">
        <f t="shared" si="149"/>
        <v>0</v>
      </c>
      <c r="AP60" s="203"/>
      <c r="AQ60" s="207">
        <f t="shared" si="150"/>
        <v>0</v>
      </c>
      <c r="AR60" s="208">
        <f t="shared" si="141"/>
        <v>0</v>
      </c>
      <c r="AS60" s="855"/>
      <c r="AT60" s="856"/>
      <c r="AU60" s="200">
        <f t="shared" si="151"/>
        <v>0</v>
      </c>
      <c r="AV60" s="203"/>
      <c r="AW60" s="207">
        <f t="shared" si="152"/>
        <v>0</v>
      </c>
      <c r="AX60" s="200">
        <f t="shared" si="153"/>
        <v>0</v>
      </c>
      <c r="AY60" s="203"/>
      <c r="AZ60" s="207">
        <f t="shared" si="154"/>
        <v>0</v>
      </c>
      <c r="BA60" s="279">
        <f t="shared" si="142"/>
        <v>0</v>
      </c>
      <c r="BB60" s="855"/>
      <c r="BC60" s="856"/>
      <c r="BD60" s="185" t="str">
        <f t="shared" si="143"/>
        <v/>
      </c>
      <c r="BE60" s="253"/>
      <c r="BF60" s="187" t="str">
        <f t="shared" si="155"/>
        <v/>
      </c>
      <c r="BG60" s="280" t="str">
        <f t="shared" si="156"/>
        <v/>
      </c>
      <c r="BH60" s="868"/>
      <c r="BI60" s="869"/>
      <c r="BJ60" s="869"/>
      <c r="BK60" s="869"/>
      <c r="BL60" s="869"/>
      <c r="BM60" s="869"/>
      <c r="BN60" s="869"/>
      <c r="BO60" s="869"/>
      <c r="BP60" s="869"/>
      <c r="BQ60" s="869"/>
      <c r="BR60" s="869"/>
      <c r="BS60" s="870"/>
      <c r="DA60" s="53">
        <f>IF(AND(BE60&lt;&gt;"",OR(BE60&lt;EXPEDIENTE!$I$25,BE60&gt;EXPEDIENTE!$I$29)),1,0)</f>
        <v>0</v>
      </c>
      <c r="DB60" s="47"/>
      <c r="DD60" s="55">
        <f t="shared" si="144"/>
        <v>0</v>
      </c>
      <c r="DE60" s="55">
        <f t="shared" si="157"/>
        <v>0</v>
      </c>
      <c r="DF60" s="55">
        <f t="shared" si="158"/>
        <v>0</v>
      </c>
      <c r="DG60" s="55">
        <f t="shared" si="159"/>
        <v>0</v>
      </c>
      <c r="DH60" s="55">
        <f t="shared" si="145"/>
        <v>0</v>
      </c>
      <c r="DU60" s="47"/>
      <c r="DW60" s="55">
        <f>IF(BH60&lt;&gt;"",MAX($DW$9:DW59)+1,0)</f>
        <v>0</v>
      </c>
      <c r="DX60" s="130" t="str">
        <f t="shared" si="160"/>
        <v/>
      </c>
    </row>
    <row r="61" spans="2:128" ht="30" customHeight="1" x14ac:dyDescent="0.25">
      <c r="B61" s="972"/>
      <c r="C61" s="390" t="s">
        <v>279</v>
      </c>
      <c r="D61" s="195"/>
      <c r="E61" s="203">
        <f t="shared" si="146"/>
        <v>0</v>
      </c>
      <c r="F61" s="195"/>
      <c r="G61" s="195"/>
      <c r="H61" s="692">
        <f t="shared" si="147"/>
        <v>0</v>
      </c>
      <c r="I61" s="343"/>
      <c r="J61" s="1001"/>
      <c r="K61" s="1002"/>
      <c r="L61" s="1002"/>
      <c r="M61" s="1003"/>
      <c r="N61" s="364"/>
      <c r="O61" s="633"/>
      <c r="P61" s="837"/>
      <c r="Q61" s="837"/>
      <c r="AG61" s="53">
        <f>IF(AND(I61&lt;&gt;"",OR(I61&lt;EXPEDIENTE!$I$25,I61&gt;EXPEDIENTE!$I$29)),1,0)</f>
        <v>0</v>
      </c>
      <c r="AI61" s="53">
        <f>IF(DATE(YEAR(EXPEDIENTE!$I$25)+3,MONTH(DATEVALUE($C61&amp;"1")),1)&gt;=DATE(YEAR(EXPEDIENTE!$I$25),MONTH(EXPEDIENTE!$I$25),1),0,1)</f>
        <v>0</v>
      </c>
      <c r="AJ61" s="53" t="e">
        <f>IF(DATE(YEAR(EXPEDIENTE!$I$25)+3,MONTH(DATEVALUE($C61&amp;"1")),1)&lt;=DATE(YEAR(EXPEDIENTE!$I$27),MONTH(EXPEDIENTE!$I$27),1),0,1)</f>
        <v>#VALUE!</v>
      </c>
      <c r="AK61" s="53" t="e">
        <f t="shared" si="148"/>
        <v>#VALUE!</v>
      </c>
      <c r="AM61" s="1014"/>
      <c r="AN61" s="388" t="s">
        <v>279</v>
      </c>
      <c r="AO61" s="200">
        <f t="shared" si="149"/>
        <v>0</v>
      </c>
      <c r="AP61" s="203"/>
      <c r="AQ61" s="207">
        <f t="shared" si="150"/>
        <v>0</v>
      </c>
      <c r="AR61" s="208">
        <f t="shared" si="141"/>
        <v>0</v>
      </c>
      <c r="AS61" s="855"/>
      <c r="AT61" s="856"/>
      <c r="AU61" s="200">
        <f t="shared" si="151"/>
        <v>0</v>
      </c>
      <c r="AV61" s="203"/>
      <c r="AW61" s="207">
        <f t="shared" si="152"/>
        <v>0</v>
      </c>
      <c r="AX61" s="200">
        <f t="shared" si="153"/>
        <v>0</v>
      </c>
      <c r="AY61" s="203"/>
      <c r="AZ61" s="207">
        <f t="shared" si="154"/>
        <v>0</v>
      </c>
      <c r="BA61" s="279">
        <f t="shared" si="142"/>
        <v>0</v>
      </c>
      <c r="BB61" s="855"/>
      <c r="BC61" s="856"/>
      <c r="BD61" s="185" t="str">
        <f t="shared" si="143"/>
        <v/>
      </c>
      <c r="BE61" s="253"/>
      <c r="BF61" s="187" t="str">
        <f t="shared" si="155"/>
        <v/>
      </c>
      <c r="BG61" s="280" t="str">
        <f t="shared" si="156"/>
        <v/>
      </c>
      <c r="BH61" s="868"/>
      <c r="BI61" s="869"/>
      <c r="BJ61" s="869"/>
      <c r="BK61" s="869"/>
      <c r="BL61" s="869"/>
      <c r="BM61" s="869"/>
      <c r="BN61" s="869"/>
      <c r="BO61" s="869"/>
      <c r="BP61" s="869"/>
      <c r="BQ61" s="869"/>
      <c r="BR61" s="869"/>
      <c r="BS61" s="870"/>
      <c r="DA61" s="53">
        <f>IF(AND(BE61&lt;&gt;"",OR(BE61&lt;EXPEDIENTE!$I$25,BE61&gt;EXPEDIENTE!$I$29)),1,0)</f>
        <v>0</v>
      </c>
      <c r="DB61" s="47"/>
      <c r="DD61" s="55">
        <f t="shared" si="144"/>
        <v>0</v>
      </c>
      <c r="DE61" s="55">
        <f t="shared" si="157"/>
        <v>0</v>
      </c>
      <c r="DF61" s="55">
        <f t="shared" si="158"/>
        <v>0</v>
      </c>
      <c r="DG61" s="55">
        <f t="shared" si="159"/>
        <v>0</v>
      </c>
      <c r="DH61" s="55">
        <f t="shared" si="145"/>
        <v>0</v>
      </c>
      <c r="DU61" s="47"/>
      <c r="DW61" s="55">
        <f>IF(BH61&lt;&gt;"",MAX($DW$9:DW60)+1,0)</f>
        <v>0</v>
      </c>
      <c r="DX61" s="130" t="str">
        <f t="shared" si="160"/>
        <v/>
      </c>
    </row>
    <row r="62" spans="2:128" ht="30" customHeight="1" x14ac:dyDescent="0.25">
      <c r="B62" s="972"/>
      <c r="C62" s="390" t="s">
        <v>280</v>
      </c>
      <c r="D62" s="195"/>
      <c r="E62" s="203">
        <f t="shared" si="146"/>
        <v>0</v>
      </c>
      <c r="F62" s="195"/>
      <c r="G62" s="195"/>
      <c r="H62" s="692">
        <f t="shared" si="147"/>
        <v>0</v>
      </c>
      <c r="I62" s="343"/>
      <c r="J62" s="1001"/>
      <c r="K62" s="1002"/>
      <c r="L62" s="1002"/>
      <c r="M62" s="1003"/>
      <c r="N62" s="364"/>
      <c r="O62" s="633"/>
      <c r="P62" s="837"/>
      <c r="Q62" s="837"/>
      <c r="AG62" s="53">
        <f>IF(AND(I62&lt;&gt;"",OR(I62&lt;EXPEDIENTE!$I$25,I62&gt;EXPEDIENTE!$I$29)),1,0)</f>
        <v>0</v>
      </c>
      <c r="AI62" s="53">
        <f>IF(DATE(YEAR(EXPEDIENTE!$I$25)+3,MONTH(DATEVALUE($C62&amp;"1")),1)&gt;=DATE(YEAR(EXPEDIENTE!$I$25),MONTH(EXPEDIENTE!$I$25),1),0,1)</f>
        <v>0</v>
      </c>
      <c r="AJ62" s="53" t="e">
        <f>IF(DATE(YEAR(EXPEDIENTE!$I$25)+3,MONTH(DATEVALUE($C62&amp;"1")),1)&lt;=DATE(YEAR(EXPEDIENTE!$I$27),MONTH(EXPEDIENTE!$I$27),1),0,1)</f>
        <v>#VALUE!</v>
      </c>
      <c r="AK62" s="53" t="e">
        <f t="shared" si="148"/>
        <v>#VALUE!</v>
      </c>
      <c r="AM62" s="1014"/>
      <c r="AN62" s="388" t="s">
        <v>280</v>
      </c>
      <c r="AO62" s="200">
        <f t="shared" si="149"/>
        <v>0</v>
      </c>
      <c r="AP62" s="203"/>
      <c r="AQ62" s="207">
        <f t="shared" si="150"/>
        <v>0</v>
      </c>
      <c r="AR62" s="208">
        <f t="shared" si="141"/>
        <v>0</v>
      </c>
      <c r="AS62" s="855"/>
      <c r="AT62" s="856"/>
      <c r="AU62" s="200">
        <f t="shared" si="151"/>
        <v>0</v>
      </c>
      <c r="AV62" s="203"/>
      <c r="AW62" s="207">
        <f t="shared" si="152"/>
        <v>0</v>
      </c>
      <c r="AX62" s="200">
        <f t="shared" si="153"/>
        <v>0</v>
      </c>
      <c r="AY62" s="203"/>
      <c r="AZ62" s="207">
        <f t="shared" si="154"/>
        <v>0</v>
      </c>
      <c r="BA62" s="279">
        <f t="shared" si="142"/>
        <v>0</v>
      </c>
      <c r="BB62" s="855"/>
      <c r="BC62" s="856"/>
      <c r="BD62" s="185" t="str">
        <f t="shared" si="143"/>
        <v/>
      </c>
      <c r="BE62" s="253"/>
      <c r="BF62" s="187" t="str">
        <f t="shared" si="155"/>
        <v/>
      </c>
      <c r="BG62" s="280" t="str">
        <f t="shared" si="156"/>
        <v/>
      </c>
      <c r="BH62" s="868"/>
      <c r="BI62" s="869"/>
      <c r="BJ62" s="869"/>
      <c r="BK62" s="869"/>
      <c r="BL62" s="869"/>
      <c r="BM62" s="869"/>
      <c r="BN62" s="869"/>
      <c r="BO62" s="869"/>
      <c r="BP62" s="869"/>
      <c r="BQ62" s="869"/>
      <c r="BR62" s="869"/>
      <c r="BS62" s="870"/>
      <c r="DA62" s="53">
        <f>IF(AND(BE62&lt;&gt;"",OR(BE62&lt;EXPEDIENTE!$I$25,BE62&gt;EXPEDIENTE!$I$29)),1,0)</f>
        <v>0</v>
      </c>
      <c r="DB62" s="47"/>
      <c r="DD62" s="55">
        <f t="shared" si="144"/>
        <v>0</v>
      </c>
      <c r="DE62" s="55">
        <f t="shared" si="157"/>
        <v>0</v>
      </c>
      <c r="DF62" s="55">
        <f t="shared" si="158"/>
        <v>0</v>
      </c>
      <c r="DG62" s="55">
        <f t="shared" si="159"/>
        <v>0</v>
      </c>
      <c r="DH62" s="55">
        <f t="shared" si="145"/>
        <v>0</v>
      </c>
      <c r="DU62" s="47"/>
      <c r="DW62" s="55">
        <f>IF(BH62&lt;&gt;"",MAX($DW$9:DW61)+1,0)</f>
        <v>0</v>
      </c>
      <c r="DX62" s="130" t="str">
        <f t="shared" si="160"/>
        <v/>
      </c>
    </row>
    <row r="63" spans="2:128" ht="30" customHeight="1" thickBot="1" x14ac:dyDescent="0.3">
      <c r="B63" s="972"/>
      <c r="C63" s="391" t="s">
        <v>281</v>
      </c>
      <c r="D63" s="303"/>
      <c r="E63" s="268">
        <f t="shared" si="146"/>
        <v>0</v>
      </c>
      <c r="F63" s="213"/>
      <c r="G63" s="213"/>
      <c r="H63" s="693">
        <f t="shared" si="147"/>
        <v>0</v>
      </c>
      <c r="I63" s="344"/>
      <c r="J63" s="998"/>
      <c r="K63" s="999"/>
      <c r="L63" s="999"/>
      <c r="M63" s="1000"/>
      <c r="N63" s="364"/>
      <c r="O63" s="633"/>
      <c r="P63" s="837"/>
      <c r="Q63" s="837"/>
      <c r="AG63" s="53">
        <f>IF(AND(I63&lt;&gt;"",OR(I63&lt;EXPEDIENTE!$I$25,I63&gt;EXPEDIENTE!$I$29)),1,0)</f>
        <v>0</v>
      </c>
      <c r="AI63" s="53">
        <f>IF(DATE(YEAR(EXPEDIENTE!$I$25)+3,MONTH(DATEVALUE($C63&amp;"1")),1)&gt;=DATE(YEAR(EXPEDIENTE!$I$25),MONTH(EXPEDIENTE!$I$25),1),0,1)</f>
        <v>0</v>
      </c>
      <c r="AJ63" s="53" t="e">
        <f>IF(DATE(YEAR(EXPEDIENTE!$I$25)+3,MONTH(DATEVALUE($C63&amp;"1")),1)&lt;=DATE(YEAR(EXPEDIENTE!$I$27),MONTH(EXPEDIENTE!$I$27),1),0,1)</f>
        <v>#VALUE!</v>
      </c>
      <c r="AK63" s="53" t="e">
        <f t="shared" si="148"/>
        <v>#VALUE!</v>
      </c>
      <c r="AM63" s="1014"/>
      <c r="AN63" s="392" t="s">
        <v>281</v>
      </c>
      <c r="AO63" s="281">
        <f t="shared" si="149"/>
        <v>0</v>
      </c>
      <c r="AP63" s="282"/>
      <c r="AQ63" s="283">
        <f t="shared" si="150"/>
        <v>0</v>
      </c>
      <c r="AR63" s="230">
        <f t="shared" si="141"/>
        <v>0</v>
      </c>
      <c r="AS63" s="857"/>
      <c r="AT63" s="858"/>
      <c r="AU63" s="224">
        <f t="shared" si="151"/>
        <v>0</v>
      </c>
      <c r="AV63" s="227"/>
      <c r="AW63" s="232">
        <f t="shared" si="152"/>
        <v>0</v>
      </c>
      <c r="AX63" s="224">
        <f t="shared" si="153"/>
        <v>0</v>
      </c>
      <c r="AY63" s="227"/>
      <c r="AZ63" s="232">
        <f t="shared" si="154"/>
        <v>0</v>
      </c>
      <c r="BA63" s="284">
        <f t="shared" si="142"/>
        <v>0</v>
      </c>
      <c r="BB63" s="857"/>
      <c r="BC63" s="858"/>
      <c r="BD63" s="233" t="str">
        <f t="shared" si="143"/>
        <v/>
      </c>
      <c r="BE63" s="285"/>
      <c r="BF63" s="235" t="str">
        <f t="shared" si="155"/>
        <v/>
      </c>
      <c r="BG63" s="286" t="str">
        <f t="shared" si="156"/>
        <v/>
      </c>
      <c r="BH63" s="877"/>
      <c r="BI63" s="878"/>
      <c r="BJ63" s="878"/>
      <c r="BK63" s="878"/>
      <c r="BL63" s="878"/>
      <c r="BM63" s="878"/>
      <c r="BN63" s="878"/>
      <c r="BO63" s="878"/>
      <c r="BP63" s="878"/>
      <c r="BQ63" s="878"/>
      <c r="BR63" s="878"/>
      <c r="BS63" s="879"/>
      <c r="DA63" s="53">
        <f>IF(AND(BE63&lt;&gt;"",OR(BE63&lt;EXPEDIENTE!$I$25,BE63&gt;EXPEDIENTE!$I$29)),1,0)</f>
        <v>0</v>
      </c>
      <c r="DB63" s="47"/>
      <c r="DD63" s="55">
        <f t="shared" si="144"/>
        <v>0</v>
      </c>
      <c r="DE63" s="55">
        <f t="shared" si="157"/>
        <v>0</v>
      </c>
      <c r="DF63" s="55">
        <f t="shared" si="158"/>
        <v>0</v>
      </c>
      <c r="DG63" s="55">
        <f t="shared" si="159"/>
        <v>0</v>
      </c>
      <c r="DH63" s="55">
        <f t="shared" si="145"/>
        <v>0</v>
      </c>
      <c r="DU63" s="47"/>
      <c r="DW63" s="55">
        <f>IF(BH63&lt;&gt;"",MAX($DW$9:DW62)+1,0)</f>
        <v>0</v>
      </c>
      <c r="DX63" s="130" t="str">
        <f t="shared" si="160"/>
        <v/>
      </c>
    </row>
    <row r="64" spans="2:128" ht="9.9499999999999993" customHeight="1" thickBot="1" x14ac:dyDescent="0.3">
      <c r="B64" s="973"/>
      <c r="C64" s="345"/>
      <c r="D64" s="345"/>
      <c r="E64" s="345"/>
      <c r="F64" s="345"/>
      <c r="G64" s="345"/>
      <c r="H64" s="345"/>
      <c r="I64" s="345"/>
      <c r="J64" s="345"/>
      <c r="K64" s="345"/>
      <c r="L64" s="345"/>
      <c r="M64" s="345"/>
      <c r="N64" s="363"/>
      <c r="AM64" s="1015"/>
      <c r="AN64" s="395"/>
      <c r="AO64" s="396"/>
      <c r="AP64" s="396"/>
      <c r="AQ64" s="396"/>
      <c r="AR64" s="396"/>
      <c r="AS64" s="396"/>
      <c r="AT64" s="396"/>
      <c r="AU64" s="396"/>
      <c r="AV64" s="396"/>
      <c r="AW64" s="396"/>
      <c r="AX64" s="396"/>
      <c r="AY64" s="396"/>
      <c r="AZ64" s="396"/>
      <c r="BA64" s="396"/>
      <c r="BB64" s="396"/>
      <c r="BC64" s="396"/>
      <c r="BD64" s="396"/>
      <c r="BE64" s="396"/>
      <c r="BF64" s="396"/>
      <c r="BG64" s="396"/>
      <c r="BH64" s="396"/>
      <c r="BI64" s="396"/>
      <c r="BJ64" s="396"/>
      <c r="BK64" s="396"/>
      <c r="BL64" s="396"/>
      <c r="BM64" s="396"/>
      <c r="BN64" s="396"/>
      <c r="BO64" s="396"/>
      <c r="BP64" s="396"/>
      <c r="BQ64" s="396"/>
      <c r="BR64" s="396"/>
      <c r="BS64" s="397"/>
      <c r="DA64" s="47"/>
    </row>
    <row r="65" ht="15.75" thickTop="1" x14ac:dyDescent="0.25"/>
  </sheetData>
  <sheetProtection algorithmName="SHA-512" hashValue="Lq0iIaZ+u3Uy1+8dkk5z9m/OFti9IRxSIHEsFi6+dJhVAAxmrmFeAZLCriVhijwygra52pE2Ly1GOU7UDqk9ug==" saltValue="EdTCU25oKkDl7Xu+b6+FbA==" spinCount="100000" sheet="1" formatColumns="0"/>
  <protectedRanges>
    <protectedRange algorithmName="SHA-512" hashValue="65XaVV7seiDpmxzawWfsPJ83iI7G883yvVbxv2ldAlFotSTBDaBZClGnW5ov41Mb1akaivcyVdFWoFDxjYQm9w==" saltValue="D4se3LmkXyJURfysentQ9A==" spinCount="100000" sqref="CY38:CY45" name="Rango5"/>
    <protectedRange algorithmName="SHA-512" hashValue="W6mdsfDmfkHuddg3lknSF1LA4ubkxMyMeR+x2eEQIkySqD40KcMwG7mr7zz0x6jb9kH7YD0EZo6FMEKTB1TnWw==" saltValue="ZuTsYBlfooqbvZmJIec8gQ==" spinCount="100000" sqref="AP38:AP45 AS38:AS45 AV38:AV45 AY38:AY45 BB38:BB45 BE38:BE45 BH38:BH45 BK38:BK45 BQ38:BQ45 BT38:BT45 BW38:BW45 BZ38:BZ45 CC38:CC45 CG38:CG45 CL38:CL45 CO38:CO45 CS38:CS45 CV38:CV45 CY38:CY45" name="Rango3"/>
    <protectedRange algorithmName="SHA-512" hashValue="6L2UzX7jWM7YIBLL0oaFfPIhU+UKOHZnzogbyXhArcPQtmH8pg/aHKdRtYo2fXI59hAe47V1rL0TImWJHnFRmw==" saltValue="EraKTUUYeu2vMzyLqZV7+A==" spinCount="100000" sqref="AS9:AS14 AU9:BG15" name="Rango1"/>
    <protectedRange algorithmName="SHA-512" hashValue="ixDndEnii2xyEiCtsRNvYoWbowMfBsDLo67JQUkDKn8XcnL01n/iHqOrzdqrWJiwUeTbN+2NqpaaFvoymDiSTw==" saltValue="PprcyM42Z3O7gpCbwCgqWQ==" spinCount="100000" sqref="AS20:AS31 AV20:AV31 AY20:AY31 BB20:BB31 BE20:BE31 BH20:BH31 BK20:BK31 BQ20:BQ31 BT20:BT31 BW20:BW31 BZ20:BZ31 CC20:CC31 CG20:CG31 CL20:CL31 CO20:CO31 CS20:CS31 CV20:CV31 CY20:CY31" name="Rango2"/>
    <protectedRange algorithmName="SHA-512" hashValue="QoAada0PkVHWS7AaNTnxB+R77YVaeNZlKtiBWNWJmfL9BT6vkrLAhlD6c9tmYPbJ4kYwCHgF4FoNfiwn+IXIWg==" saltValue="2CchFXpVLqchzJLbJ6wFsw==" spinCount="100000" sqref="AV52:AV63 AY52:AY63 BE52:BE63 BH52:BS63 AP52:AP63" name="Rango4"/>
  </protectedRanges>
  <mergeCells count="208">
    <mergeCell ref="I12:T13"/>
    <mergeCell ref="AN10:AP10"/>
    <mergeCell ref="AU10:BG10"/>
    <mergeCell ref="C10:E10"/>
    <mergeCell ref="C48:M49"/>
    <mergeCell ref="P52:Q63"/>
    <mergeCell ref="CX17:CX19"/>
    <mergeCell ref="CY17:CY19"/>
    <mergeCell ref="CX35:CX37"/>
    <mergeCell ref="CY35:CY37"/>
    <mergeCell ref="AN48:BS49"/>
    <mergeCell ref="BG50:BG51"/>
    <mergeCell ref="BH50:BS51"/>
    <mergeCell ref="CO36:CO37"/>
    <mergeCell ref="CP36:CP37"/>
    <mergeCell ref="AX36:BM36"/>
    <mergeCell ref="BH61:BS61"/>
    <mergeCell ref="CK36:CK37"/>
    <mergeCell ref="CL36:CL37"/>
    <mergeCell ref="BH52:BS52"/>
    <mergeCell ref="BH53:BS53"/>
    <mergeCell ref="BH54:BS54"/>
    <mergeCell ref="BH55:BS55"/>
    <mergeCell ref="BN36:BN37"/>
    <mergeCell ref="BP36:CE36"/>
    <mergeCell ref="CF36:CH36"/>
    <mergeCell ref="BH62:BS62"/>
    <mergeCell ref="BH63:BS63"/>
    <mergeCell ref="BH56:BS56"/>
    <mergeCell ref="BH57:BS57"/>
    <mergeCell ref="BH58:BS58"/>
    <mergeCell ref="BH59:BS59"/>
    <mergeCell ref="BH60:BS60"/>
    <mergeCell ref="AN50:AN51"/>
    <mergeCell ref="AO50:AQ50"/>
    <mergeCell ref="AR50:AR51"/>
    <mergeCell ref="AS50:AT63"/>
    <mergeCell ref="AU50:AW50"/>
    <mergeCell ref="AX50:AZ50"/>
    <mergeCell ref="BA50:BA51"/>
    <mergeCell ref="BB50:BC63"/>
    <mergeCell ref="BD50:BF50"/>
    <mergeCell ref="CQ17:CQ19"/>
    <mergeCell ref="AN34:CY34"/>
    <mergeCell ref="AN35:AT35"/>
    <mergeCell ref="AU35:BN35"/>
    <mergeCell ref="BO35:CI35"/>
    <mergeCell ref="CJ35:CJ37"/>
    <mergeCell ref="CK35:CM35"/>
    <mergeCell ref="CN35:CP35"/>
    <mergeCell ref="CQ35:CQ37"/>
    <mergeCell ref="CR35:CT35"/>
    <mergeCell ref="CU35:CW35"/>
    <mergeCell ref="AN36:AN37"/>
    <mergeCell ref="AO36:AQ36"/>
    <mergeCell ref="AR36:AT36"/>
    <mergeCell ref="AU36:AW36"/>
    <mergeCell ref="CS36:CS37"/>
    <mergeCell ref="CT36:CT37"/>
    <mergeCell ref="CU36:CU37"/>
    <mergeCell ref="CV36:CV37"/>
    <mergeCell ref="CW36:CW37"/>
    <mergeCell ref="CM36:CM37"/>
    <mergeCell ref="CR36:CR37"/>
    <mergeCell ref="CN36:CN37"/>
    <mergeCell ref="CO18:CO19"/>
    <mergeCell ref="AU18:AW18"/>
    <mergeCell ref="AX18:BM18"/>
    <mergeCell ref="BN18:BN19"/>
    <mergeCell ref="BP18:CE18"/>
    <mergeCell ref="CF18:CH18"/>
    <mergeCell ref="BO17:CI17"/>
    <mergeCell ref="CJ17:CJ19"/>
    <mergeCell ref="CK17:CM17"/>
    <mergeCell ref="CN17:CP17"/>
    <mergeCell ref="DD7:DU7"/>
    <mergeCell ref="AG16:AH16"/>
    <mergeCell ref="AG17:AG18"/>
    <mergeCell ref="AH17:AH18"/>
    <mergeCell ref="N17:V17"/>
    <mergeCell ref="W17:W19"/>
    <mergeCell ref="X17:X19"/>
    <mergeCell ref="DB17:DB18"/>
    <mergeCell ref="AT18:AT19"/>
    <mergeCell ref="CV18:CV19"/>
    <mergeCell ref="CW18:CW19"/>
    <mergeCell ref="CP18:CP19"/>
    <mergeCell ref="CR18:CR19"/>
    <mergeCell ref="CS18:CS19"/>
    <mergeCell ref="CT18:CT19"/>
    <mergeCell ref="CU18:CU19"/>
    <mergeCell ref="CK18:CK19"/>
    <mergeCell ref="CL18:CL19"/>
    <mergeCell ref="CM18:CM19"/>
    <mergeCell ref="AR17:AT17"/>
    <mergeCell ref="AU17:BN17"/>
    <mergeCell ref="AN18:AO19"/>
    <mergeCell ref="AP18:AQ31"/>
    <mergeCell ref="AR18:AR19"/>
    <mergeCell ref="DW7:DX7"/>
    <mergeCell ref="AM8:AM64"/>
    <mergeCell ref="AN8:AP8"/>
    <mergeCell ref="AU8:BG8"/>
    <mergeCell ref="AN9:AP9"/>
    <mergeCell ref="AU9:BG9"/>
    <mergeCell ref="AN11:AP11"/>
    <mergeCell ref="AU11:BG11"/>
    <mergeCell ref="AN12:AP12"/>
    <mergeCell ref="AU12:BG12"/>
    <mergeCell ref="AN13:AP13"/>
    <mergeCell ref="AU13:BG13"/>
    <mergeCell ref="AN14:AP14"/>
    <mergeCell ref="AU14:BG14"/>
    <mergeCell ref="AN31:AO31"/>
    <mergeCell ref="AN15:AP15"/>
    <mergeCell ref="DA16:DB16"/>
    <mergeCell ref="AN16:CY16"/>
    <mergeCell ref="AN17:AQ17"/>
    <mergeCell ref="CR17:CT17"/>
    <mergeCell ref="CU17:CW17"/>
    <mergeCell ref="DA17:DA18"/>
    <mergeCell ref="CN18:CN19"/>
    <mergeCell ref="AN23:AO23"/>
    <mergeCell ref="AN24:AO24"/>
    <mergeCell ref="AN25:AO25"/>
    <mergeCell ref="AN26:AO26"/>
    <mergeCell ref="AN27:AO27"/>
    <mergeCell ref="AN28:AO28"/>
    <mergeCell ref="AN29:AO29"/>
    <mergeCell ref="AN30:AO30"/>
    <mergeCell ref="AN20:AO20"/>
    <mergeCell ref="AN21:AO21"/>
    <mergeCell ref="AN22:AO22"/>
    <mergeCell ref="AS18:AS19"/>
    <mergeCell ref="B8:B64"/>
    <mergeCell ref="C8:F8"/>
    <mergeCell ref="I8:T8"/>
    <mergeCell ref="I9:T9"/>
    <mergeCell ref="I11:T11"/>
    <mergeCell ref="C16:AE16"/>
    <mergeCell ref="C17:E17"/>
    <mergeCell ref="F17:M17"/>
    <mergeCell ref="AB17:AB19"/>
    <mergeCell ref="AC17:AC19"/>
    <mergeCell ref="AD17:AD19"/>
    <mergeCell ref="AE17:AE19"/>
    <mergeCell ref="C18:D19"/>
    <mergeCell ref="Y17:Y19"/>
    <mergeCell ref="Z17:Z19"/>
    <mergeCell ref="C34:AE34"/>
    <mergeCell ref="E18:E19"/>
    <mergeCell ref="F18:F19"/>
    <mergeCell ref="G18:L18"/>
    <mergeCell ref="M18:M19"/>
    <mergeCell ref="O18:T18"/>
    <mergeCell ref="U18:U19"/>
    <mergeCell ref="AA17:AA19"/>
    <mergeCell ref="C31:D31"/>
    <mergeCell ref="C20:D20"/>
    <mergeCell ref="C21:D21"/>
    <mergeCell ref="C22:D22"/>
    <mergeCell ref="C23:D23"/>
    <mergeCell ref="C24:D24"/>
    <mergeCell ref="C25:D25"/>
    <mergeCell ref="C26:D26"/>
    <mergeCell ref="C27:D27"/>
    <mergeCell ref="C28:D28"/>
    <mergeCell ref="C29:D29"/>
    <mergeCell ref="C30:D30"/>
    <mergeCell ref="AA35:AA37"/>
    <mergeCell ref="AB35:AB37"/>
    <mergeCell ref="AD35:AD37"/>
    <mergeCell ref="AE35:AE37"/>
    <mergeCell ref="AC35:AC37"/>
    <mergeCell ref="C36:C37"/>
    <mergeCell ref="D36:E36"/>
    <mergeCell ref="F36:F37"/>
    <mergeCell ref="G36:L36"/>
    <mergeCell ref="M36:M37"/>
    <mergeCell ref="O36:T36"/>
    <mergeCell ref="U36:U37"/>
    <mergeCell ref="C35:E35"/>
    <mergeCell ref="F35:M35"/>
    <mergeCell ref="N35:V35"/>
    <mergeCell ref="W35:W37"/>
    <mergeCell ref="X35:X37"/>
    <mergeCell ref="Y35:Y37"/>
    <mergeCell ref="Z35:Z37"/>
    <mergeCell ref="J62:M62"/>
    <mergeCell ref="J63:M63"/>
    <mergeCell ref="J56:M56"/>
    <mergeCell ref="J57:M57"/>
    <mergeCell ref="J58:M58"/>
    <mergeCell ref="J59:M59"/>
    <mergeCell ref="J60:M60"/>
    <mergeCell ref="J52:M52"/>
    <mergeCell ref="J53:M53"/>
    <mergeCell ref="J54:M54"/>
    <mergeCell ref="J55:M55"/>
    <mergeCell ref="C50:C51"/>
    <mergeCell ref="D50:D51"/>
    <mergeCell ref="E50:E51"/>
    <mergeCell ref="F50:F51"/>
    <mergeCell ref="G50:G51"/>
    <mergeCell ref="H50:H51"/>
    <mergeCell ref="I50:I51"/>
    <mergeCell ref="J50:M51"/>
    <mergeCell ref="J61:M61"/>
  </mergeCells>
  <conditionalFormatting sqref="C52:I63">
    <cfRule type="expression" dxfId="151" priority="4">
      <formula>$AK20=1</formula>
    </cfRule>
  </conditionalFormatting>
  <conditionalFormatting sqref="D50:D51">
    <cfRule type="expression" dxfId="150" priority="117">
      <formula>OR(SUM(T20:T31)&gt;0,SUM(T38:T45)&gt;0)</formula>
    </cfRule>
  </conditionalFormatting>
  <conditionalFormatting sqref="H12:I12 H14:T14">
    <cfRule type="expression" dxfId="137" priority="17">
      <formula>OR($AG$19&gt;0,$AH$19&gt;0)</formula>
    </cfRule>
  </conditionalFormatting>
  <conditionalFormatting sqref="I52:I63 AA20:AA31 AA38:AA45 BD52:BD63">
    <cfRule type="expression" dxfId="136" priority="18" stopIfTrue="1">
      <formula>$AG20&lt;&gt;0</formula>
    </cfRule>
  </conditionalFormatting>
  <conditionalFormatting sqref="P52">
    <cfRule type="cellIs" dxfId="135" priority="116" operator="notEqual">
      <formula>""</formula>
    </cfRule>
  </conditionalFormatting>
  <conditionalFormatting sqref="AB20:AB31 AB38:AB45">
    <cfRule type="expression" dxfId="122" priority="19" stopIfTrue="1">
      <formula>$AH20&lt;&gt;0</formula>
    </cfRule>
  </conditionalFormatting>
  <conditionalFormatting sqref="AP52:AP63 AP38:AP45">
    <cfRule type="expression" dxfId="119" priority="45">
      <formula>AND($AP38&lt;&gt;"",$AO38&lt;&gt;$AP38)</formula>
    </cfRule>
  </conditionalFormatting>
  <conditionalFormatting sqref="AS9:AS14">
    <cfRule type="expression" dxfId="118" priority="20">
      <formula>AND($AS9&lt;&gt;"",$AR9&lt;&gt;$AS9)</formula>
    </cfRule>
  </conditionalFormatting>
  <conditionalFormatting sqref="AS20:AS31">
    <cfRule type="expression" dxfId="117" priority="25">
      <formula>AND($AS20&lt;&gt;"",$AR20&lt;&gt;$AS20)</formula>
    </cfRule>
  </conditionalFormatting>
  <conditionalFormatting sqref="AS38:AS45">
    <cfRule type="expression" dxfId="116" priority="46">
      <formula>AND($AS38&lt;&gt;"",$AR38&lt;&gt;$AS38)</formula>
    </cfRule>
  </conditionalFormatting>
  <conditionalFormatting sqref="AT15">
    <cfRule type="cellIs" dxfId="115" priority="24" operator="notEqual">
      <formula>$AR$15</formula>
    </cfRule>
  </conditionalFormatting>
  <conditionalFormatting sqref="AU9:AU14">
    <cfRule type="expression" dxfId="114" priority="21" stopIfTrue="1">
      <formula>AND($AR9&lt;&gt;$AT9,$AU9="")</formula>
    </cfRule>
    <cfRule type="expression" dxfId="113" priority="22">
      <formula>AND($AR9=$AT9,$AU9&lt;&gt;"")</formula>
    </cfRule>
    <cfRule type="expression" dxfId="112" priority="23">
      <formula>AND($AR9&lt;&gt;$AS9,$AU9&lt;&gt;"")</formula>
    </cfRule>
  </conditionalFormatting>
  <conditionalFormatting sqref="AV20:AV31 AV52:AV63">
    <cfRule type="expression" dxfId="111" priority="26">
      <formula>AND($AV20&lt;&gt;"",$AU20&lt;&gt;$AV20)</formula>
    </cfRule>
  </conditionalFormatting>
  <conditionalFormatting sqref="AV38:AV45">
    <cfRule type="expression" dxfId="110" priority="47">
      <formula>AND($AV38&lt;&gt;"",$AU38&lt;&gt;$AV38)</formula>
    </cfRule>
  </conditionalFormatting>
  <conditionalFormatting sqref="AY20:AY31 AY52:AY63">
    <cfRule type="expression" dxfId="109" priority="27">
      <formula>AND($AY20&lt;&gt;"",$AX20&lt;&gt;$AY20)</formula>
    </cfRule>
  </conditionalFormatting>
  <conditionalFormatting sqref="AY38:AY45">
    <cfRule type="expression" dxfId="108" priority="48">
      <formula>AND($AY38&lt;&gt;"",$AX38&lt;&gt;$AY38)</formula>
    </cfRule>
  </conditionalFormatting>
  <conditionalFormatting sqref="BB20:BB31">
    <cfRule type="expression" dxfId="107" priority="28">
      <formula>AND($BB20&lt;&gt;"",$BA20&lt;&gt;$BB20)</formula>
    </cfRule>
  </conditionalFormatting>
  <conditionalFormatting sqref="BB38:BB45">
    <cfRule type="expression" dxfId="106" priority="49">
      <formula>AND($BB38&lt;&gt;"",$BA38&lt;&gt;$BB38)</formula>
    </cfRule>
  </conditionalFormatting>
  <conditionalFormatting sqref="BD52:BF63 AN52:AR63 AU52:BA63 W20:AD31 C20:M31 O20:U31">
    <cfRule type="expression" dxfId="104" priority="78">
      <formula>$AK20=1</formula>
    </cfRule>
  </conditionalFormatting>
  <conditionalFormatting sqref="BE20:BE31">
    <cfRule type="expression" dxfId="92" priority="29">
      <formula>AND($BE20&lt;&gt;"",$BD20&lt;&gt;$BE20)</formula>
    </cfRule>
  </conditionalFormatting>
  <conditionalFormatting sqref="BE38:BE45">
    <cfRule type="expression" dxfId="91" priority="50">
      <formula>AND($BE38&lt;&gt;"",$BD38&lt;&gt;$BE38)</formula>
    </cfRule>
  </conditionalFormatting>
  <conditionalFormatting sqref="BE52:BE63">
    <cfRule type="expression" dxfId="90" priority="73" stopIfTrue="1">
      <formula>AND($DA52&lt;&gt;0,$BE52&lt;&gt;"")</formula>
    </cfRule>
    <cfRule type="expression" dxfId="89" priority="66">
      <formula>AND($BE52&lt;&gt;"",$BD52&lt;&gt;$BE52)</formula>
    </cfRule>
  </conditionalFormatting>
  <conditionalFormatting sqref="BF52:BF63">
    <cfRule type="expression" dxfId="88" priority="74" stopIfTrue="1">
      <formula>AND($DA52&lt;&gt;0,$BF52&lt;&gt;"")</formula>
    </cfRule>
  </conditionalFormatting>
  <conditionalFormatting sqref="BH20:BH31">
    <cfRule type="expression" dxfId="87" priority="30">
      <formula>AND($BH20&lt;&gt;"",$BG20&lt;&gt;$BH20)</formula>
    </cfRule>
  </conditionalFormatting>
  <conditionalFormatting sqref="BH38:BH45">
    <cfRule type="expression" dxfId="86" priority="51">
      <formula>AND($BH38&lt;&gt;"",$BG38&lt;&gt;$BH38)</formula>
    </cfRule>
  </conditionalFormatting>
  <conditionalFormatting sqref="BH52:BS63">
    <cfRule type="expression" dxfId="85" priority="69">
      <formula>IF($BG52&lt;&gt;"",$BH52&lt;&gt;"")</formula>
    </cfRule>
    <cfRule type="expression" dxfId="84" priority="68">
      <formula>IF($BG52="",$BH52&lt;&gt;"")</formula>
    </cfRule>
    <cfRule type="expression" dxfId="83" priority="67" stopIfTrue="1">
      <formula>IF($BG52&lt;&gt;"",$BH52="")</formula>
    </cfRule>
  </conditionalFormatting>
  <conditionalFormatting sqref="BK20:BK31">
    <cfRule type="expression" dxfId="82" priority="31">
      <formula>AND($BK20&lt;&gt;"",$BJ20&lt;&gt;$BK20)</formula>
    </cfRule>
  </conditionalFormatting>
  <conditionalFormatting sqref="BK38:BK45">
    <cfRule type="expression" dxfId="81" priority="52">
      <formula>IF($BK38&lt;&gt;"",$BJ38&lt;&gt;$BK38)</formula>
    </cfRule>
  </conditionalFormatting>
  <conditionalFormatting sqref="BQ20:BQ31">
    <cfRule type="expression" dxfId="80" priority="32">
      <formula>AND($BQ20&lt;&gt;"",$BP20&lt;&gt;$BQ20)</formula>
    </cfRule>
  </conditionalFormatting>
  <conditionalFormatting sqref="BQ38:BQ45">
    <cfRule type="expression" dxfId="79" priority="53">
      <formula>AND($BQ38&lt;&gt;"",$BP38&lt;&gt;$BQ38)</formula>
    </cfRule>
  </conditionalFormatting>
  <conditionalFormatting sqref="BT20:BT31">
    <cfRule type="expression" dxfId="78" priority="33">
      <formula>AND($BT20&lt;&gt;"",$BS20&lt;&gt;$BT20)</formula>
    </cfRule>
  </conditionalFormatting>
  <conditionalFormatting sqref="BT38:BT45">
    <cfRule type="expression" dxfId="77" priority="54">
      <formula>AND($BT38&lt;&gt;"",$BS38&lt;&gt;$BT38)</formula>
    </cfRule>
  </conditionalFormatting>
  <conditionalFormatting sqref="BW20:BW31">
    <cfRule type="expression" dxfId="76" priority="34">
      <formula>AND($BW20&lt;&gt;"",$BV20&lt;&gt;$BW20)</formula>
    </cfRule>
  </conditionalFormatting>
  <conditionalFormatting sqref="BW38:BW45">
    <cfRule type="expression" dxfId="75" priority="55">
      <formula>AND($BW38&lt;&gt;"",$BV38&lt;&gt;$BW$38)</formula>
    </cfRule>
  </conditionalFormatting>
  <conditionalFormatting sqref="BZ20:BZ31">
    <cfRule type="expression" dxfId="74" priority="35">
      <formula>AND($BZ20&lt;&gt;"",$BY20&lt;&gt;$BZ20)</formula>
    </cfRule>
  </conditionalFormatting>
  <conditionalFormatting sqref="BZ38:BZ45">
    <cfRule type="expression" dxfId="73" priority="56">
      <formula>AND($BZ38&lt;&gt;"",$BY38&lt;&gt;$BZ38)</formula>
    </cfRule>
  </conditionalFormatting>
  <conditionalFormatting sqref="CC20:CC31">
    <cfRule type="expression" dxfId="72" priority="36">
      <formula>AND($CC20&lt;&gt;"",$CB20&lt;&gt;$CC20)</formula>
    </cfRule>
  </conditionalFormatting>
  <conditionalFormatting sqref="CC38:CC45">
    <cfRule type="expression" dxfId="71" priority="57">
      <formula>AND($CC38&lt;&gt;"",$CB38&lt;&gt;$CC38)</formula>
    </cfRule>
  </conditionalFormatting>
  <conditionalFormatting sqref="CG20:CG31">
    <cfRule type="expression" dxfId="70" priority="37">
      <formula>AND($CG20&lt;&gt;"",$CF20&lt;&gt;$CG20)</formula>
    </cfRule>
  </conditionalFormatting>
  <conditionalFormatting sqref="CG38:CG45">
    <cfRule type="expression" dxfId="69" priority="58">
      <formula>AND($CG38&lt;&gt;"",$CF38&lt;&gt;$CG38)</formula>
    </cfRule>
  </conditionalFormatting>
  <conditionalFormatting sqref="CJ20:CW31 BP20:CH31 AR20:BN31 AN20:AO31">
    <cfRule type="expression" dxfId="67" priority="91">
      <formula>$AK20=1</formula>
    </cfRule>
  </conditionalFormatting>
  <conditionalFormatting sqref="CL20:CL31">
    <cfRule type="expression" dxfId="55" priority="38">
      <formula>AND($CL20&lt;&gt;"",$CK20&lt;&gt;$CL20)</formula>
    </cfRule>
  </conditionalFormatting>
  <conditionalFormatting sqref="CL38:CL45">
    <cfRule type="expression" dxfId="54" priority="59">
      <formula>AND($CL38&lt;&gt;"",$CK38&lt;&gt;$CL38)</formula>
    </cfRule>
  </conditionalFormatting>
  <conditionalFormatting sqref="CO20:CO31">
    <cfRule type="expression" dxfId="53" priority="39">
      <formula>AND($CO20&lt;&gt;"",$CN20&lt;&gt;$CO20)</formula>
    </cfRule>
  </conditionalFormatting>
  <conditionalFormatting sqref="CO38:CO45">
    <cfRule type="expression" dxfId="52" priority="60">
      <formula>AND($CO38&lt;&gt;"",$CN38&lt;&gt;$CO38)</formula>
    </cfRule>
  </conditionalFormatting>
  <conditionalFormatting sqref="CR20:CR31 CR38:CR45">
    <cfRule type="expression" dxfId="51" priority="70" stopIfTrue="1">
      <formula>$AG20&lt;&gt;0</formula>
    </cfRule>
  </conditionalFormatting>
  <conditionalFormatting sqref="CS20:CS31">
    <cfRule type="expression" dxfId="50" priority="40">
      <formula>AND($CS20&lt;&gt;"",$CR20&lt;&gt;$CS20)</formula>
    </cfRule>
  </conditionalFormatting>
  <conditionalFormatting sqref="CS38:CS45 CS20:CS31">
    <cfRule type="expression" dxfId="49" priority="71" stopIfTrue="1">
      <formula>AND($DA20&lt;&gt;0,$CS20&lt;&gt;"")</formula>
    </cfRule>
  </conditionalFormatting>
  <conditionalFormatting sqref="CS38:CS45">
    <cfRule type="expression" dxfId="48" priority="61">
      <formula>AND($CS38&lt;&gt;"",$CR38&lt;&gt;$CT38)</formula>
    </cfRule>
  </conditionalFormatting>
  <conditionalFormatting sqref="CT20:CT31 CT38:CT45">
    <cfRule type="expression" dxfId="47" priority="72" stopIfTrue="1">
      <formula>AND($DA20&lt;&gt;0,$CT20&lt;&gt;"")</formula>
    </cfRule>
  </conditionalFormatting>
  <conditionalFormatting sqref="CU20:CU31 CU38:CU45">
    <cfRule type="expression" dxfId="46" priority="75" stopIfTrue="1">
      <formula>$AG20&lt;&gt;0</formula>
    </cfRule>
  </conditionalFormatting>
  <conditionalFormatting sqref="CV20:CV31">
    <cfRule type="expression" dxfId="45" priority="41">
      <formula>AND($CV20&lt;&gt;"",$CU20&lt;&gt;$CV20)</formula>
    </cfRule>
  </conditionalFormatting>
  <conditionalFormatting sqref="CV38:CV45 CV20:CV31">
    <cfRule type="expression" dxfId="44" priority="76" stopIfTrue="1">
      <formula>AND($DB20&lt;&gt;0,$CV20&lt;&gt;"")</formula>
    </cfRule>
  </conditionalFormatting>
  <conditionalFormatting sqref="CV38:CV45">
    <cfRule type="expression" dxfId="43" priority="62">
      <formula>AND($CV38&lt;&gt;"",$CU38&lt;&gt;$CW38)</formula>
    </cfRule>
  </conditionalFormatting>
  <conditionalFormatting sqref="CW20:CW31 CW38:CW45">
    <cfRule type="expression" dxfId="42" priority="77" stopIfTrue="1">
      <formula>AND($DB20&lt;&gt;0,$CW20&lt;&gt;"")</formula>
    </cfRule>
  </conditionalFormatting>
  <conditionalFormatting sqref="CY20:CY31">
    <cfRule type="expression" dxfId="41" priority="44">
      <formula>IF($CX20&lt;&gt;"",$CY20&lt;&gt;"")</formula>
    </cfRule>
    <cfRule type="expression" dxfId="40" priority="43">
      <formula>IF($CX20="",$CY20&lt;&gt;"")</formula>
    </cfRule>
    <cfRule type="expression" dxfId="39" priority="42" stopIfTrue="1">
      <formula>IF($CX20&lt;&gt;"",$CY20="")</formula>
    </cfRule>
  </conditionalFormatting>
  <conditionalFormatting sqref="CY38:CY45">
    <cfRule type="expression" dxfId="38" priority="64">
      <formula>IF($CX38="",$CY38&lt;&gt;"")</formula>
    </cfRule>
    <cfRule type="expression" dxfId="37" priority="63" stopIfTrue="1">
      <formula>IF($CX38&lt;&gt;"",$CY38="")</formula>
    </cfRule>
    <cfRule type="expression" dxfId="36" priority="65">
      <formula>IF($CX38&lt;&gt;"",$CY38&lt;&gt;"")</formula>
    </cfRule>
  </conditionalFormatting>
  <printOptions horizontalCentered="1" verticalCentered="1"/>
  <pageMargins left="0.39370078740157483" right="0.39370078740157483" top="0.59055118110236227" bottom="0.39370078740157483" header="0.19685039370078741" footer="0.19685039370078741"/>
  <pageSetup paperSize="8" scale="47" orientation="landscape" r:id="rId1"/>
  <headerFooter>
    <oddFooter>&amp;L&amp;"Nunito Sans,Normal"&amp;8MOD60&amp;C&amp;"Nunito Sans,Normal"&amp;8&amp;A&amp;R&amp;"Nunito Sans,Normal"&amp;8&amp;P de &amp;N</oddFooter>
  </headerFooter>
  <colBreaks count="1" manualBreakCount="1">
    <brk id="32" max="61" man="1"/>
  </colBreaks>
  <ignoredErrors>
    <ignoredError sqref="L25 L38:L45"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3" stopIfTrue="1" id="{9058AABC-55A3-4984-95E4-CAC0AF42FC70}">
            <xm:f>OR(EXPEDIENTE!$I$25="",EXPEDIENTE!$I$27="",AND(EXPEDIENTE!$I$25&lt;&gt;"",EXPEDIENTE!$I$27&lt;&gt;"",YEAR(EXPEDIENTE!$I$27)&lt;YEAR(EXPEDIENTE!$I$25)+3))</xm:f>
            <x14:dxf>
              <font>
                <color theme="0"/>
              </font>
              <fill>
                <patternFill>
                  <bgColor theme="0"/>
                </patternFill>
              </fill>
              <border>
                <left/>
                <right/>
                <top/>
                <bottom/>
                <vertical/>
                <horizontal/>
              </border>
            </x14:dxf>
          </x14:cfRule>
          <xm:sqref>A8:XFD9 AQ10:XFD10 U11:XFD13 A14:XFD64 F10:AM10 A10:B10 I10:T11 A11:H13 H12:I12</xm:sqref>
        </x14:conditionalFormatting>
        <x14:conditionalFormatting xmlns:xm="http://schemas.microsoft.com/office/excel/2006/main">
          <x14:cfRule type="expression" priority="5" id="{CFBED2A6-2FA7-4A65-8141-319E42CA5C94}">
            <xm:f>'% DEDICACIÓN TRABAJADOR'!$G$41=0</xm:f>
            <x14:dxf>
              <font>
                <color theme="9" tint="0.79998168889431442"/>
              </font>
              <fill>
                <patternFill>
                  <bgColor theme="9" tint="0.79998168889431442"/>
                </patternFill>
              </fill>
            </x14:dxf>
          </x14:cfRule>
          <xm:sqref>E20:M20 O20:U20 AR20:BN20 BP20:CH20 D52:I52 AO52:AR52 AU52:BA52</xm:sqref>
        </x14:conditionalFormatting>
        <x14:conditionalFormatting xmlns:xm="http://schemas.microsoft.com/office/excel/2006/main">
          <x14:cfRule type="expression" priority="6" id="{A351E4EF-3291-4370-BEC3-E90FBAD34AB7}">
            <xm:f>'% DEDICACIÓN TRABAJADOR'!$H$41=0</xm:f>
            <x14:dxf>
              <font>
                <color theme="9" tint="0.79998168889431442"/>
              </font>
              <fill>
                <patternFill>
                  <bgColor theme="9" tint="0.79998168889431442"/>
                </patternFill>
              </fill>
            </x14:dxf>
          </x14:cfRule>
          <xm:sqref>E21:M21 O21:U21 AR21:BN21 BP21:CH21 D53:I53 AO53:AR53 AU53:BA53</xm:sqref>
        </x14:conditionalFormatting>
        <x14:conditionalFormatting xmlns:xm="http://schemas.microsoft.com/office/excel/2006/main">
          <x14:cfRule type="expression" priority="7" id="{5B65CBF5-153A-44B5-92BA-7C3B4197FF42}">
            <xm:f>'% DEDICACIÓN TRABAJADOR'!$I$41=0</xm:f>
            <x14:dxf>
              <font>
                <color theme="9" tint="0.79998168889431442"/>
              </font>
              <fill>
                <patternFill>
                  <bgColor theme="9" tint="0.79998168889431442"/>
                </patternFill>
              </fill>
            </x14:dxf>
          </x14:cfRule>
          <xm:sqref>E22:M22 O22:U22 AR22:BN22 BP22:CH22 D54:I54 AO54:AR54 AU54:BA54</xm:sqref>
        </x14:conditionalFormatting>
        <x14:conditionalFormatting xmlns:xm="http://schemas.microsoft.com/office/excel/2006/main">
          <x14:cfRule type="expression" priority="8" id="{E6281431-8BE3-409C-A2D4-A4860D09680B}">
            <xm:f>'% DEDICACIÓN TRABAJADOR'!$J$41=0</xm:f>
            <x14:dxf>
              <font>
                <color theme="9" tint="0.79998168889431442"/>
              </font>
              <fill>
                <patternFill>
                  <bgColor theme="9" tint="0.79998168889431442"/>
                </patternFill>
              </fill>
            </x14:dxf>
          </x14:cfRule>
          <xm:sqref>E23:M23 O23:U23 AR23:BN23 BP23:CH23 D55:I55 AO55:AR55 AU55:BA55</xm:sqref>
        </x14:conditionalFormatting>
        <x14:conditionalFormatting xmlns:xm="http://schemas.microsoft.com/office/excel/2006/main">
          <x14:cfRule type="expression" priority="9" id="{0CB5380F-79A1-47CF-B10E-97DCDFCC40C5}">
            <xm:f>'% DEDICACIÓN TRABAJADOR'!$K$41=0</xm:f>
            <x14:dxf>
              <font>
                <color theme="9" tint="0.79998168889431442"/>
              </font>
              <fill>
                <patternFill>
                  <bgColor theme="9" tint="0.79998168889431442"/>
                </patternFill>
              </fill>
            </x14:dxf>
          </x14:cfRule>
          <xm:sqref>E24:M24 O24:U24 AR24:BN24 BP24:CH24 D56:I56 AO56:AR56 AU56:BA56</xm:sqref>
        </x14:conditionalFormatting>
        <x14:conditionalFormatting xmlns:xm="http://schemas.microsoft.com/office/excel/2006/main">
          <x14:cfRule type="expression" priority="10" id="{1A8287EF-8257-43E5-BED5-77545A3CA3C2}">
            <xm:f>'% DEDICACIÓN TRABAJADOR'!$L$41=0</xm:f>
            <x14:dxf>
              <font>
                <color theme="9" tint="0.79998168889431442"/>
              </font>
              <fill>
                <patternFill>
                  <bgColor theme="9" tint="0.79998168889431442"/>
                </patternFill>
              </fill>
            </x14:dxf>
          </x14:cfRule>
          <xm:sqref>E25:M25 O25:U25 AR25:BN25 BP25:CH25 D57:I57 AO57:AR57 AU57:BA57</xm:sqref>
        </x14:conditionalFormatting>
        <x14:conditionalFormatting xmlns:xm="http://schemas.microsoft.com/office/excel/2006/main">
          <x14:cfRule type="expression" priority="11" id="{FABB88A0-FD28-4216-817D-80AD87B946F2}">
            <xm:f>'% DEDICACIÓN TRABAJADOR'!$M$41=0</xm:f>
            <x14:dxf>
              <font>
                <color theme="9" tint="0.79998168889431442"/>
              </font>
              <fill>
                <patternFill>
                  <bgColor theme="9" tint="0.79998168889431442"/>
                </patternFill>
              </fill>
            </x14:dxf>
          </x14:cfRule>
          <xm:sqref>E26:M26 O26:U26 AR26:BN26 BP26:CH26 D58:I58 AO58:AR58 AU58:BA58</xm:sqref>
        </x14:conditionalFormatting>
        <x14:conditionalFormatting xmlns:xm="http://schemas.microsoft.com/office/excel/2006/main">
          <x14:cfRule type="expression" priority="12" id="{27AFA5D1-01CB-47BA-8611-1B056145683B}">
            <xm:f>'% DEDICACIÓN TRABAJADOR'!$N$41=0</xm:f>
            <x14:dxf>
              <font>
                <color theme="9" tint="0.79998168889431442"/>
              </font>
              <fill>
                <patternFill>
                  <bgColor theme="9" tint="0.79998168889431442"/>
                </patternFill>
              </fill>
            </x14:dxf>
          </x14:cfRule>
          <xm:sqref>E27:M27 O27:U27 AR27:BN27 BP27:CH27 D59:I59 AO59:AR59 AU59:BA59</xm:sqref>
        </x14:conditionalFormatting>
        <x14:conditionalFormatting xmlns:xm="http://schemas.microsoft.com/office/excel/2006/main">
          <x14:cfRule type="expression" priority="13" id="{5EDE7516-B1A5-4262-A5F0-6E158F450A0E}">
            <xm:f>'% DEDICACIÓN TRABAJADOR'!$O$41=0</xm:f>
            <x14:dxf>
              <font>
                <color theme="9" tint="0.79998168889431442"/>
              </font>
              <fill>
                <patternFill>
                  <bgColor theme="9" tint="0.79998168889431442"/>
                </patternFill>
              </fill>
            </x14:dxf>
          </x14:cfRule>
          <xm:sqref>E28:M28 O28:U28 AR28:BN28 BP28:CH28 D60:I60 AO60:AR60 AU60:BA60</xm:sqref>
        </x14:conditionalFormatting>
        <x14:conditionalFormatting xmlns:xm="http://schemas.microsoft.com/office/excel/2006/main">
          <x14:cfRule type="expression" priority="14" id="{FD8032B5-D185-40BC-9B80-E6762E2B218B}">
            <xm:f>'% DEDICACIÓN TRABAJADOR'!$P$41=0</xm:f>
            <x14:dxf>
              <font>
                <color theme="9" tint="0.79998168889431442"/>
              </font>
              <fill>
                <patternFill>
                  <bgColor theme="9" tint="0.79998168889431442"/>
                </patternFill>
              </fill>
            </x14:dxf>
          </x14:cfRule>
          <xm:sqref>E29:M29 O29:U29 AR29:BN29 BP29:CH29 D61:I61 AO61:AR61 AU61:BA61</xm:sqref>
        </x14:conditionalFormatting>
        <x14:conditionalFormatting xmlns:xm="http://schemas.microsoft.com/office/excel/2006/main">
          <x14:cfRule type="expression" priority="15" id="{09476D5B-9BA1-4535-A050-1E5218184525}">
            <xm:f>'% DEDICACIÓN TRABAJADOR'!$Q$41=0</xm:f>
            <x14:dxf>
              <font>
                <color theme="9" tint="0.79998168889431442"/>
              </font>
              <fill>
                <patternFill>
                  <bgColor theme="9" tint="0.79998168889431442"/>
                </patternFill>
              </fill>
            </x14:dxf>
          </x14:cfRule>
          <xm:sqref>E30:M30 O30:U30 AR30:BN30 BP30:CH30 D62:I62 AO62:AR62 AU62:BA62</xm:sqref>
        </x14:conditionalFormatting>
        <x14:conditionalFormatting xmlns:xm="http://schemas.microsoft.com/office/excel/2006/main">
          <x14:cfRule type="expression" priority="16" id="{436BEEF9-BA2E-45B7-98D8-06AF1762EF80}">
            <xm:f>'% DEDICACIÓN TRABAJADOR'!$R$41=0</xm:f>
            <x14:dxf>
              <font>
                <color theme="9" tint="0.79998168889431442"/>
              </font>
              <fill>
                <patternFill>
                  <bgColor theme="9" tint="0.79998168889431442"/>
                </patternFill>
              </fill>
            </x14:dxf>
          </x14:cfRule>
          <xm:sqref>E31:M31 O31:U31 AR31:BN31 BP31:CH31 D63:I63 AO63:AR63 AU63:BA63</xm:sqref>
        </x14:conditionalFormatting>
        <x14:conditionalFormatting xmlns:xm="http://schemas.microsoft.com/office/excel/2006/main">
          <x14:cfRule type="expression" priority="79" id="{011068BE-5E60-4560-A8A8-D82233BE7185}">
            <xm:f>'% DEDICACIÓN TRABAJADOR'!$G$41=0</xm:f>
            <x14:dxf>
              <font>
                <color theme="9" tint="0.79998168889431442"/>
              </font>
              <fill>
                <patternFill>
                  <bgColor theme="9" tint="0.79998168889431442"/>
                </patternFill>
              </fill>
            </x14:dxf>
          </x14:cfRule>
          <xm:sqref>W20:AD20</xm:sqref>
        </x14:conditionalFormatting>
        <x14:conditionalFormatting xmlns:xm="http://schemas.microsoft.com/office/excel/2006/main">
          <x14:cfRule type="expression" priority="80" id="{DDB1D594-B511-4AA0-AB70-C6486DCD3F40}">
            <xm:f>'% DEDICACIÓN TRABAJADOR'!$H$41=0</xm:f>
            <x14:dxf>
              <font>
                <color theme="9" tint="0.79998168889431442"/>
              </font>
              <fill>
                <patternFill>
                  <bgColor theme="9" tint="0.79998168889431442"/>
                </patternFill>
              </fill>
            </x14:dxf>
          </x14:cfRule>
          <xm:sqref>W21:AD21</xm:sqref>
        </x14:conditionalFormatting>
        <x14:conditionalFormatting xmlns:xm="http://schemas.microsoft.com/office/excel/2006/main">
          <x14:cfRule type="expression" priority="81" id="{8EF4AACF-B36B-4F9F-A2C4-DF68377E3671}">
            <xm:f>'% DEDICACIÓN TRABAJADOR'!$I$41=0</xm:f>
            <x14:dxf>
              <font>
                <color theme="9" tint="0.79998168889431442"/>
              </font>
              <fill>
                <patternFill>
                  <bgColor theme="9" tint="0.79998168889431442"/>
                </patternFill>
              </fill>
            </x14:dxf>
          </x14:cfRule>
          <xm:sqref>W22:AD22</xm:sqref>
        </x14:conditionalFormatting>
        <x14:conditionalFormatting xmlns:xm="http://schemas.microsoft.com/office/excel/2006/main">
          <x14:cfRule type="expression" priority="82" id="{E39E2199-8ED6-4938-8302-72C133A3F987}">
            <xm:f>'% DEDICACIÓN TRABAJADOR'!$J$41=0</xm:f>
            <x14:dxf>
              <font>
                <color theme="9" tint="0.79998168889431442"/>
              </font>
              <fill>
                <patternFill>
                  <bgColor theme="9" tint="0.79998168889431442"/>
                </patternFill>
              </fill>
            </x14:dxf>
          </x14:cfRule>
          <xm:sqref>W23:AD23</xm:sqref>
        </x14:conditionalFormatting>
        <x14:conditionalFormatting xmlns:xm="http://schemas.microsoft.com/office/excel/2006/main">
          <x14:cfRule type="expression" priority="83" id="{40B1C7EF-CBB0-43CB-8A85-38F1CF624A9A}">
            <xm:f>'% DEDICACIÓN TRABAJADOR'!$K$41=0</xm:f>
            <x14:dxf>
              <font>
                <color theme="9" tint="0.79998168889431442"/>
              </font>
              <fill>
                <patternFill>
                  <bgColor theme="9" tint="0.79998168889431442"/>
                </patternFill>
              </fill>
            </x14:dxf>
          </x14:cfRule>
          <xm:sqref>W24:AD24</xm:sqref>
        </x14:conditionalFormatting>
        <x14:conditionalFormatting xmlns:xm="http://schemas.microsoft.com/office/excel/2006/main">
          <x14:cfRule type="expression" priority="84" id="{9E85FA44-063C-4D13-9DEE-0F20E0682BFB}">
            <xm:f>'% DEDICACIÓN TRABAJADOR'!$L$41=0</xm:f>
            <x14:dxf>
              <font>
                <color theme="9" tint="0.79998168889431442"/>
              </font>
              <fill>
                <patternFill>
                  <bgColor theme="9" tint="0.79998168889431442"/>
                </patternFill>
              </fill>
            </x14:dxf>
          </x14:cfRule>
          <xm:sqref>W25:AD25</xm:sqref>
        </x14:conditionalFormatting>
        <x14:conditionalFormatting xmlns:xm="http://schemas.microsoft.com/office/excel/2006/main">
          <x14:cfRule type="expression" priority="85" id="{C21DE0E3-58A9-4D00-8CA3-D486C9B5E0FB}">
            <xm:f>'% DEDICACIÓN TRABAJADOR'!$M$41=0</xm:f>
            <x14:dxf>
              <font>
                <color theme="9" tint="0.79998168889431442"/>
              </font>
              <fill>
                <patternFill>
                  <bgColor theme="9" tint="0.79998168889431442"/>
                </patternFill>
              </fill>
            </x14:dxf>
          </x14:cfRule>
          <xm:sqref>W26:AD26</xm:sqref>
        </x14:conditionalFormatting>
        <x14:conditionalFormatting xmlns:xm="http://schemas.microsoft.com/office/excel/2006/main">
          <x14:cfRule type="expression" priority="86" id="{32E63271-0861-4CDD-B1BC-0137CDCCB164}">
            <xm:f>'% DEDICACIÓN TRABAJADOR'!$N$41=0</xm:f>
            <x14:dxf>
              <font>
                <color theme="9" tint="0.79998168889431442"/>
              </font>
              <fill>
                <patternFill>
                  <bgColor theme="9" tint="0.79998168889431442"/>
                </patternFill>
              </fill>
            </x14:dxf>
          </x14:cfRule>
          <xm:sqref>W27:AD27</xm:sqref>
        </x14:conditionalFormatting>
        <x14:conditionalFormatting xmlns:xm="http://schemas.microsoft.com/office/excel/2006/main">
          <x14:cfRule type="expression" priority="87" id="{F4496151-6D56-409F-B1FE-15AFA96E40DE}">
            <xm:f>'% DEDICACIÓN TRABAJADOR'!$O$41=0</xm:f>
            <x14:dxf>
              <font>
                <color theme="9" tint="0.79998168889431442"/>
              </font>
              <fill>
                <patternFill>
                  <bgColor theme="9" tint="0.79998168889431442"/>
                </patternFill>
              </fill>
            </x14:dxf>
          </x14:cfRule>
          <xm:sqref>W28:AD28</xm:sqref>
        </x14:conditionalFormatting>
        <x14:conditionalFormatting xmlns:xm="http://schemas.microsoft.com/office/excel/2006/main">
          <x14:cfRule type="expression" priority="88" id="{7E7D98A7-366C-42C8-A251-42ACC8328E6C}">
            <xm:f>'% DEDICACIÓN TRABAJADOR'!$P$41=0</xm:f>
            <x14:dxf>
              <font>
                <color theme="9" tint="0.79998168889431442"/>
              </font>
              <fill>
                <patternFill>
                  <bgColor theme="9" tint="0.79998168889431442"/>
                </patternFill>
              </fill>
            </x14:dxf>
          </x14:cfRule>
          <xm:sqref>W29:AD29</xm:sqref>
        </x14:conditionalFormatting>
        <x14:conditionalFormatting xmlns:xm="http://schemas.microsoft.com/office/excel/2006/main">
          <x14:cfRule type="expression" priority="89" id="{062CEA0B-46F4-4018-B18B-EE57EF33CB21}">
            <xm:f>'% DEDICACIÓN TRABAJADOR'!$Q$41=0</xm:f>
            <x14:dxf>
              <font>
                <color theme="9" tint="0.79998168889431442"/>
              </font>
              <fill>
                <patternFill>
                  <bgColor theme="9" tint="0.79998168889431442"/>
                </patternFill>
              </fill>
            </x14:dxf>
          </x14:cfRule>
          <xm:sqref>W30:AD30</xm:sqref>
        </x14:conditionalFormatting>
        <x14:conditionalFormatting xmlns:xm="http://schemas.microsoft.com/office/excel/2006/main">
          <x14:cfRule type="expression" priority="90" id="{2968719B-AA3C-4FFA-BDD1-ECB2412EBED7}">
            <xm:f>'% DEDICACIÓN TRABAJADOR'!$R$41=0</xm:f>
            <x14:dxf>
              <font>
                <color theme="9" tint="0.79998168889431442"/>
              </font>
              <fill>
                <patternFill>
                  <bgColor theme="9" tint="0.79998168889431442"/>
                </patternFill>
              </fill>
            </x14:dxf>
          </x14:cfRule>
          <xm:sqref>W31:AD31</xm:sqref>
        </x14:conditionalFormatting>
        <x14:conditionalFormatting xmlns:xm="http://schemas.microsoft.com/office/excel/2006/main">
          <x14:cfRule type="expression" priority="1" stopIfTrue="1" id="{07D464C3-02F2-4E51-9CA1-72E361E8E6C5}">
            <xm:f>OR(USUARIO!$C$2="",AUXILIAR!$W$6&lt;&gt;USUARIO!$C$2)</xm:f>
            <x14:dxf>
              <font>
                <color theme="0"/>
              </font>
              <fill>
                <patternFill>
                  <bgColor theme="0"/>
                </patternFill>
              </fill>
              <border>
                <left/>
                <right/>
                <top/>
                <bottom/>
                <vertical/>
                <horizontal/>
              </border>
            </x14:dxf>
          </x14:cfRule>
          <xm:sqref>AL10:AN10</xm:sqref>
        </x14:conditionalFormatting>
        <x14:conditionalFormatting xmlns:xm="http://schemas.microsoft.com/office/excel/2006/main">
          <x14:cfRule type="expression" priority="2" stopIfTrue="1" id="{C115CE04-1B13-413A-9CC6-AD263172A375}">
            <xm:f>OR(USUARIO!$C$2="",AUXILIAR!$W$6&lt;&gt;USUARIO!$C$2)</xm:f>
            <x14:dxf>
              <font>
                <color theme="0"/>
              </font>
              <fill>
                <patternFill>
                  <bgColor theme="0"/>
                </patternFill>
              </fill>
              <border>
                <left/>
                <right/>
                <top/>
                <bottom/>
                <vertical/>
                <horizontal/>
              </border>
            </x14:dxf>
          </x14:cfRule>
          <xm:sqref>AL1:CY9 AQ10:CY10 AL11:CY1048576</xm:sqref>
        </x14:conditionalFormatting>
        <x14:conditionalFormatting xmlns:xm="http://schemas.microsoft.com/office/excel/2006/main">
          <x14:cfRule type="expression" priority="104" id="{49367A55-1B22-4893-A8F0-0DFCE624B731}">
            <xm:f>'% DEDICACIÓN TRABAJADOR'!$G$41=0</xm:f>
            <x14:dxf>
              <font>
                <color theme="9" tint="0.79998168889431442"/>
              </font>
              <fill>
                <patternFill>
                  <bgColor theme="9" tint="0.79998168889431442"/>
                </patternFill>
              </fill>
            </x14:dxf>
          </x14:cfRule>
          <xm:sqref>BD52:BF52</xm:sqref>
        </x14:conditionalFormatting>
        <x14:conditionalFormatting xmlns:xm="http://schemas.microsoft.com/office/excel/2006/main">
          <x14:cfRule type="expression" priority="105" id="{C78324E6-CAFB-4783-8C5C-AA8C452C69CD}">
            <xm:f>'% DEDICACIÓN TRABAJADOR'!$H$41=0</xm:f>
            <x14:dxf>
              <font>
                <color theme="9" tint="0.79998168889431442"/>
              </font>
              <fill>
                <patternFill>
                  <bgColor theme="9" tint="0.79998168889431442"/>
                </patternFill>
              </fill>
            </x14:dxf>
          </x14:cfRule>
          <xm:sqref>BD53:BF53</xm:sqref>
        </x14:conditionalFormatting>
        <x14:conditionalFormatting xmlns:xm="http://schemas.microsoft.com/office/excel/2006/main">
          <x14:cfRule type="expression" priority="106" id="{DFA90534-4ACA-4AE6-819B-3AA130D02A20}">
            <xm:f>'% DEDICACIÓN TRABAJADOR'!$I$41=0</xm:f>
            <x14:dxf>
              <font>
                <color theme="9" tint="0.79998168889431442"/>
              </font>
              <fill>
                <patternFill>
                  <bgColor theme="9" tint="0.79998168889431442"/>
                </patternFill>
              </fill>
            </x14:dxf>
          </x14:cfRule>
          <xm:sqref>BD54:BF54</xm:sqref>
        </x14:conditionalFormatting>
        <x14:conditionalFormatting xmlns:xm="http://schemas.microsoft.com/office/excel/2006/main">
          <x14:cfRule type="expression" priority="107" id="{7D926F18-347D-4A88-A6AD-D3F297AB6F4D}">
            <xm:f>'% DEDICACIÓN TRABAJADOR'!$J$41=0</xm:f>
            <x14:dxf>
              <font>
                <color theme="9" tint="0.79998168889431442"/>
              </font>
              <fill>
                <patternFill>
                  <bgColor theme="9" tint="0.79998168889431442"/>
                </patternFill>
              </fill>
            </x14:dxf>
          </x14:cfRule>
          <xm:sqref>BD55:BF55</xm:sqref>
        </x14:conditionalFormatting>
        <x14:conditionalFormatting xmlns:xm="http://schemas.microsoft.com/office/excel/2006/main">
          <x14:cfRule type="expression" priority="108" id="{D215B393-54F1-4C2E-8707-893709F92EA2}">
            <xm:f>'% DEDICACIÓN TRABAJADOR'!$K$41=0</xm:f>
            <x14:dxf>
              <font>
                <color theme="9" tint="0.79998168889431442"/>
              </font>
              <fill>
                <patternFill>
                  <bgColor theme="9" tint="0.79998168889431442"/>
                </patternFill>
              </fill>
            </x14:dxf>
          </x14:cfRule>
          <xm:sqref>BD56:BF56</xm:sqref>
        </x14:conditionalFormatting>
        <x14:conditionalFormatting xmlns:xm="http://schemas.microsoft.com/office/excel/2006/main">
          <x14:cfRule type="expression" priority="109" id="{A23637A7-E025-4A53-9566-FEA9DD176B10}">
            <xm:f>'% DEDICACIÓN TRABAJADOR'!$L$41=0</xm:f>
            <x14:dxf>
              <font>
                <color theme="9" tint="0.79998168889431442"/>
              </font>
              <fill>
                <patternFill>
                  <bgColor theme="9" tint="0.79998168889431442"/>
                </patternFill>
              </fill>
            </x14:dxf>
          </x14:cfRule>
          <xm:sqref>BD57:BF57</xm:sqref>
        </x14:conditionalFormatting>
        <x14:conditionalFormatting xmlns:xm="http://schemas.microsoft.com/office/excel/2006/main">
          <x14:cfRule type="expression" priority="110" id="{B771D7DA-4EE8-43A6-9B4E-4E58E99B349A}">
            <xm:f>'% DEDICACIÓN TRABAJADOR'!$M$41=0</xm:f>
            <x14:dxf>
              <font>
                <color theme="9" tint="0.79998168889431442"/>
              </font>
              <fill>
                <patternFill>
                  <bgColor theme="9" tint="0.79998168889431442"/>
                </patternFill>
              </fill>
            </x14:dxf>
          </x14:cfRule>
          <xm:sqref>BD58:BF58</xm:sqref>
        </x14:conditionalFormatting>
        <x14:conditionalFormatting xmlns:xm="http://schemas.microsoft.com/office/excel/2006/main">
          <x14:cfRule type="expression" priority="111" id="{FD7BE66B-C949-470A-A02E-A8DFA8403067}">
            <xm:f>'% DEDICACIÓN TRABAJADOR'!$N$41=0</xm:f>
            <x14:dxf>
              <font>
                <color theme="9" tint="0.79998168889431442"/>
              </font>
              <fill>
                <patternFill>
                  <bgColor theme="9" tint="0.79998168889431442"/>
                </patternFill>
              </fill>
            </x14:dxf>
          </x14:cfRule>
          <xm:sqref>BD59:BF59</xm:sqref>
        </x14:conditionalFormatting>
        <x14:conditionalFormatting xmlns:xm="http://schemas.microsoft.com/office/excel/2006/main">
          <x14:cfRule type="expression" priority="112" id="{2E3E0ED3-F07A-4124-B38F-C19FDCA7EA06}">
            <xm:f>'% DEDICACIÓN TRABAJADOR'!$O$41=0</xm:f>
            <x14:dxf>
              <font>
                <color theme="9" tint="0.79998168889431442"/>
              </font>
              <fill>
                <patternFill>
                  <bgColor theme="9" tint="0.79998168889431442"/>
                </patternFill>
              </fill>
            </x14:dxf>
          </x14:cfRule>
          <xm:sqref>BD60:BF60</xm:sqref>
        </x14:conditionalFormatting>
        <x14:conditionalFormatting xmlns:xm="http://schemas.microsoft.com/office/excel/2006/main">
          <x14:cfRule type="expression" priority="113" id="{660C6862-6700-4728-A380-F6D3404E3B4D}">
            <xm:f>'% DEDICACIÓN TRABAJADOR'!$P$41=0</xm:f>
            <x14:dxf>
              <font>
                <color theme="9" tint="0.79998168889431442"/>
              </font>
              <fill>
                <patternFill>
                  <bgColor theme="9" tint="0.79998168889431442"/>
                </patternFill>
              </fill>
            </x14:dxf>
          </x14:cfRule>
          <xm:sqref>BD61:BF61</xm:sqref>
        </x14:conditionalFormatting>
        <x14:conditionalFormatting xmlns:xm="http://schemas.microsoft.com/office/excel/2006/main">
          <x14:cfRule type="expression" priority="114" id="{216640B3-FA07-46ED-9AA1-8DC2A4FBE870}">
            <xm:f>'% DEDICACIÓN TRABAJADOR'!$Q$41=0</xm:f>
            <x14:dxf>
              <font>
                <color theme="9" tint="0.79998168889431442"/>
              </font>
              <fill>
                <patternFill>
                  <bgColor theme="9" tint="0.79998168889431442"/>
                </patternFill>
              </fill>
            </x14:dxf>
          </x14:cfRule>
          <xm:sqref>BD62:BF62</xm:sqref>
        </x14:conditionalFormatting>
        <x14:conditionalFormatting xmlns:xm="http://schemas.microsoft.com/office/excel/2006/main">
          <x14:cfRule type="expression" priority="115" id="{44BA1D81-4A3B-4E57-BA68-8F29129CC33A}">
            <xm:f>'% DEDICACIÓN TRABAJADOR'!$R$41=0</xm:f>
            <x14:dxf>
              <font>
                <color theme="9" tint="0.79998168889431442"/>
              </font>
              <fill>
                <patternFill>
                  <bgColor theme="9" tint="0.79998168889431442"/>
                </patternFill>
              </fill>
            </x14:dxf>
          </x14:cfRule>
          <xm:sqref>BD63:BF63</xm:sqref>
        </x14:conditionalFormatting>
        <x14:conditionalFormatting xmlns:xm="http://schemas.microsoft.com/office/excel/2006/main">
          <x14:cfRule type="expression" priority="92" id="{06CDE857-8DC7-486D-B484-B59E2FDE4854}">
            <xm:f>'% DEDICACIÓN TRABAJADOR'!$G$41=0</xm:f>
            <x14:dxf>
              <font>
                <color theme="9" tint="0.79998168889431442"/>
              </font>
              <fill>
                <patternFill>
                  <bgColor theme="9" tint="0.79998168889431442"/>
                </patternFill>
              </fill>
            </x14:dxf>
          </x14:cfRule>
          <xm:sqref>CJ20:CW20</xm:sqref>
        </x14:conditionalFormatting>
        <x14:conditionalFormatting xmlns:xm="http://schemas.microsoft.com/office/excel/2006/main">
          <x14:cfRule type="expression" priority="93" id="{B28A021C-4DAF-4F5B-B283-BD0DD9508116}">
            <xm:f>'% DEDICACIÓN TRABAJADOR'!$H$41=0</xm:f>
            <x14:dxf>
              <font>
                <color theme="9" tint="0.79998168889431442"/>
              </font>
              <fill>
                <patternFill>
                  <bgColor theme="9" tint="0.79998168889431442"/>
                </patternFill>
              </fill>
            </x14:dxf>
          </x14:cfRule>
          <xm:sqref>CJ21:CW21</xm:sqref>
        </x14:conditionalFormatting>
        <x14:conditionalFormatting xmlns:xm="http://schemas.microsoft.com/office/excel/2006/main">
          <x14:cfRule type="expression" priority="94" id="{9C0AB430-4A0A-4E18-B02B-BA6C2AB41E44}">
            <xm:f>'% DEDICACIÓN TRABAJADOR'!$I$41=0</xm:f>
            <x14:dxf>
              <font>
                <color theme="9" tint="0.79998168889431442"/>
              </font>
              <fill>
                <patternFill>
                  <bgColor theme="9" tint="0.79998168889431442"/>
                </patternFill>
              </fill>
            </x14:dxf>
          </x14:cfRule>
          <xm:sqref>CJ22:CW22</xm:sqref>
        </x14:conditionalFormatting>
        <x14:conditionalFormatting xmlns:xm="http://schemas.microsoft.com/office/excel/2006/main">
          <x14:cfRule type="expression" priority="95" id="{E9092E73-F957-4CF1-9978-8B2017AB4614}">
            <xm:f>'% DEDICACIÓN TRABAJADOR'!$J$41=0</xm:f>
            <x14:dxf>
              <font>
                <color theme="9" tint="0.79998168889431442"/>
              </font>
              <fill>
                <patternFill>
                  <bgColor theme="9" tint="0.79998168889431442"/>
                </patternFill>
              </fill>
            </x14:dxf>
          </x14:cfRule>
          <xm:sqref>CJ23:CW23</xm:sqref>
        </x14:conditionalFormatting>
        <x14:conditionalFormatting xmlns:xm="http://schemas.microsoft.com/office/excel/2006/main">
          <x14:cfRule type="expression" priority="96" id="{81E23DD6-A0E9-45E0-98E9-775FAE177C01}">
            <xm:f>'% DEDICACIÓN TRABAJADOR'!$K$41=0</xm:f>
            <x14:dxf>
              <font>
                <color theme="9" tint="0.79998168889431442"/>
              </font>
              <fill>
                <patternFill>
                  <bgColor theme="9" tint="0.79998168889431442"/>
                </patternFill>
              </fill>
            </x14:dxf>
          </x14:cfRule>
          <xm:sqref>CJ24:CW24</xm:sqref>
        </x14:conditionalFormatting>
        <x14:conditionalFormatting xmlns:xm="http://schemas.microsoft.com/office/excel/2006/main">
          <x14:cfRule type="expression" priority="97" id="{FCD8C2F3-F296-427A-B6B6-A1CF7DF3E9A4}">
            <xm:f>'% DEDICACIÓN TRABAJADOR'!$L$41=0</xm:f>
            <x14:dxf>
              <font>
                <color theme="9" tint="0.79998168889431442"/>
              </font>
              <fill>
                <patternFill>
                  <bgColor theme="9" tint="0.79998168889431442"/>
                </patternFill>
              </fill>
            </x14:dxf>
          </x14:cfRule>
          <xm:sqref>CJ25:CW25</xm:sqref>
        </x14:conditionalFormatting>
        <x14:conditionalFormatting xmlns:xm="http://schemas.microsoft.com/office/excel/2006/main">
          <x14:cfRule type="expression" priority="98" id="{78CAA57A-2B46-4BA6-ABCE-A4E64E8B6C16}">
            <xm:f>'% DEDICACIÓN TRABAJADOR'!$M$41=0</xm:f>
            <x14:dxf>
              <font>
                <color theme="9" tint="0.79998168889431442"/>
              </font>
              <fill>
                <patternFill>
                  <bgColor theme="9" tint="0.79998168889431442"/>
                </patternFill>
              </fill>
            </x14:dxf>
          </x14:cfRule>
          <xm:sqref>CJ26:CW26</xm:sqref>
        </x14:conditionalFormatting>
        <x14:conditionalFormatting xmlns:xm="http://schemas.microsoft.com/office/excel/2006/main">
          <x14:cfRule type="expression" priority="99" id="{E759319F-29F6-4AA3-BF1B-12A6124D7944}">
            <xm:f>'% DEDICACIÓN TRABAJADOR'!$N$41=0</xm:f>
            <x14:dxf>
              <font>
                <color theme="9" tint="0.79998168889431442"/>
              </font>
              <fill>
                <patternFill>
                  <bgColor theme="9" tint="0.79998168889431442"/>
                </patternFill>
              </fill>
            </x14:dxf>
          </x14:cfRule>
          <xm:sqref>CJ27:CW27</xm:sqref>
        </x14:conditionalFormatting>
        <x14:conditionalFormatting xmlns:xm="http://schemas.microsoft.com/office/excel/2006/main">
          <x14:cfRule type="expression" priority="100" id="{132E6AD7-9165-4925-97B9-5C9CA8E13822}">
            <xm:f>'% DEDICACIÓN TRABAJADOR'!$O$41=0</xm:f>
            <x14:dxf>
              <font>
                <color theme="9" tint="0.79998168889431442"/>
              </font>
              <fill>
                <patternFill>
                  <bgColor theme="9" tint="0.79998168889431442"/>
                </patternFill>
              </fill>
            </x14:dxf>
          </x14:cfRule>
          <xm:sqref>CJ28:CW28</xm:sqref>
        </x14:conditionalFormatting>
        <x14:conditionalFormatting xmlns:xm="http://schemas.microsoft.com/office/excel/2006/main">
          <x14:cfRule type="expression" priority="101" id="{538AE3C7-29AA-4A75-880C-44B14E870677}">
            <xm:f>'% DEDICACIÓN TRABAJADOR'!$P$41=0</xm:f>
            <x14:dxf>
              <font>
                <color theme="9" tint="0.79998168889431442"/>
              </font>
              <fill>
                <patternFill>
                  <bgColor theme="9" tint="0.79998168889431442"/>
                </patternFill>
              </fill>
            </x14:dxf>
          </x14:cfRule>
          <xm:sqref>CJ29:CW29</xm:sqref>
        </x14:conditionalFormatting>
        <x14:conditionalFormatting xmlns:xm="http://schemas.microsoft.com/office/excel/2006/main">
          <x14:cfRule type="expression" priority="102" id="{88D41B6C-9EBF-4402-B17E-B1FDA6F2B11E}">
            <xm:f>'% DEDICACIÓN TRABAJADOR'!$Q$41=0</xm:f>
            <x14:dxf>
              <font>
                <color theme="9" tint="0.79998168889431442"/>
              </font>
              <fill>
                <patternFill>
                  <bgColor theme="9" tint="0.79998168889431442"/>
                </patternFill>
              </fill>
            </x14:dxf>
          </x14:cfRule>
          <xm:sqref>CJ30:CW30</xm:sqref>
        </x14:conditionalFormatting>
        <x14:conditionalFormatting xmlns:xm="http://schemas.microsoft.com/office/excel/2006/main">
          <x14:cfRule type="expression" priority="103" id="{23A72E9F-B23E-4F4A-8A3D-CF62842EF1B3}">
            <xm:f>'% DEDICACIÓN TRABAJADOR'!$R$41=0</xm:f>
            <x14:dxf>
              <font>
                <color theme="9" tint="0.79998168889431442"/>
              </font>
              <fill>
                <patternFill>
                  <bgColor theme="9" tint="0.79998168889431442"/>
                </patternFill>
              </fill>
            </x14:dxf>
          </x14:cfRule>
          <xm:sqref>CJ31:CW31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0A715-1B22-4D33-8B9D-EB320FC5E514}">
  <sheetPr>
    <tabColor rgb="FFB8D637"/>
  </sheetPr>
  <dimension ref="A1:AS96"/>
  <sheetViews>
    <sheetView showGridLines="0" topLeftCell="A7" zoomScaleNormal="100" zoomScaleSheetLayoutView="70" workbookViewId="0">
      <selection activeCell="N12" sqref="N12"/>
    </sheetView>
  </sheetViews>
  <sheetFormatPr baseColWidth="10" defaultColWidth="11.42578125" defaultRowHeight="15" x14ac:dyDescent="0.25"/>
  <cols>
    <col min="1" max="1" width="5.5703125" style="82" customWidth="1"/>
    <col min="2" max="2" width="12.5703125" style="82" customWidth="1"/>
    <col min="3" max="3" width="13.7109375" style="82" customWidth="1"/>
    <col min="4" max="4" width="15.5703125" style="82" customWidth="1"/>
    <col min="5" max="5" width="11.5703125" style="82" customWidth="1"/>
    <col min="6" max="6" width="15.5703125" style="82" customWidth="1"/>
    <col min="7" max="8" width="11.5703125" style="82" customWidth="1"/>
    <col min="9" max="9" width="15.5703125" style="82" customWidth="1"/>
    <col min="10" max="10" width="12.28515625" style="82" customWidth="1"/>
    <col min="11" max="12" width="11.5703125" style="82" customWidth="1"/>
    <col min="13" max="13" width="15.5703125" style="82" customWidth="1"/>
    <col min="14" max="15" width="15.7109375" style="82" customWidth="1"/>
    <col min="16" max="16" width="17.5703125" style="82" customWidth="1"/>
    <col min="17" max="17" width="5.7109375" style="82" customWidth="1"/>
    <col min="18" max="18" width="86.7109375" style="82" customWidth="1"/>
    <col min="19" max="19" width="5.7109375" style="82" hidden="1" customWidth="1"/>
    <col min="20" max="21" width="11.42578125" style="82" hidden="1" customWidth="1"/>
    <col min="22" max="22" width="52.42578125" style="82" hidden="1" customWidth="1"/>
    <col min="23" max="23" width="5.5703125" style="82" customWidth="1"/>
    <col min="24" max="24" width="12.5703125" style="82" customWidth="1"/>
    <col min="25" max="25" width="13.7109375" style="82" customWidth="1"/>
    <col min="26" max="26" width="15.5703125" style="82" customWidth="1"/>
    <col min="27" max="27" width="11.5703125" style="82" customWidth="1"/>
    <col min="28" max="28" width="15.5703125" style="82" customWidth="1"/>
    <col min="29" max="30" width="11.5703125" style="82" customWidth="1"/>
    <col min="31" max="31" width="15.5703125" style="82" customWidth="1"/>
    <col min="32" max="34" width="11.5703125" style="82" customWidth="1"/>
    <col min="35" max="35" width="15.5703125" style="82" customWidth="1"/>
    <col min="36" max="36" width="15.7109375" style="82" customWidth="1"/>
    <col min="37" max="39" width="17.5703125" style="82" customWidth="1"/>
    <col min="40" max="40" width="5.7109375" style="82" customWidth="1"/>
    <col min="41" max="41" width="86.7109375" style="82" customWidth="1"/>
    <col min="42" max="42" width="5.7109375" style="82" hidden="1" customWidth="1"/>
    <col min="43" max="44" width="11.42578125" style="82" hidden="1" customWidth="1"/>
    <col min="45" max="45" width="52.42578125" style="82" hidden="1" customWidth="1"/>
    <col min="46" max="16384" width="11.42578125" style="82"/>
  </cols>
  <sheetData>
    <row r="1" spans="1:45" ht="15" customHeight="1" x14ac:dyDescent="0.25">
      <c r="A1" s="466">
        <f>SUM('% DEDICACIÓN TRABAJADOR'!A1:$A$2)</f>
        <v>3</v>
      </c>
      <c r="S1" s="549"/>
      <c r="T1" s="549"/>
      <c r="U1" s="550"/>
      <c r="V1" s="551"/>
      <c r="AP1" s="549"/>
      <c r="AQ1" s="550"/>
      <c r="AR1" s="550"/>
      <c r="AS1" s="551"/>
    </row>
    <row r="2" spans="1:45" x14ac:dyDescent="0.25">
      <c r="K2" s="1047" t="str">
        <f>IF(A1&gt;0,"PENDIENTE CUMPLIMENTAR O VERIFICAR DATOS
EN PESTAÑAS ANTERIORES","")</f>
        <v>PENDIENTE CUMPLIMENTAR O VERIFICAR DATOS
EN PESTAÑAS ANTERIORES</v>
      </c>
      <c r="L2" s="1047"/>
      <c r="M2" s="1047"/>
      <c r="N2" s="1047"/>
    </row>
    <row r="3" spans="1:45" x14ac:dyDescent="0.25">
      <c r="K3" s="1047"/>
      <c r="L3" s="1047"/>
      <c r="M3" s="1047"/>
      <c r="N3" s="1047"/>
    </row>
    <row r="4" spans="1:45" ht="15" customHeight="1" x14ac:dyDescent="0.25">
      <c r="E4" s="290"/>
      <c r="F4" s="291"/>
      <c r="K4" s="1047"/>
      <c r="L4" s="1047"/>
      <c r="M4" s="1047"/>
      <c r="N4" s="1047"/>
      <c r="AA4" s="290"/>
      <c r="AB4" s="291"/>
    </row>
    <row r="5" spans="1:45" ht="15" customHeight="1" x14ac:dyDescent="0.25">
      <c r="D5" s="552" t="str">
        <f>'IDENTIFICACIÓN TRABAJADOR'!$F$5</f>
        <v/>
      </c>
      <c r="E5" s="413"/>
      <c r="F5" s="84"/>
      <c r="Z5" s="552" t="str">
        <f>'IDENTIFICACIÓN TRABAJADOR'!$F$5</f>
        <v/>
      </c>
      <c r="AA5" s="413"/>
      <c r="AB5" s="84"/>
    </row>
    <row r="6" spans="1:45" ht="15" customHeight="1" x14ac:dyDescent="0.25">
      <c r="E6" s="293"/>
      <c r="F6" s="84"/>
      <c r="AA6" s="293"/>
      <c r="AB6" s="84"/>
    </row>
    <row r="7" spans="1:45" ht="15" customHeight="1" x14ac:dyDescent="0.25">
      <c r="D7" s="126" t="str">
        <f>'% DEDICACIÓN TRABAJADOR'!$F$7</f>
        <v>TRABAJADOR:</v>
      </c>
      <c r="E7" s="293"/>
      <c r="F7" s="84"/>
      <c r="T7" s="660" t="s">
        <v>304</v>
      </c>
      <c r="V7" s="131"/>
      <c r="Z7" s="126" t="str">
        <f>'% DEDICACIÓN TRABAJADOR'!$F$7</f>
        <v>TRABAJADOR:</v>
      </c>
      <c r="AA7" s="293"/>
      <c r="AB7" s="84"/>
      <c r="AQ7" s="660" t="s">
        <v>304</v>
      </c>
      <c r="AS7" s="131"/>
    </row>
    <row r="8" spans="1:45" ht="15" customHeight="1" thickBot="1" x14ac:dyDescent="0.3">
      <c r="D8" s="294"/>
      <c r="E8" s="293"/>
      <c r="F8" s="84"/>
      <c r="T8" s="661" t="s">
        <v>462</v>
      </c>
      <c r="Z8" s="294"/>
      <c r="AA8" s="293"/>
      <c r="AB8" s="84"/>
      <c r="AQ8" s="661" t="s">
        <v>462</v>
      </c>
    </row>
    <row r="9" spans="1:45" s="131" customFormat="1" ht="30" customHeight="1" x14ac:dyDescent="0.25">
      <c r="B9" s="1070">
        <f>YEAR(EXPEDIENTE!$F$25)</f>
        <v>2025</v>
      </c>
      <c r="C9" s="1052" t="str">
        <f>CONCATENATE("PORCENTAJE
DEDICACIÓN
MENSUAL EJERCICIO ",B9)</f>
        <v>PORCENTAJE
DEDICACIÓN
MENSUAL EJERCICIO 2025</v>
      </c>
      <c r="D9" s="1056" t="s">
        <v>305</v>
      </c>
      <c r="E9" s="1057"/>
      <c r="F9" s="1058"/>
      <c r="G9" s="1072" t="s">
        <v>306</v>
      </c>
      <c r="H9" s="1073"/>
      <c r="I9" s="1074"/>
      <c r="J9" s="414" t="s">
        <v>307</v>
      </c>
      <c r="K9" s="1056" t="s">
        <v>308</v>
      </c>
      <c r="L9" s="1057"/>
      <c r="M9" s="1058"/>
      <c r="N9" s="1075" t="s">
        <v>309</v>
      </c>
      <c r="O9" s="1052" t="s">
        <v>310</v>
      </c>
      <c r="P9" s="1054" t="s">
        <v>311</v>
      </c>
      <c r="T9" s="662" t="s">
        <v>463</v>
      </c>
      <c r="X9" s="1065">
        <f>YEAR(EXPEDIENTE!$F$25)</f>
        <v>2025</v>
      </c>
      <c r="Y9" s="1067" t="str">
        <f>CONCATENATE("PORCENTAJE
DEDICACIÓN
MENSUAL EJERCICIO ",X9)</f>
        <v>PORCENTAJE
DEDICACIÓN
MENSUAL EJERCICIO 2025</v>
      </c>
      <c r="Z9" s="1062" t="s">
        <v>305</v>
      </c>
      <c r="AA9" s="1063"/>
      <c r="AB9" s="1064"/>
      <c r="AC9" s="1059" t="s">
        <v>306</v>
      </c>
      <c r="AD9" s="1060"/>
      <c r="AE9" s="1061"/>
      <c r="AF9" s="563" t="s">
        <v>307</v>
      </c>
      <c r="AG9" s="1062" t="s">
        <v>308</v>
      </c>
      <c r="AH9" s="1063"/>
      <c r="AI9" s="1064"/>
      <c r="AJ9" s="1048" t="s">
        <v>309</v>
      </c>
      <c r="AK9" s="1067" t="s">
        <v>312</v>
      </c>
      <c r="AL9" s="1077" t="s">
        <v>313</v>
      </c>
      <c r="AM9" s="1054" t="s">
        <v>314</v>
      </c>
      <c r="AQ9" s="662" t="s">
        <v>463</v>
      </c>
    </row>
    <row r="10" spans="1:45" s="412" customFormat="1" ht="65.099999999999994" customHeight="1" thickBot="1" x14ac:dyDescent="0.3">
      <c r="B10" s="1071"/>
      <c r="C10" s="1053"/>
      <c r="D10" s="415" t="s">
        <v>315</v>
      </c>
      <c r="E10" s="374" t="s">
        <v>200</v>
      </c>
      <c r="F10" s="416" t="s">
        <v>316</v>
      </c>
      <c r="G10" s="417" t="s">
        <v>317</v>
      </c>
      <c r="H10" s="374" t="s">
        <v>318</v>
      </c>
      <c r="I10" s="418" t="s">
        <v>319</v>
      </c>
      <c r="J10" s="419" t="s">
        <v>320</v>
      </c>
      <c r="K10" s="417" t="s">
        <v>321</v>
      </c>
      <c r="L10" s="374" t="s">
        <v>295</v>
      </c>
      <c r="M10" s="418" t="s">
        <v>322</v>
      </c>
      <c r="N10" s="1076"/>
      <c r="O10" s="1053"/>
      <c r="P10" s="1055"/>
      <c r="T10" s="659" t="e">
        <f>(1+('IDENTIFICACIÓN TRABAJADOR'!$B$46+'IDENTIFICACIÓN TRABAJADOR'!$F$46)/('IDENTIFICACIÓN TRABAJADOR'!$E$31-'IDENTIFICACIÓN TRABAJADOR'!$B$46-'IDENTIFICACIÓN TRABAJADOR'!$F$46))</f>
        <v>#VALUE!</v>
      </c>
      <c r="X10" s="1066"/>
      <c r="Y10" s="1068"/>
      <c r="Z10" s="564" t="s">
        <v>315</v>
      </c>
      <c r="AA10" s="555" t="s">
        <v>200</v>
      </c>
      <c r="AB10" s="565" t="s">
        <v>316</v>
      </c>
      <c r="AC10" s="566" t="s">
        <v>317</v>
      </c>
      <c r="AD10" s="555" t="s">
        <v>318</v>
      </c>
      <c r="AE10" s="567" t="s">
        <v>319</v>
      </c>
      <c r="AF10" s="568" t="s">
        <v>320</v>
      </c>
      <c r="AG10" s="566" t="s">
        <v>321</v>
      </c>
      <c r="AH10" s="555" t="s">
        <v>295</v>
      </c>
      <c r="AI10" s="567" t="s">
        <v>322</v>
      </c>
      <c r="AJ10" s="1049"/>
      <c r="AK10" s="1068"/>
      <c r="AL10" s="1078"/>
      <c r="AM10" s="1055"/>
      <c r="AQ10" s="85" t="e">
        <f>(1+('IDENTIFICACIÓN TRABAJADOR'!$B$46+'IDENTIFICACIÓN TRABAJADOR'!$F$46)/('IDENTIFICACIÓN TRABAJADOR'!$E$31-'IDENTIFICACIÓN TRABAJADOR'!$B$46-'IDENTIFICACIÓN TRABAJADOR'!$F$46))</f>
        <v>#VALUE!</v>
      </c>
    </row>
    <row r="11" spans="1:45" ht="15" customHeight="1" x14ac:dyDescent="0.25">
      <c r="B11" s="420" t="s">
        <v>270</v>
      </c>
      <c r="C11" s="421">
        <f>IFERROR(IF(OR(DATE($B$9,MONTH(DATEVALUE(B11&amp;"1")),1)&lt;DATE(YEAR(EXPEDIENTE!$I$25),MONTH(EXPEDIENTE!$I$25),1),DATE($B$9,MONTH(DATEVALUE(B11&amp;"1")),1)&gt;DATE(YEAR(EXPEDIENTE!$I$27),MONTH(EXPEDIENTE!$I$27)+1,1)-1),0,ROUND('% DEDICACIÓN TRABAJADOR'!G39,4)),0)</f>
        <v>0</v>
      </c>
      <c r="D11" s="422">
        <f>'GASTOS EJER. 1'!F20+'GASTOS EJER. 1'!L20-'GASTOS EJER. 1'!X20-'GASTOS EJER. 1'!Y20</f>
        <v>0</v>
      </c>
      <c r="E11" s="259" t="str">
        <f>IF('GASTOS EJER. 1'!AA20="","",'GASTOS EJER. 1'!AA20)</f>
        <v/>
      </c>
      <c r="F11" s="423">
        <f>IF(E11&lt;=EXPEDIENTE!$I$29,D11,0)</f>
        <v>0</v>
      </c>
      <c r="G11" s="424">
        <f>'GASTOS EJER. 1'!Y20</f>
        <v>0</v>
      </c>
      <c r="H11" s="259" t="str">
        <f>IF('GASTOS EJER. 1'!AB20="","",'GASTOS EJER. 1'!AB20)</f>
        <v/>
      </c>
      <c r="I11" s="423">
        <f>IF(H11&lt;=EXPEDIENTE!$I$29,G11,0)</f>
        <v>0</v>
      </c>
      <c r="J11" s="425">
        <f>AUXILIAR!BX24</f>
        <v>0</v>
      </c>
      <c r="K11" s="424">
        <f>AUXILIAR!FU23</f>
        <v>0</v>
      </c>
      <c r="L11" s="259" t="str">
        <f>IF('GASTOS EJER. 1'!I52="","",'GASTOS EJER. 1'!I52)</f>
        <v/>
      </c>
      <c r="M11" s="423">
        <f>IF(L11&lt;=EXPEDIENTE!$I$29,K11,0)</f>
        <v>0</v>
      </c>
      <c r="N11" s="426">
        <f>IF($V$18=0,0,IF(AND($V$20&gt;$V$18,$V$16=1100%),MIN(AUXILIAR!$P$17,ROUND($V$18/$V$20*(F11+I11+J11+M11)*('IDENTIFICACIÓN TRABAJADOR'!$B$46+'IDENTIFICACIÓN TRABAJADOR'!$F$46)/('IDENTIFICACIÓN TRABAJADOR'!$E$31-'IDENTIFICACIÓN TRABAJADOR'!$B$46-'IDENTIFICACIÓN TRABAJADOR'!$F$46),2)),MIN(AUXILIAR!$P$17,ROUND((F11+I11+J11+M11)*('IDENTIFICACIÓN TRABAJADOR'!$B$46+'IDENTIFICACIÓN TRABAJADOR'!$F$46)/('IDENTIFICACIÓN TRABAJADOR'!$E$31-'IDENTIFICACIÓN TRABAJADOR'!$B$46-'IDENTIFICACIÓN TRABAJADOR'!$F$46),2))))</f>
        <v>0</v>
      </c>
      <c r="O11" s="425">
        <f>IF($V$18=0,0,IF(AND($V$20&gt;$V$18,$V$16=1100%),MIN(AUXILIAR!$P$17,ROUND($V$18/$V$20*(F11+I11+J11+M11)*(1+('IDENTIFICACIÓN TRABAJADOR'!$B$46+'IDENTIFICACIÓN TRABAJADOR'!$F$46)/('IDENTIFICACIÓN TRABAJADOR'!$E$31-'IDENTIFICACIÓN TRABAJADOR'!$B$46-'IDENTIFICACIÓN TRABAJADOR'!$F$46)),2)),MIN(AUXILIAR!$P$17,ROUND((F11+I11+J11+M11)*(1+('IDENTIFICACIÓN TRABAJADOR'!$B$46+'IDENTIFICACIÓN TRABAJADOR'!$F$46)/('IDENTIFICACIÓN TRABAJADOR'!$E$31-'IDENTIFICACIÓN TRABAJADOR'!$B$46-'IDENTIFICACIÓN TRABAJADOR'!$F$46)),2))))</f>
        <v>0</v>
      </c>
      <c r="P11" s="426">
        <f t="shared" ref="P11:P22" si="0">IF($V$24&gt;0,0,ROUND(C11*O11,2))</f>
        <v>0</v>
      </c>
      <c r="T11" s="427" t="e">
        <f>ROUND(C11*(F11+I11+J11+M11)*(1+('IDENTIFICACIÓN TRABAJADOR'!$B$46+'IDENTIFICACIÓN TRABAJADOR'!$F$46)/('IDENTIFICACIÓN TRABAJADOR'!$E$31-'IDENTIFICACIÓN TRABAJADOR'!$B$46-'IDENTIFICACIÓN TRABAJADOR'!$F$46)),2)</f>
        <v>#VALUE!</v>
      </c>
      <c r="U11" s="412"/>
      <c r="V11" s="412"/>
      <c r="X11" s="580" t="s">
        <v>270</v>
      </c>
      <c r="Y11" s="421">
        <f>IFERROR(IF(OR(DATE($B$9,MONTH(DATEVALUE(X11&amp;"1")),1)&lt;DATE(YEAR(EXPEDIENTE!$I$25),MONTH(EXPEDIENTE!$I$25),1),DATE($B$9,MONTH(DATEVALUE(X11&amp;"1")),1)&gt;DATE(YEAR(EXPEDIENTE!$I$27),MONTH(EXPEDIENTE!$I$27)+1,1)-1),0,ROUND('% DEDICACIÓN TRABAJADOR'!G39,4)),0)</f>
        <v>0</v>
      </c>
      <c r="Z11" s="422">
        <f>'GASTOS EJER. 1'!AW20+'GASTOS EJER. 1'!BM20-'GASTOS EJER. 1'!CM20-'GASTOS EJER. 1'!CP20</f>
        <v>0</v>
      </c>
      <c r="AA11" s="259" t="str">
        <f>IF('GASTOS EJER. 1'!CT20="","",'GASTOS EJER. 1'!CT20)</f>
        <v/>
      </c>
      <c r="AB11" s="423">
        <f>IF(AA11&lt;=EXPEDIENTE!$I$29,Z11,0)</f>
        <v>0</v>
      </c>
      <c r="AC11" s="424">
        <f>'GASTOS EJER. 1'!CP20</f>
        <v>0</v>
      </c>
      <c r="AD11" s="259" t="str">
        <f>IF('GASTOS EJER. 1'!CW20="","",'GASTOS EJER. 1'!CW20)</f>
        <v/>
      </c>
      <c r="AE11" s="423">
        <f>IF(AD11&lt;=EXPEDIENTE!$I$29,AC11,0)</f>
        <v>0</v>
      </c>
      <c r="AF11" s="425">
        <f>AUXILIAR!DQ24</f>
        <v>0</v>
      </c>
      <c r="AG11" s="424">
        <f>AUXILIAR!HZ23</f>
        <v>0</v>
      </c>
      <c r="AH11" s="259" t="str">
        <f>IF('GASTOS EJER. 1'!BF52="","",'GASTOS EJER. 1'!BF52)</f>
        <v/>
      </c>
      <c r="AI11" s="423">
        <f>IF(AH11&lt;=EXPEDIENTE!$I$29,AG11,0)</f>
        <v>0</v>
      </c>
      <c r="AJ11" s="426">
        <f>IF($AS$18=0,0,IF(AND($AS$20&gt;$AS$18,$AS$16=1100%),MIN(AUXILIAR!$P$17,ROUND($AS$18/$AS$20*(AB11+AE11+AF11+AI11)*(('IDENTIFICACIÓN TRABAJADOR'!$B$46+'IDENTIFICACIÓN TRABAJADOR'!$F$46)/('IDENTIFICACIÓN TRABAJADOR'!$E$31-'IDENTIFICACIÓN TRABAJADOR'!$B$46-'IDENTIFICACIÓN TRABAJADOR'!$F$46)),2)),MIN(AUXILIAR!$P$17,ROUND((AB11+AE11+AF11+AI11)*(('IDENTIFICACIÓN TRABAJADOR'!$B$46+'IDENTIFICACIÓN TRABAJADOR'!$F$46)/('IDENTIFICACIÓN TRABAJADOR'!$E$31-'IDENTIFICACIÓN TRABAJADOR'!$B$46-'IDENTIFICACIÓN TRABAJADOR'!$F$46)),2))))</f>
        <v>0</v>
      </c>
      <c r="AK11" s="425">
        <f>IF($AS$18=0,0,IF(AND($AS$20&gt;$AS$18,$AS$16=1100%),MIN(AUXILIAR!$P$17,ROUND($AS$18/$AS$20*(AB11+AE11+AF11+AI11)*(1+('IDENTIFICACIÓN TRABAJADOR'!$B$46+'IDENTIFICACIÓN TRABAJADOR'!$F$46)/('IDENTIFICACIÓN TRABAJADOR'!$E$31-'IDENTIFICACIÓN TRABAJADOR'!$B$46-'IDENTIFICACIÓN TRABAJADOR'!$F$46)),2)),MIN(AUXILIAR!$P$17,ROUND((AB11+AE11+AF11+AI11)*(1+('IDENTIFICACIÓN TRABAJADOR'!$B$46+'IDENTIFICACIÓN TRABAJADOR'!$F$46)/('IDENTIFICACIÓN TRABAJADOR'!$E$31-'IDENTIFICACIÓN TRABAJADOR'!$B$46-'IDENTIFICACIÓN TRABAJADOR'!$F$46)),2))))</f>
        <v>0</v>
      </c>
      <c r="AL11" s="569">
        <f>IF($AS$24&gt;0,0,ROUND(Y11*AK11,2))</f>
        <v>0</v>
      </c>
      <c r="AM11" s="572">
        <f>P11</f>
        <v>0</v>
      </c>
      <c r="AQ11" s="427" t="e">
        <f>ROUND(Y11*(AB11+AE11+AF11+AI11)*(1+('IDENTIFICACIÓN TRABAJADOR'!$B$46+'IDENTIFICACIÓN TRABAJADOR'!$F$46)/('IDENTIFICACIÓN TRABAJADOR'!$E$31-'IDENTIFICACIÓN TRABAJADOR'!$B$46-'IDENTIFICACIÓN TRABAJADOR'!$F$46)),2)</f>
        <v>#VALUE!</v>
      </c>
      <c r="AR11" s="412"/>
      <c r="AS11" s="412"/>
    </row>
    <row r="12" spans="1:45" ht="15" customHeight="1" x14ac:dyDescent="0.25">
      <c r="B12" s="428" t="s">
        <v>271</v>
      </c>
      <c r="C12" s="429">
        <f>IFERROR(IF(OR(DATE($B$9,MONTH(DATEVALUE(B12&amp;"1")),1)&lt;DATE(YEAR(EXPEDIENTE!$I$25),MONTH(EXPEDIENTE!$I$25),1),DATE($B$9,MONTH(DATEVALUE(B12&amp;"1")),1)&gt;DATE(YEAR(EXPEDIENTE!$I$27),MONTH(EXPEDIENTE!$I$27)+1,1)-1),0,ROUND('% DEDICACIÓN TRABAJADOR'!H39,4)),0)</f>
        <v>0</v>
      </c>
      <c r="D12" s="430">
        <f>'GASTOS EJER. 1'!F21+'GASTOS EJER. 1'!L21-'GASTOS EJER. 1'!X21-'GASTOS EJER. 1'!Y21</f>
        <v>0</v>
      </c>
      <c r="E12" s="189" t="str">
        <f>IF('GASTOS EJER. 1'!AA21="","",'GASTOS EJER. 1'!AA21)</f>
        <v/>
      </c>
      <c r="F12" s="431">
        <f>IF(E12&lt;=EXPEDIENTE!$I$29,D12,0)</f>
        <v>0</v>
      </c>
      <c r="G12" s="432">
        <f>'GASTOS EJER. 1'!Y21</f>
        <v>0</v>
      </c>
      <c r="H12" s="189" t="str">
        <f>IF('GASTOS EJER. 1'!AB21="","",'GASTOS EJER. 1'!AB21)</f>
        <v/>
      </c>
      <c r="I12" s="431">
        <f>IF(H12&lt;=EXPEDIENTE!$I$29,G12,0)</f>
        <v>0</v>
      </c>
      <c r="J12" s="433">
        <f>AUXILIAR!BX25</f>
        <v>0</v>
      </c>
      <c r="K12" s="432">
        <f>AUXILIAR!FU24</f>
        <v>0</v>
      </c>
      <c r="L12" s="189" t="str">
        <f>IF('GASTOS EJER. 1'!I53="","",'GASTOS EJER. 1'!I53)</f>
        <v/>
      </c>
      <c r="M12" s="431">
        <f>IF(L12&lt;=EXPEDIENTE!$I$29,K12,0)</f>
        <v>0</v>
      </c>
      <c r="N12" s="434">
        <f>IF($V$18=0,0,IF(AND($V$20&gt;$V$18,$V$16=1100%),MIN(AUXILIAR!$P$17,ROUND($V$18/$V$20*(F12+I12+J12+M12)*('IDENTIFICACIÓN TRABAJADOR'!$B$46+'IDENTIFICACIÓN TRABAJADOR'!$F$46)/('IDENTIFICACIÓN TRABAJADOR'!$E$31-'IDENTIFICACIÓN TRABAJADOR'!$B$46-'IDENTIFICACIÓN TRABAJADOR'!$F$46),2)),MIN(AUXILIAR!$P$17,ROUND((F12+I12+J12+M12)*('IDENTIFICACIÓN TRABAJADOR'!$B$46+'IDENTIFICACIÓN TRABAJADOR'!$F$46)/('IDENTIFICACIÓN TRABAJADOR'!$E$31-'IDENTIFICACIÓN TRABAJADOR'!$B$46-'IDENTIFICACIÓN TRABAJADOR'!$F$46),2))))</f>
        <v>0</v>
      </c>
      <c r="O12" s="433">
        <f>IF($V$18=0,0,IF(AND($V$20&gt;$V$18,$V$16=1100%),MIN(AUXILIAR!$P$17,ROUND($V$18/$V$20*(F12+I12+J12+M12)*(1+('IDENTIFICACIÓN TRABAJADOR'!$B$46+'IDENTIFICACIÓN TRABAJADOR'!$F$46)/('IDENTIFICACIÓN TRABAJADOR'!$E$31-'IDENTIFICACIÓN TRABAJADOR'!$B$46-'IDENTIFICACIÓN TRABAJADOR'!$F$46)),2)),MIN(AUXILIAR!$P$17,ROUND((F12+I12+J12+M12)*(1+('IDENTIFICACIÓN TRABAJADOR'!$B$46+'IDENTIFICACIÓN TRABAJADOR'!$F$46)/('IDENTIFICACIÓN TRABAJADOR'!$E$31-'IDENTIFICACIÓN TRABAJADOR'!$B$46-'IDENTIFICACIÓN TRABAJADOR'!$F$46)),2))))</f>
        <v>0</v>
      </c>
      <c r="P12" s="434">
        <f t="shared" si="0"/>
        <v>0</v>
      </c>
      <c r="T12" s="427" t="e">
        <f>ROUND(C12*(F12+I12+J12+M12)*(1+('IDENTIFICACIÓN TRABAJADOR'!$B$46+'IDENTIFICACIÓN TRABAJADOR'!$F$46)/('IDENTIFICACIÓN TRABAJADOR'!$E$31-'IDENTIFICACIÓN TRABAJADOR'!$B$46-'IDENTIFICACIÓN TRABAJADOR'!$F$46)),2)</f>
        <v>#VALUE!</v>
      </c>
      <c r="U12" s="412"/>
      <c r="V12" s="412"/>
      <c r="X12" s="581" t="s">
        <v>271</v>
      </c>
      <c r="Y12" s="429">
        <f>IFERROR(IF(OR(DATE($B$9,MONTH(DATEVALUE(X12&amp;"1")),1)&lt;DATE(YEAR(EXPEDIENTE!$I$25),MONTH(EXPEDIENTE!$I$25),1),DATE($B$9,MONTH(DATEVALUE(X12&amp;"1")),1)&gt;DATE(YEAR(EXPEDIENTE!$I$27),MONTH(EXPEDIENTE!$I$27)+1,1)-1),0,ROUND('% DEDICACIÓN TRABAJADOR'!H39,4)),0)</f>
        <v>0</v>
      </c>
      <c r="Z12" s="430">
        <f>'GASTOS EJER. 1'!AW21+'GASTOS EJER. 1'!BM21-'GASTOS EJER. 1'!CM21-'GASTOS EJER. 1'!CP21</f>
        <v>0</v>
      </c>
      <c r="AA12" s="189" t="str">
        <f>IF('GASTOS EJER. 1'!CT21="","",'GASTOS EJER. 1'!CT21)</f>
        <v/>
      </c>
      <c r="AB12" s="431">
        <f>IF(AA12&lt;=EXPEDIENTE!$I$29,Z12,0)</f>
        <v>0</v>
      </c>
      <c r="AC12" s="432">
        <f>'GASTOS EJER. 1'!CP21</f>
        <v>0</v>
      </c>
      <c r="AD12" s="189" t="str">
        <f>IF('GASTOS EJER. 1'!CW21="","",'GASTOS EJER. 1'!CW21)</f>
        <v/>
      </c>
      <c r="AE12" s="431">
        <f>IF(AD12&lt;=EXPEDIENTE!$I$29,AC12,0)</f>
        <v>0</v>
      </c>
      <c r="AF12" s="433">
        <f>AUXILIAR!DQ25</f>
        <v>0</v>
      </c>
      <c r="AG12" s="432">
        <f>AUXILIAR!HZ24</f>
        <v>0</v>
      </c>
      <c r="AH12" s="189" t="str">
        <f>IF('GASTOS EJER. 1'!BF53="","",'GASTOS EJER. 1'!BF53)</f>
        <v/>
      </c>
      <c r="AI12" s="431">
        <f>IF(AH12&lt;=EXPEDIENTE!$I$29,AG12,0)</f>
        <v>0</v>
      </c>
      <c r="AJ12" s="434">
        <f>IF($AS$18=0,0,IF(AND($AS$20&gt;$AS$18,$AS$16=1100%),MIN(AUXILIAR!$P$17,ROUND($AS$18/$AS$20*(AB12+AE12+AF12+AI12)*(('IDENTIFICACIÓN TRABAJADOR'!$B$46+'IDENTIFICACIÓN TRABAJADOR'!$F$46)/('IDENTIFICACIÓN TRABAJADOR'!$E$31-'IDENTIFICACIÓN TRABAJADOR'!$B$46-'IDENTIFICACIÓN TRABAJADOR'!$F$46)),2)),MIN(AUXILIAR!$P$17,ROUND((AB12+AE12+AF12+AI12)*(('IDENTIFICACIÓN TRABAJADOR'!$B$46+'IDENTIFICACIÓN TRABAJADOR'!$F$46)/('IDENTIFICACIÓN TRABAJADOR'!$E$31-'IDENTIFICACIÓN TRABAJADOR'!$B$46-'IDENTIFICACIÓN TRABAJADOR'!$F$46)),2))))</f>
        <v>0</v>
      </c>
      <c r="AK12" s="433">
        <f>IF($AS$18=0,0,IF(AND($AS$20&gt;$AS$18,$AS$16=1100%),MIN(AUXILIAR!$P$17,ROUND($AS$18/$AS$20*(AB12+AE12+AF12+AI12)*(1+('IDENTIFICACIÓN TRABAJADOR'!$B$46+'IDENTIFICACIÓN TRABAJADOR'!$F$46)/('IDENTIFICACIÓN TRABAJADOR'!$E$31-'IDENTIFICACIÓN TRABAJADOR'!$B$46-'IDENTIFICACIÓN TRABAJADOR'!$F$46)),2)),MIN(AUXILIAR!$P$17,ROUND((AB12+AE12+AF12+AI12)*(1+('IDENTIFICACIÓN TRABAJADOR'!$B$46+'IDENTIFICACIÓN TRABAJADOR'!$F$46)/('IDENTIFICACIÓN TRABAJADOR'!$E$31-'IDENTIFICACIÓN TRABAJADOR'!$B$46-'IDENTIFICACIÓN TRABAJADOR'!$F$46)),2))))</f>
        <v>0</v>
      </c>
      <c r="AL12" s="570">
        <f t="shared" ref="AL12:AL22" si="1">IF($AS$24&gt;0,0,ROUND(Y12*AK12,2))</f>
        <v>0</v>
      </c>
      <c r="AM12" s="573">
        <f t="shared" ref="AM12:AM22" si="2">P12</f>
        <v>0</v>
      </c>
      <c r="AQ12" s="427" t="e">
        <f>ROUND(Y12*(AB12+AE12+AF12+AI12)*(1+('IDENTIFICACIÓN TRABAJADOR'!$B$46+'IDENTIFICACIÓN TRABAJADOR'!$F$46)/('IDENTIFICACIÓN TRABAJADOR'!$E$31-'IDENTIFICACIÓN TRABAJADOR'!$B$46-'IDENTIFICACIÓN TRABAJADOR'!$F$46)),2)</f>
        <v>#VALUE!</v>
      </c>
      <c r="AR12" s="412"/>
      <c r="AS12" s="412"/>
    </row>
    <row r="13" spans="1:45" ht="15" customHeight="1" x14ac:dyDescent="0.25">
      <c r="B13" s="428" t="s">
        <v>272</v>
      </c>
      <c r="C13" s="429">
        <f>IFERROR(IF(OR(DATE($B$9,MONTH(DATEVALUE(B13&amp;"1")),1)&lt;DATE(YEAR(EXPEDIENTE!$I$25),MONTH(EXPEDIENTE!$I$25),1),DATE($B$9,MONTH(DATEVALUE(B13&amp;"1")),1)&gt;DATE(YEAR(EXPEDIENTE!$I$27),MONTH(EXPEDIENTE!$I$27)+1,1)-1),0,ROUND('% DEDICACIÓN TRABAJADOR'!I39,4)),0)</f>
        <v>0</v>
      </c>
      <c r="D13" s="430">
        <f>'GASTOS EJER. 1'!F22+'GASTOS EJER. 1'!L22-'GASTOS EJER. 1'!X22-'GASTOS EJER. 1'!Y22</f>
        <v>0</v>
      </c>
      <c r="E13" s="189" t="str">
        <f>IF('GASTOS EJER. 1'!AA22="","",'GASTOS EJER. 1'!AA22)</f>
        <v/>
      </c>
      <c r="F13" s="431">
        <f>IF(E13&lt;=EXPEDIENTE!$I$29,D13,0)</f>
        <v>0</v>
      </c>
      <c r="G13" s="432">
        <f>'GASTOS EJER. 1'!Y22</f>
        <v>0</v>
      </c>
      <c r="H13" s="189" t="str">
        <f>IF('GASTOS EJER. 1'!AB22="","",'GASTOS EJER. 1'!AB22)</f>
        <v/>
      </c>
      <c r="I13" s="431">
        <f>IF(H13&lt;=EXPEDIENTE!$I$29,G13,0)</f>
        <v>0</v>
      </c>
      <c r="J13" s="433">
        <f>AUXILIAR!BX26</f>
        <v>0</v>
      </c>
      <c r="K13" s="432">
        <f>AUXILIAR!FU25</f>
        <v>0</v>
      </c>
      <c r="L13" s="189" t="str">
        <f>IF('GASTOS EJER. 1'!I54="","",'GASTOS EJER. 1'!I54)</f>
        <v/>
      </c>
      <c r="M13" s="431">
        <f>IF(L13&lt;=EXPEDIENTE!$I$29,K13,0)</f>
        <v>0</v>
      </c>
      <c r="N13" s="434">
        <f>IF($V$18=0,0,IF(AND($V$20&gt;$V$18,$V$16=1100%),MIN(AUXILIAR!$P$17,ROUND($V$18/$V$20*(F13+I13+J13+M13)*('IDENTIFICACIÓN TRABAJADOR'!$B$46+'IDENTIFICACIÓN TRABAJADOR'!$F$46)/('IDENTIFICACIÓN TRABAJADOR'!$E$31-'IDENTIFICACIÓN TRABAJADOR'!$B$46-'IDENTIFICACIÓN TRABAJADOR'!$F$46),2)),MIN(AUXILIAR!$P$17,ROUND((F13+I13+J13+M13)*('IDENTIFICACIÓN TRABAJADOR'!$B$46+'IDENTIFICACIÓN TRABAJADOR'!$F$46)/('IDENTIFICACIÓN TRABAJADOR'!$E$31-'IDENTIFICACIÓN TRABAJADOR'!$B$46-'IDENTIFICACIÓN TRABAJADOR'!$F$46),2))))</f>
        <v>0</v>
      </c>
      <c r="O13" s="433">
        <f>IF($V$18=0,0,IF(AND($V$20&gt;$V$18,$V$16=1100%),MIN(AUXILIAR!$P$17,ROUND($V$18/$V$20*(F13+I13+J13+M13)*(1+('IDENTIFICACIÓN TRABAJADOR'!$B$46+'IDENTIFICACIÓN TRABAJADOR'!$F$46)/('IDENTIFICACIÓN TRABAJADOR'!$E$31-'IDENTIFICACIÓN TRABAJADOR'!$B$46-'IDENTIFICACIÓN TRABAJADOR'!$F$46)),2)),MIN(AUXILIAR!$P$17,ROUND((F13+I13+J13+M13)*(1+('IDENTIFICACIÓN TRABAJADOR'!$B$46+'IDENTIFICACIÓN TRABAJADOR'!$F$46)/('IDENTIFICACIÓN TRABAJADOR'!$E$31-'IDENTIFICACIÓN TRABAJADOR'!$B$46-'IDENTIFICACIÓN TRABAJADOR'!$F$46)),2))))</f>
        <v>0</v>
      </c>
      <c r="P13" s="434">
        <f t="shared" si="0"/>
        <v>0</v>
      </c>
      <c r="T13" s="427" t="e">
        <f>ROUND(C13*(F13+I13+J13+M13)*(1+('IDENTIFICACIÓN TRABAJADOR'!$B$46+'IDENTIFICACIÓN TRABAJADOR'!$F$46)/('IDENTIFICACIÓN TRABAJADOR'!$E$31-'IDENTIFICACIÓN TRABAJADOR'!$B$46-'IDENTIFICACIÓN TRABAJADOR'!$F$46)),2)</f>
        <v>#VALUE!</v>
      </c>
      <c r="U13" s="412"/>
      <c r="V13" s="412"/>
      <c r="X13" s="581" t="s">
        <v>272</v>
      </c>
      <c r="Y13" s="429">
        <f>IFERROR(IF(OR(DATE($B$9,MONTH(DATEVALUE(X13&amp;"1")),1)&lt;DATE(YEAR(EXPEDIENTE!$I$25),MONTH(EXPEDIENTE!$I$25),1),DATE($B$9,MONTH(DATEVALUE(X13&amp;"1")),1)&gt;DATE(YEAR(EXPEDIENTE!$I$27),MONTH(EXPEDIENTE!$I$27)+1,1)-1),0,ROUND('% DEDICACIÓN TRABAJADOR'!I39,4)),0)</f>
        <v>0</v>
      </c>
      <c r="Z13" s="430">
        <f>'GASTOS EJER. 1'!AW22+'GASTOS EJER. 1'!BM22-'GASTOS EJER. 1'!CM22-'GASTOS EJER. 1'!CP22</f>
        <v>0</v>
      </c>
      <c r="AA13" s="189" t="str">
        <f>IF('GASTOS EJER. 1'!CT22="","",'GASTOS EJER. 1'!CT22)</f>
        <v/>
      </c>
      <c r="AB13" s="431">
        <f>IF(AA13&lt;=EXPEDIENTE!$I$29,Z13,0)</f>
        <v>0</v>
      </c>
      <c r="AC13" s="432">
        <f>'GASTOS EJER. 1'!CP22</f>
        <v>0</v>
      </c>
      <c r="AD13" s="189" t="str">
        <f>IF('GASTOS EJER. 1'!CW22="","",'GASTOS EJER. 1'!CW22)</f>
        <v/>
      </c>
      <c r="AE13" s="431">
        <f>IF(AD13&lt;=EXPEDIENTE!$I$29,AC13,0)</f>
        <v>0</v>
      </c>
      <c r="AF13" s="433">
        <f>AUXILIAR!DQ26</f>
        <v>0</v>
      </c>
      <c r="AG13" s="432">
        <f>AUXILIAR!HZ25</f>
        <v>0</v>
      </c>
      <c r="AH13" s="189" t="str">
        <f>IF('GASTOS EJER. 1'!BF54="","",'GASTOS EJER. 1'!BF54)</f>
        <v/>
      </c>
      <c r="AI13" s="431">
        <f>IF(AH13&lt;=EXPEDIENTE!$I$29,AG13,0)</f>
        <v>0</v>
      </c>
      <c r="AJ13" s="434">
        <f>IF($AS$18=0,0,IF(AND($AS$20&gt;$AS$18,$AS$16=1100%),MIN(AUXILIAR!$P$17,ROUND($AS$18/$AS$20*(AB13+AE13+AF13+AI13)*(('IDENTIFICACIÓN TRABAJADOR'!$B$46+'IDENTIFICACIÓN TRABAJADOR'!$F$46)/('IDENTIFICACIÓN TRABAJADOR'!$E$31-'IDENTIFICACIÓN TRABAJADOR'!$B$46-'IDENTIFICACIÓN TRABAJADOR'!$F$46)),2)),MIN(AUXILIAR!$P$17,ROUND((AB13+AE13+AF13+AI13)*(('IDENTIFICACIÓN TRABAJADOR'!$B$46+'IDENTIFICACIÓN TRABAJADOR'!$F$46)/('IDENTIFICACIÓN TRABAJADOR'!$E$31-'IDENTIFICACIÓN TRABAJADOR'!$B$46-'IDENTIFICACIÓN TRABAJADOR'!$F$46)),2))))</f>
        <v>0</v>
      </c>
      <c r="AK13" s="433">
        <f>IF($AS$18=0,0,IF(AND($AS$20&gt;$AS$18,$AS$16=1100%),MIN(AUXILIAR!$P$17,ROUND($AS$18/$AS$20*(AB13+AE13+AF13+AI13)*(1+('IDENTIFICACIÓN TRABAJADOR'!$B$46+'IDENTIFICACIÓN TRABAJADOR'!$F$46)/('IDENTIFICACIÓN TRABAJADOR'!$E$31-'IDENTIFICACIÓN TRABAJADOR'!$B$46-'IDENTIFICACIÓN TRABAJADOR'!$F$46)),2)),MIN(AUXILIAR!$P$17,ROUND((AB13+AE13+AF13+AI13)*(1+('IDENTIFICACIÓN TRABAJADOR'!$B$46+'IDENTIFICACIÓN TRABAJADOR'!$F$46)/('IDENTIFICACIÓN TRABAJADOR'!$E$31-'IDENTIFICACIÓN TRABAJADOR'!$B$46-'IDENTIFICACIÓN TRABAJADOR'!$F$46)),2))))</f>
        <v>0</v>
      </c>
      <c r="AL13" s="570">
        <f t="shared" si="1"/>
        <v>0</v>
      </c>
      <c r="AM13" s="573">
        <f t="shared" si="2"/>
        <v>0</v>
      </c>
      <c r="AQ13" s="427" t="e">
        <f>ROUND(Y13*(AB13+AE13+AF13+AI13)*(1+('IDENTIFICACIÓN TRABAJADOR'!$B$46+'IDENTIFICACIÓN TRABAJADOR'!$F$46)/('IDENTIFICACIÓN TRABAJADOR'!$E$31-'IDENTIFICACIÓN TRABAJADOR'!$B$46-'IDENTIFICACIÓN TRABAJADOR'!$F$46)),2)</f>
        <v>#VALUE!</v>
      </c>
      <c r="AR13" s="412"/>
      <c r="AS13" s="412"/>
    </row>
    <row r="14" spans="1:45" ht="15" customHeight="1" x14ac:dyDescent="0.25">
      <c r="B14" s="428" t="s">
        <v>273</v>
      </c>
      <c r="C14" s="429">
        <f>IFERROR(IF(OR(DATE($B$9,MONTH(DATEVALUE(B14&amp;"1")),1)&lt;DATE(YEAR(EXPEDIENTE!$I$25),MONTH(EXPEDIENTE!$I$25),1),DATE($B$9,MONTH(DATEVALUE(B14&amp;"1")),1)&gt;DATE(YEAR(EXPEDIENTE!$I$27),MONTH(EXPEDIENTE!$I$27)+1,1)-1),0,ROUND('% DEDICACIÓN TRABAJADOR'!J39,4)),0)</f>
        <v>0</v>
      </c>
      <c r="D14" s="430">
        <f>'GASTOS EJER. 1'!F23+'GASTOS EJER. 1'!L23-'GASTOS EJER. 1'!X23-'GASTOS EJER. 1'!Y23</f>
        <v>0</v>
      </c>
      <c r="E14" s="189" t="str">
        <f>IF('GASTOS EJER. 1'!AA23="","",'GASTOS EJER. 1'!AA23)</f>
        <v/>
      </c>
      <c r="F14" s="431">
        <f>IF(E14&lt;=EXPEDIENTE!$I$29,D14,0)</f>
        <v>0</v>
      </c>
      <c r="G14" s="432">
        <f>'GASTOS EJER. 1'!Y23</f>
        <v>0</v>
      </c>
      <c r="H14" s="189" t="str">
        <f>IF('GASTOS EJER. 1'!AB23="","",'GASTOS EJER. 1'!AB23)</f>
        <v/>
      </c>
      <c r="I14" s="431">
        <f>IF(H14&lt;=EXPEDIENTE!$I$29,G14,0)</f>
        <v>0</v>
      </c>
      <c r="J14" s="433">
        <f>AUXILIAR!BX27</f>
        <v>0</v>
      </c>
      <c r="K14" s="432">
        <f>AUXILIAR!FU26</f>
        <v>0</v>
      </c>
      <c r="L14" s="189" t="str">
        <f>IF('GASTOS EJER. 1'!I55="","",'GASTOS EJER. 1'!I55)</f>
        <v/>
      </c>
      <c r="M14" s="431">
        <f>IF(L14&lt;=EXPEDIENTE!$I$29,K14,0)</f>
        <v>0</v>
      </c>
      <c r="N14" s="434">
        <f>IF($V$18=0,0,IF(AND($V$20&gt;$V$18,$V$16=1100%),MIN(AUXILIAR!$P$17,ROUND($V$18/$V$20*(F14+I14+J14+M14)*('IDENTIFICACIÓN TRABAJADOR'!$B$46+'IDENTIFICACIÓN TRABAJADOR'!$F$46)/('IDENTIFICACIÓN TRABAJADOR'!$E$31-'IDENTIFICACIÓN TRABAJADOR'!$B$46-'IDENTIFICACIÓN TRABAJADOR'!$F$46),2)),MIN(AUXILIAR!$P$17,ROUND((F14+I14+J14+M14)*('IDENTIFICACIÓN TRABAJADOR'!$B$46+'IDENTIFICACIÓN TRABAJADOR'!$F$46)/('IDENTIFICACIÓN TRABAJADOR'!$E$31-'IDENTIFICACIÓN TRABAJADOR'!$B$46-'IDENTIFICACIÓN TRABAJADOR'!$F$46),2))))</f>
        <v>0</v>
      </c>
      <c r="O14" s="433">
        <f>IF($V$18=0,0,IF(AND($V$20&gt;$V$18,$V$16=1100%),MIN(AUXILIAR!$P$17,ROUND($V$18/$V$20*(F14+I14+J14+M14)*(1+('IDENTIFICACIÓN TRABAJADOR'!$B$46+'IDENTIFICACIÓN TRABAJADOR'!$F$46)/('IDENTIFICACIÓN TRABAJADOR'!$E$31-'IDENTIFICACIÓN TRABAJADOR'!$B$46-'IDENTIFICACIÓN TRABAJADOR'!$F$46)),2)),MIN(AUXILIAR!$P$17,ROUND((F14+I14+J14+M14)*(1+('IDENTIFICACIÓN TRABAJADOR'!$B$46+'IDENTIFICACIÓN TRABAJADOR'!$F$46)/('IDENTIFICACIÓN TRABAJADOR'!$E$31-'IDENTIFICACIÓN TRABAJADOR'!$B$46-'IDENTIFICACIÓN TRABAJADOR'!$F$46)),2))))</f>
        <v>0</v>
      </c>
      <c r="P14" s="434">
        <f t="shared" si="0"/>
        <v>0</v>
      </c>
      <c r="T14" s="427" t="e">
        <f>ROUND(C14*(F14+I14+J14+M14)*(1+('IDENTIFICACIÓN TRABAJADOR'!$B$46+'IDENTIFICACIÓN TRABAJADOR'!$F$46)/('IDENTIFICACIÓN TRABAJADOR'!$E$31-'IDENTIFICACIÓN TRABAJADOR'!$B$46-'IDENTIFICACIÓN TRABAJADOR'!$F$46)),2)</f>
        <v>#VALUE!</v>
      </c>
      <c r="U14" s="412"/>
      <c r="V14" s="412"/>
      <c r="X14" s="581" t="s">
        <v>273</v>
      </c>
      <c r="Y14" s="429">
        <f>IFERROR(IF(OR(DATE($B$9,MONTH(DATEVALUE(X14&amp;"1")),1)&lt;DATE(YEAR(EXPEDIENTE!$I$25),MONTH(EXPEDIENTE!$I$25),1),DATE($B$9,MONTH(DATEVALUE(X14&amp;"1")),1)&gt;DATE(YEAR(EXPEDIENTE!$I$27),MONTH(EXPEDIENTE!$I$27)+1,1)-1),0,ROUND('% DEDICACIÓN TRABAJADOR'!J39,4)),0)</f>
        <v>0</v>
      </c>
      <c r="Z14" s="430">
        <f>'GASTOS EJER. 1'!AW23+'GASTOS EJER. 1'!BM23-'GASTOS EJER. 1'!CM23-'GASTOS EJER. 1'!CP23</f>
        <v>0</v>
      </c>
      <c r="AA14" s="189" t="str">
        <f>IF('GASTOS EJER. 1'!CT23="","",'GASTOS EJER. 1'!CT23)</f>
        <v/>
      </c>
      <c r="AB14" s="431">
        <f>IF(AA14&lt;=EXPEDIENTE!$I$29,Z14,0)</f>
        <v>0</v>
      </c>
      <c r="AC14" s="432">
        <f>'GASTOS EJER. 1'!CP23</f>
        <v>0</v>
      </c>
      <c r="AD14" s="189" t="str">
        <f>IF('GASTOS EJER. 1'!CW23="","",'GASTOS EJER. 1'!CW23)</f>
        <v/>
      </c>
      <c r="AE14" s="431">
        <f>IF(AD14&lt;=EXPEDIENTE!$I$29,AC14,0)</f>
        <v>0</v>
      </c>
      <c r="AF14" s="433">
        <f>AUXILIAR!DQ27</f>
        <v>0</v>
      </c>
      <c r="AG14" s="432">
        <f>AUXILIAR!HZ26</f>
        <v>0</v>
      </c>
      <c r="AH14" s="189" t="str">
        <f>IF('GASTOS EJER. 1'!BF55="","",'GASTOS EJER. 1'!BF55)</f>
        <v/>
      </c>
      <c r="AI14" s="431">
        <f>IF(AH14&lt;=EXPEDIENTE!$I$29,AG14,0)</f>
        <v>0</v>
      </c>
      <c r="AJ14" s="434">
        <f>IF($AS$18=0,0,IF(AND($AS$20&gt;$AS$18,$AS$16=1100%),MIN(AUXILIAR!$P$17,ROUND($AS$18/$AS$20*(AB14+AE14+AF14+AI14)*(('IDENTIFICACIÓN TRABAJADOR'!$B$46+'IDENTIFICACIÓN TRABAJADOR'!$F$46)/('IDENTIFICACIÓN TRABAJADOR'!$E$31-'IDENTIFICACIÓN TRABAJADOR'!$B$46-'IDENTIFICACIÓN TRABAJADOR'!$F$46)),2)),MIN(AUXILIAR!$P$17,ROUND((AB14+AE14+AF14+AI14)*(('IDENTIFICACIÓN TRABAJADOR'!$B$46+'IDENTIFICACIÓN TRABAJADOR'!$F$46)/('IDENTIFICACIÓN TRABAJADOR'!$E$31-'IDENTIFICACIÓN TRABAJADOR'!$B$46-'IDENTIFICACIÓN TRABAJADOR'!$F$46)),2))))</f>
        <v>0</v>
      </c>
      <c r="AK14" s="433">
        <f>IF($AS$18=0,0,IF(AND($AS$20&gt;$AS$18,$AS$16=1100%),MIN(AUXILIAR!$P$17,ROUND($AS$18/$AS$20*(AB14+AE14+AF14+AI14)*(1+('IDENTIFICACIÓN TRABAJADOR'!$B$46+'IDENTIFICACIÓN TRABAJADOR'!$F$46)/('IDENTIFICACIÓN TRABAJADOR'!$E$31-'IDENTIFICACIÓN TRABAJADOR'!$B$46-'IDENTIFICACIÓN TRABAJADOR'!$F$46)),2)),MIN(AUXILIAR!$P$17,ROUND((AB14+AE14+AF14+AI14)*(1+('IDENTIFICACIÓN TRABAJADOR'!$B$46+'IDENTIFICACIÓN TRABAJADOR'!$F$46)/('IDENTIFICACIÓN TRABAJADOR'!$E$31-'IDENTIFICACIÓN TRABAJADOR'!$B$46-'IDENTIFICACIÓN TRABAJADOR'!$F$46)),2))))</f>
        <v>0</v>
      </c>
      <c r="AL14" s="570">
        <f t="shared" si="1"/>
        <v>0</v>
      </c>
      <c r="AM14" s="573">
        <f t="shared" si="2"/>
        <v>0</v>
      </c>
      <c r="AQ14" s="427" t="e">
        <f>ROUND(Y14*(AB14+AE14+AF14+AI14)*(1+('IDENTIFICACIÓN TRABAJADOR'!$B$46+'IDENTIFICACIÓN TRABAJADOR'!$F$46)/('IDENTIFICACIÓN TRABAJADOR'!$E$31-'IDENTIFICACIÓN TRABAJADOR'!$B$46-'IDENTIFICACIÓN TRABAJADOR'!$F$46)),2)</f>
        <v>#VALUE!</v>
      </c>
      <c r="AR14" s="412"/>
      <c r="AS14" s="412"/>
    </row>
    <row r="15" spans="1:45" ht="15" customHeight="1" x14ac:dyDescent="0.25">
      <c r="B15" s="428" t="s">
        <v>274</v>
      </c>
      <c r="C15" s="429">
        <f>IFERROR(IF(OR(DATE($B$9,MONTH(DATEVALUE(B15&amp;"1")),1)&lt;DATE(YEAR(EXPEDIENTE!$I$25),MONTH(EXPEDIENTE!$I$25),1),DATE($B$9,MONTH(DATEVALUE(B15&amp;"1")),1)&gt;DATE(YEAR(EXPEDIENTE!$I$27),MONTH(EXPEDIENTE!$I$27)+1,1)-1),0,ROUND('% DEDICACIÓN TRABAJADOR'!K39,4)),0)</f>
        <v>0</v>
      </c>
      <c r="D15" s="430">
        <f>'GASTOS EJER. 1'!F24+'GASTOS EJER. 1'!L24-'GASTOS EJER. 1'!X24-'GASTOS EJER. 1'!Y24</f>
        <v>0</v>
      </c>
      <c r="E15" s="189" t="str">
        <f>IF('GASTOS EJER. 1'!AA24="","",'GASTOS EJER. 1'!AA24)</f>
        <v/>
      </c>
      <c r="F15" s="431">
        <f>IF(E15&lt;=EXPEDIENTE!$I$29,D15,0)</f>
        <v>0</v>
      </c>
      <c r="G15" s="432">
        <f>'GASTOS EJER. 1'!Y24</f>
        <v>0</v>
      </c>
      <c r="H15" s="189" t="str">
        <f>IF('GASTOS EJER. 1'!AB24="","",'GASTOS EJER. 1'!AB24)</f>
        <v/>
      </c>
      <c r="I15" s="431">
        <f>IF(H15&lt;=EXPEDIENTE!$I$29,G15,0)</f>
        <v>0</v>
      </c>
      <c r="J15" s="433">
        <f>AUXILIAR!BX28</f>
        <v>0</v>
      </c>
      <c r="K15" s="432">
        <f>AUXILIAR!FU27</f>
        <v>0</v>
      </c>
      <c r="L15" s="189" t="str">
        <f>IF('GASTOS EJER. 1'!I56="","",'GASTOS EJER. 1'!I56)</f>
        <v/>
      </c>
      <c r="M15" s="431">
        <f>IF(L15&lt;=EXPEDIENTE!$I$29,K15,0)</f>
        <v>0</v>
      </c>
      <c r="N15" s="434">
        <f>IF($V$18=0,0,IF(AND($V$20&gt;$V$18,$V$16=1100%),MIN(AUXILIAR!$P$17,ROUND($V$18/$V$20*(F15+I15+J15+M15)*('IDENTIFICACIÓN TRABAJADOR'!$B$46+'IDENTIFICACIÓN TRABAJADOR'!$F$46)/('IDENTIFICACIÓN TRABAJADOR'!$E$31-'IDENTIFICACIÓN TRABAJADOR'!$B$46-'IDENTIFICACIÓN TRABAJADOR'!$F$46),2)),MIN(AUXILIAR!$P$17,ROUND((F15+I15+J15+M15)*('IDENTIFICACIÓN TRABAJADOR'!$B$46+'IDENTIFICACIÓN TRABAJADOR'!$F$46)/('IDENTIFICACIÓN TRABAJADOR'!$E$31-'IDENTIFICACIÓN TRABAJADOR'!$B$46-'IDENTIFICACIÓN TRABAJADOR'!$F$46),2))))</f>
        <v>0</v>
      </c>
      <c r="O15" s="433">
        <f>IF($V$18=0,0,IF(AND($V$20&gt;$V$18,$V$16=1100%),MIN(AUXILIAR!$P$17,ROUND($V$18/$V$20*(F15+I15+J15+M15)*(1+('IDENTIFICACIÓN TRABAJADOR'!$B$46+'IDENTIFICACIÓN TRABAJADOR'!$F$46)/('IDENTIFICACIÓN TRABAJADOR'!$E$31-'IDENTIFICACIÓN TRABAJADOR'!$B$46-'IDENTIFICACIÓN TRABAJADOR'!$F$46)),2)),MIN(AUXILIAR!$P$17,ROUND((F15+I15+J15+M15)*(1+('IDENTIFICACIÓN TRABAJADOR'!$B$46+'IDENTIFICACIÓN TRABAJADOR'!$F$46)/('IDENTIFICACIÓN TRABAJADOR'!$E$31-'IDENTIFICACIÓN TRABAJADOR'!$B$46-'IDENTIFICACIÓN TRABAJADOR'!$F$46)),2))))</f>
        <v>0</v>
      </c>
      <c r="P15" s="434">
        <f t="shared" si="0"/>
        <v>0</v>
      </c>
      <c r="T15" s="427" t="e">
        <f>ROUND(C15*(F15+I15+J15+M15)*(1+('IDENTIFICACIÓN TRABAJADOR'!$B$46+'IDENTIFICACIÓN TRABAJADOR'!$F$46)/('IDENTIFICACIÓN TRABAJADOR'!$E$31-'IDENTIFICACIÓN TRABAJADOR'!$B$46-'IDENTIFICACIÓN TRABAJADOR'!$F$46)),2)</f>
        <v>#VALUE!</v>
      </c>
      <c r="U15" s="412"/>
      <c r="V15" s="84" t="s">
        <v>323</v>
      </c>
      <c r="X15" s="581" t="s">
        <v>274</v>
      </c>
      <c r="Y15" s="429">
        <f>IFERROR(IF(OR(DATE($B$9,MONTH(DATEVALUE(X15&amp;"1")),1)&lt;DATE(YEAR(EXPEDIENTE!$I$25),MONTH(EXPEDIENTE!$I$25),1),DATE($B$9,MONTH(DATEVALUE(X15&amp;"1")),1)&gt;DATE(YEAR(EXPEDIENTE!$I$27),MONTH(EXPEDIENTE!$I$27)+1,1)-1),0,ROUND('% DEDICACIÓN TRABAJADOR'!K39,4)),0)</f>
        <v>0</v>
      </c>
      <c r="Z15" s="430">
        <f>'GASTOS EJER. 1'!AW24+'GASTOS EJER. 1'!BM24-'GASTOS EJER. 1'!CM24-'GASTOS EJER. 1'!CP24</f>
        <v>0</v>
      </c>
      <c r="AA15" s="189" t="str">
        <f>IF('GASTOS EJER. 1'!CT24="","",'GASTOS EJER. 1'!CT24)</f>
        <v/>
      </c>
      <c r="AB15" s="431">
        <f>IF(AA15&lt;=EXPEDIENTE!$I$29,Z15,0)</f>
        <v>0</v>
      </c>
      <c r="AC15" s="432">
        <f>'GASTOS EJER. 1'!CP24</f>
        <v>0</v>
      </c>
      <c r="AD15" s="189" t="str">
        <f>IF('GASTOS EJER. 1'!CW24="","",'GASTOS EJER. 1'!CW24)</f>
        <v/>
      </c>
      <c r="AE15" s="431">
        <f>IF(AD15&lt;=EXPEDIENTE!$I$29,AC15,0)</f>
        <v>0</v>
      </c>
      <c r="AF15" s="433">
        <f>AUXILIAR!DQ28</f>
        <v>0</v>
      </c>
      <c r="AG15" s="432">
        <f>AUXILIAR!HZ27</f>
        <v>0</v>
      </c>
      <c r="AH15" s="189" t="str">
        <f>IF('GASTOS EJER. 1'!BF56="","",'GASTOS EJER. 1'!BF56)</f>
        <v/>
      </c>
      <c r="AI15" s="431">
        <f>IF(AH15&lt;=EXPEDIENTE!$I$29,AG15,0)</f>
        <v>0</v>
      </c>
      <c r="AJ15" s="434">
        <f>IF($AS$18=0,0,IF(AND($AS$20&gt;$AS$18,$AS$16=1100%),MIN(AUXILIAR!$P$17,ROUND($AS$18/$AS$20*(AB15+AE15+AF15+AI15)*(('IDENTIFICACIÓN TRABAJADOR'!$B$46+'IDENTIFICACIÓN TRABAJADOR'!$F$46)/('IDENTIFICACIÓN TRABAJADOR'!$E$31-'IDENTIFICACIÓN TRABAJADOR'!$B$46-'IDENTIFICACIÓN TRABAJADOR'!$F$46)),2)),MIN(AUXILIAR!$P$17,ROUND((AB15+AE15+AF15+AI15)*(('IDENTIFICACIÓN TRABAJADOR'!$B$46+'IDENTIFICACIÓN TRABAJADOR'!$F$46)/('IDENTIFICACIÓN TRABAJADOR'!$E$31-'IDENTIFICACIÓN TRABAJADOR'!$B$46-'IDENTIFICACIÓN TRABAJADOR'!$F$46)),2))))</f>
        <v>0</v>
      </c>
      <c r="AK15" s="433">
        <f>IF($AS$18=0,0,IF(AND($AS$20&gt;$AS$18,$AS$16=1100%),MIN(AUXILIAR!$P$17,ROUND($AS$18/$AS$20*(AB15+AE15+AF15+AI15)*(1+('IDENTIFICACIÓN TRABAJADOR'!$B$46+'IDENTIFICACIÓN TRABAJADOR'!$F$46)/('IDENTIFICACIÓN TRABAJADOR'!$E$31-'IDENTIFICACIÓN TRABAJADOR'!$B$46-'IDENTIFICACIÓN TRABAJADOR'!$F$46)),2)),MIN(AUXILIAR!$P$17,ROUND((AB15+AE15+AF15+AI15)*(1+('IDENTIFICACIÓN TRABAJADOR'!$B$46+'IDENTIFICACIÓN TRABAJADOR'!$F$46)/('IDENTIFICACIÓN TRABAJADOR'!$E$31-'IDENTIFICACIÓN TRABAJADOR'!$B$46-'IDENTIFICACIÓN TRABAJADOR'!$F$46)),2))))</f>
        <v>0</v>
      </c>
      <c r="AL15" s="570">
        <f t="shared" si="1"/>
        <v>0</v>
      </c>
      <c r="AM15" s="573">
        <f t="shared" si="2"/>
        <v>0</v>
      </c>
      <c r="AQ15" s="427" t="e">
        <f>ROUND(Y15*(AB15+AE15+AF15+AI15)*(1+('IDENTIFICACIÓN TRABAJADOR'!$B$46+'IDENTIFICACIÓN TRABAJADOR'!$F$46)/('IDENTIFICACIÓN TRABAJADOR'!$E$31-'IDENTIFICACIÓN TRABAJADOR'!$B$46-'IDENTIFICACIÓN TRABAJADOR'!$F$46)),2)</f>
        <v>#VALUE!</v>
      </c>
      <c r="AR15" s="412"/>
      <c r="AS15" s="84" t="s">
        <v>323</v>
      </c>
    </row>
    <row r="16" spans="1:45" ht="15" customHeight="1" x14ac:dyDescent="0.25">
      <c r="B16" s="428" t="s">
        <v>275</v>
      </c>
      <c r="C16" s="429">
        <f>IFERROR(IF(OR(DATE($B$9,MONTH(DATEVALUE(B16&amp;"1")),1)&lt;DATE(YEAR(EXPEDIENTE!$I$25),MONTH(EXPEDIENTE!$I$25),1),DATE($B$9,MONTH(DATEVALUE(B16&amp;"1")),1)&gt;DATE(YEAR(EXPEDIENTE!$I$27),MONTH(EXPEDIENTE!$I$27)+1,1)-1),0,ROUND('% DEDICACIÓN TRABAJADOR'!L39,4)),0)</f>
        <v>0</v>
      </c>
      <c r="D16" s="430">
        <f>'GASTOS EJER. 1'!F25+'GASTOS EJER. 1'!L25-'GASTOS EJER. 1'!X25-'GASTOS EJER. 1'!Y25</f>
        <v>0</v>
      </c>
      <c r="E16" s="189" t="str">
        <f>IF('GASTOS EJER. 1'!AA25="","",'GASTOS EJER. 1'!AA25)</f>
        <v/>
      </c>
      <c r="F16" s="431">
        <f>IF(E16&lt;=EXPEDIENTE!$I$29,D16,0)</f>
        <v>0</v>
      </c>
      <c r="G16" s="432">
        <f>'GASTOS EJER. 1'!Y25</f>
        <v>0</v>
      </c>
      <c r="H16" s="189" t="str">
        <f>IF('GASTOS EJER. 1'!AB25="","",'GASTOS EJER. 1'!AB25)</f>
        <v/>
      </c>
      <c r="I16" s="431">
        <f>IF(H16&lt;=EXPEDIENTE!$I$29,G16,0)</f>
        <v>0</v>
      </c>
      <c r="J16" s="433">
        <f>AUXILIAR!BX29</f>
        <v>0</v>
      </c>
      <c r="K16" s="432">
        <f>AUXILIAR!FU28</f>
        <v>0</v>
      </c>
      <c r="L16" s="189" t="str">
        <f>IF('GASTOS EJER. 1'!I57="","",'GASTOS EJER. 1'!I57)</f>
        <v/>
      </c>
      <c r="M16" s="431">
        <f>IF(L16&lt;=EXPEDIENTE!$I$29,K16,0)</f>
        <v>0</v>
      </c>
      <c r="N16" s="434">
        <f>IF($V$18=0,0,IF(AND($V$20&gt;$V$18,$V$16=1100%),MIN(AUXILIAR!$P$17,ROUND($V$18/$V$20*(F16+I16+J16+M16)*('IDENTIFICACIÓN TRABAJADOR'!$B$46+'IDENTIFICACIÓN TRABAJADOR'!$F$46)/('IDENTIFICACIÓN TRABAJADOR'!$E$31-'IDENTIFICACIÓN TRABAJADOR'!$B$46-'IDENTIFICACIÓN TRABAJADOR'!$F$46),2)),MIN(AUXILIAR!$P$17,ROUND((F16+I16+J16+M16)*('IDENTIFICACIÓN TRABAJADOR'!$B$46+'IDENTIFICACIÓN TRABAJADOR'!$F$46)/('IDENTIFICACIÓN TRABAJADOR'!$E$31-'IDENTIFICACIÓN TRABAJADOR'!$B$46-'IDENTIFICACIÓN TRABAJADOR'!$F$46),2))))</f>
        <v>0</v>
      </c>
      <c r="O16" s="433">
        <f>IF($V$18=0,0,IF(AND($V$20&gt;$V$18,$V$16=1100%),MIN(AUXILIAR!$P$17,ROUND($V$18/$V$20*(F16+I16+J16+M16)*(1+('IDENTIFICACIÓN TRABAJADOR'!$B$46+'IDENTIFICACIÓN TRABAJADOR'!$F$46)/('IDENTIFICACIÓN TRABAJADOR'!$E$31-'IDENTIFICACIÓN TRABAJADOR'!$B$46-'IDENTIFICACIÓN TRABAJADOR'!$F$46)),2)),MIN(AUXILIAR!$P$17,ROUND((F16+I16+J16+M16)*(1+('IDENTIFICACIÓN TRABAJADOR'!$B$46+'IDENTIFICACIÓN TRABAJADOR'!$F$46)/('IDENTIFICACIÓN TRABAJADOR'!$E$31-'IDENTIFICACIÓN TRABAJADOR'!$B$46-'IDENTIFICACIÓN TRABAJADOR'!$F$46)),2))))</f>
        <v>0</v>
      </c>
      <c r="P16" s="434">
        <f t="shared" si="0"/>
        <v>0</v>
      </c>
      <c r="T16" s="427" t="e">
        <f>ROUND(C16*(F16+I16+J16+M16)*(1+('IDENTIFICACIÓN TRABAJADOR'!$B$46+'IDENTIFICACIÓN TRABAJADOR'!$F$46)/('IDENTIFICACIÓN TRABAJADOR'!$E$31-'IDENTIFICACIÓN TRABAJADOR'!$B$46-'IDENTIFICACIÓN TRABAJADOR'!$F$46)),2)</f>
        <v>#VALUE!</v>
      </c>
      <c r="U16" s="305"/>
      <c r="V16" s="435">
        <f>SUM('% DEDICACIÓN TRABAJADOR'!$G$39:$R$39)</f>
        <v>0</v>
      </c>
      <c r="X16" s="581" t="s">
        <v>275</v>
      </c>
      <c r="Y16" s="429">
        <f>IFERROR(IF(OR(DATE($B$9,MONTH(DATEVALUE(X16&amp;"1")),1)&lt;DATE(YEAR(EXPEDIENTE!$I$25),MONTH(EXPEDIENTE!$I$25),1),DATE($B$9,MONTH(DATEVALUE(X16&amp;"1")),1)&gt;DATE(YEAR(EXPEDIENTE!$I$27),MONTH(EXPEDIENTE!$I$27)+1,1)-1),0,ROUND('% DEDICACIÓN TRABAJADOR'!L39,4)),0)</f>
        <v>0</v>
      </c>
      <c r="Z16" s="430">
        <f>'GASTOS EJER. 1'!AW25+'GASTOS EJER. 1'!BM25-'GASTOS EJER. 1'!CM25-'GASTOS EJER. 1'!CP25</f>
        <v>0</v>
      </c>
      <c r="AA16" s="189" t="str">
        <f>IF('GASTOS EJER. 1'!CT25="","",'GASTOS EJER. 1'!CT25)</f>
        <v/>
      </c>
      <c r="AB16" s="431">
        <f>IF(AA16&lt;=EXPEDIENTE!$I$29,Z16,0)</f>
        <v>0</v>
      </c>
      <c r="AC16" s="432">
        <f>'GASTOS EJER. 1'!CP25</f>
        <v>0</v>
      </c>
      <c r="AD16" s="189" t="str">
        <f>IF('GASTOS EJER. 1'!CW25="","",'GASTOS EJER. 1'!CW25)</f>
        <v/>
      </c>
      <c r="AE16" s="431">
        <f>IF(AD16&lt;=EXPEDIENTE!$I$29,AC16,0)</f>
        <v>0</v>
      </c>
      <c r="AF16" s="433">
        <f>AUXILIAR!DQ29</f>
        <v>0</v>
      </c>
      <c r="AG16" s="432">
        <f>AUXILIAR!HZ28</f>
        <v>0</v>
      </c>
      <c r="AH16" s="189" t="str">
        <f>IF('GASTOS EJER. 1'!BF57="","",'GASTOS EJER. 1'!BF57)</f>
        <v/>
      </c>
      <c r="AI16" s="431">
        <f>IF(AH16&lt;=EXPEDIENTE!$I$29,AG16,0)</f>
        <v>0</v>
      </c>
      <c r="AJ16" s="434">
        <f>IF($AS$18=0,0,IF(AND($AS$20&gt;$AS$18,$AS$16=1100%),MIN(AUXILIAR!$P$17,ROUND($AS$18/$AS$20*(AB16+AE16+AF16+AI16)*(('IDENTIFICACIÓN TRABAJADOR'!$B$46+'IDENTIFICACIÓN TRABAJADOR'!$F$46)/('IDENTIFICACIÓN TRABAJADOR'!$E$31-'IDENTIFICACIÓN TRABAJADOR'!$B$46-'IDENTIFICACIÓN TRABAJADOR'!$F$46)),2)),MIN(AUXILIAR!$P$17,ROUND((AB16+AE16+AF16+AI16)*(('IDENTIFICACIÓN TRABAJADOR'!$B$46+'IDENTIFICACIÓN TRABAJADOR'!$F$46)/('IDENTIFICACIÓN TRABAJADOR'!$E$31-'IDENTIFICACIÓN TRABAJADOR'!$B$46-'IDENTIFICACIÓN TRABAJADOR'!$F$46)),2))))</f>
        <v>0</v>
      </c>
      <c r="AK16" s="433">
        <f>IF($AS$18=0,0,IF(AND($AS$20&gt;$AS$18,$AS$16=1100%),MIN(AUXILIAR!$P$17,ROUND($AS$18/$AS$20*(AB16+AE16+AF16+AI16)*(1+('IDENTIFICACIÓN TRABAJADOR'!$B$46+'IDENTIFICACIÓN TRABAJADOR'!$F$46)/('IDENTIFICACIÓN TRABAJADOR'!$E$31-'IDENTIFICACIÓN TRABAJADOR'!$B$46-'IDENTIFICACIÓN TRABAJADOR'!$F$46)),2)),MIN(AUXILIAR!$P$17,ROUND((AB16+AE16+AF16+AI16)*(1+('IDENTIFICACIÓN TRABAJADOR'!$B$46+'IDENTIFICACIÓN TRABAJADOR'!$F$46)/('IDENTIFICACIÓN TRABAJADOR'!$E$31-'IDENTIFICACIÓN TRABAJADOR'!$B$46-'IDENTIFICACIÓN TRABAJADOR'!$F$46)),2))))</f>
        <v>0</v>
      </c>
      <c r="AL16" s="570">
        <f t="shared" si="1"/>
        <v>0</v>
      </c>
      <c r="AM16" s="573">
        <f t="shared" si="2"/>
        <v>0</v>
      </c>
      <c r="AQ16" s="427" t="e">
        <f>ROUND(Y16*(AB16+AE16+AF16+AI16)*(1+('IDENTIFICACIÓN TRABAJADOR'!$B$46+'IDENTIFICACIÓN TRABAJADOR'!$F$46)/('IDENTIFICACIÓN TRABAJADOR'!$E$31-'IDENTIFICACIÓN TRABAJADOR'!$B$46-'IDENTIFICACIÓN TRABAJADOR'!$F$46)),2)</f>
        <v>#VALUE!</v>
      </c>
      <c r="AR16" s="305"/>
      <c r="AS16" s="435">
        <f>SUM('% DEDICACIÓN TRABAJADOR'!$G$39:$R$39)</f>
        <v>0</v>
      </c>
    </row>
    <row r="17" spans="2:45" ht="15" customHeight="1" x14ac:dyDescent="0.25">
      <c r="B17" s="428" t="s">
        <v>276</v>
      </c>
      <c r="C17" s="429">
        <f>IFERROR(IF(OR(DATE($B$9,MONTH(DATEVALUE(B17&amp;"1")),1)&lt;DATE(YEAR(EXPEDIENTE!$I$25),MONTH(EXPEDIENTE!$I$25),1),DATE($B$9,MONTH(DATEVALUE(B17&amp;"1")),1)&gt;DATE(YEAR(EXPEDIENTE!$I$27),MONTH(EXPEDIENTE!$I$27)+1,1)-1),0,ROUND('% DEDICACIÓN TRABAJADOR'!M39,4)),0)</f>
        <v>0</v>
      </c>
      <c r="D17" s="430">
        <f>'GASTOS EJER. 1'!F26+'GASTOS EJER. 1'!L26-'GASTOS EJER. 1'!X26-'GASTOS EJER. 1'!Y26</f>
        <v>0</v>
      </c>
      <c r="E17" s="189" t="str">
        <f>IF('GASTOS EJER. 1'!AA26="","",'GASTOS EJER. 1'!AA26)</f>
        <v/>
      </c>
      <c r="F17" s="431">
        <f>IF(E17&lt;=EXPEDIENTE!$I$29,D17,0)</f>
        <v>0</v>
      </c>
      <c r="G17" s="432">
        <f>'GASTOS EJER. 1'!Y26</f>
        <v>0</v>
      </c>
      <c r="H17" s="189" t="str">
        <f>IF('GASTOS EJER. 1'!AB26="","",'GASTOS EJER. 1'!AB26)</f>
        <v/>
      </c>
      <c r="I17" s="431">
        <f>IF(H17&lt;=EXPEDIENTE!$I$29,G17,0)</f>
        <v>0</v>
      </c>
      <c r="J17" s="433">
        <f>AUXILIAR!BX30</f>
        <v>0</v>
      </c>
      <c r="K17" s="432">
        <f>AUXILIAR!FU29</f>
        <v>0</v>
      </c>
      <c r="L17" s="189" t="str">
        <f>IF('GASTOS EJER. 1'!I58="","",'GASTOS EJER. 1'!I58)</f>
        <v/>
      </c>
      <c r="M17" s="431">
        <f>IF(L17&lt;=EXPEDIENTE!$I$29,K17,0)</f>
        <v>0</v>
      </c>
      <c r="N17" s="434">
        <f>IF($V$18=0,0,IF(AND($V$20&gt;$V$18,$V$16=1100%),MIN(AUXILIAR!$P$17,ROUND($V$18/$V$20*(F17+I17+J17+M17)*('IDENTIFICACIÓN TRABAJADOR'!$B$46+'IDENTIFICACIÓN TRABAJADOR'!$F$46)/('IDENTIFICACIÓN TRABAJADOR'!$E$31-'IDENTIFICACIÓN TRABAJADOR'!$B$46-'IDENTIFICACIÓN TRABAJADOR'!$F$46),2)),MIN(AUXILIAR!$P$17,ROUND((F17+I17+J17+M17)*('IDENTIFICACIÓN TRABAJADOR'!$B$46+'IDENTIFICACIÓN TRABAJADOR'!$F$46)/('IDENTIFICACIÓN TRABAJADOR'!$E$31-'IDENTIFICACIÓN TRABAJADOR'!$B$46-'IDENTIFICACIÓN TRABAJADOR'!$F$46),2))))</f>
        <v>0</v>
      </c>
      <c r="O17" s="433">
        <f>IF($V$18=0,0,IF(AND($V$20&gt;$V$18,$V$16=1100%),MIN(AUXILIAR!$P$17,ROUND($V$18/$V$20*(F17+I17+J17+M17)*(1+('IDENTIFICACIÓN TRABAJADOR'!$B$46+'IDENTIFICACIÓN TRABAJADOR'!$F$46)/('IDENTIFICACIÓN TRABAJADOR'!$E$31-'IDENTIFICACIÓN TRABAJADOR'!$B$46-'IDENTIFICACIÓN TRABAJADOR'!$F$46)),2)),MIN(AUXILIAR!$P$17,ROUND((F17+I17+J17+M17)*(1+('IDENTIFICACIÓN TRABAJADOR'!$B$46+'IDENTIFICACIÓN TRABAJADOR'!$F$46)/('IDENTIFICACIÓN TRABAJADOR'!$E$31-'IDENTIFICACIÓN TRABAJADOR'!$B$46-'IDENTIFICACIÓN TRABAJADOR'!$F$46)),2))))</f>
        <v>0</v>
      </c>
      <c r="P17" s="434">
        <f t="shared" si="0"/>
        <v>0</v>
      </c>
      <c r="T17" s="427" t="e">
        <f>ROUND(C17*(F17+I17+J17+M17)*(1+('IDENTIFICACIÓN TRABAJADOR'!$B$46+'IDENTIFICACIÓN TRABAJADOR'!$F$46)/('IDENTIFICACIÓN TRABAJADOR'!$E$31-'IDENTIFICACIÓN TRABAJADOR'!$B$46-'IDENTIFICACIÓN TRABAJADOR'!$F$46)),2)</f>
        <v>#VALUE!</v>
      </c>
      <c r="U17" s="305"/>
      <c r="V17" s="84" t="s">
        <v>324</v>
      </c>
      <c r="X17" s="581" t="s">
        <v>276</v>
      </c>
      <c r="Y17" s="429">
        <f>IFERROR(IF(OR(DATE($B$9,MONTH(DATEVALUE(X17&amp;"1")),1)&lt;DATE(YEAR(EXPEDIENTE!$I$25),MONTH(EXPEDIENTE!$I$25),1),DATE($B$9,MONTH(DATEVALUE(X17&amp;"1")),1)&gt;DATE(YEAR(EXPEDIENTE!$I$27),MONTH(EXPEDIENTE!$I$27)+1,1)-1),0,ROUND('% DEDICACIÓN TRABAJADOR'!M39,4)),0)</f>
        <v>0</v>
      </c>
      <c r="Z17" s="430">
        <f>'GASTOS EJER. 1'!AW26+'GASTOS EJER. 1'!BM26-'GASTOS EJER. 1'!CM26-'GASTOS EJER. 1'!CP26</f>
        <v>0</v>
      </c>
      <c r="AA17" s="189" t="str">
        <f>IF('GASTOS EJER. 1'!CT26="","",'GASTOS EJER. 1'!CT26)</f>
        <v/>
      </c>
      <c r="AB17" s="431">
        <f>IF(AA17&lt;=EXPEDIENTE!$I$29,Z17,0)</f>
        <v>0</v>
      </c>
      <c r="AC17" s="432">
        <f>'GASTOS EJER. 1'!CP26</f>
        <v>0</v>
      </c>
      <c r="AD17" s="189" t="str">
        <f>IF('GASTOS EJER. 1'!CW26="","",'GASTOS EJER. 1'!CW26)</f>
        <v/>
      </c>
      <c r="AE17" s="431">
        <f>IF(AD17&lt;=EXPEDIENTE!$I$29,AC17,0)</f>
        <v>0</v>
      </c>
      <c r="AF17" s="433">
        <f>AUXILIAR!DQ30</f>
        <v>0</v>
      </c>
      <c r="AG17" s="432">
        <f>AUXILIAR!HZ29</f>
        <v>0</v>
      </c>
      <c r="AH17" s="189" t="str">
        <f>IF('GASTOS EJER. 1'!BF58="","",'GASTOS EJER. 1'!BF58)</f>
        <v/>
      </c>
      <c r="AI17" s="431">
        <f>IF(AH17&lt;=EXPEDIENTE!$I$29,AG17,0)</f>
        <v>0</v>
      </c>
      <c r="AJ17" s="434">
        <f>IF($AS$18=0,0,IF(AND($AS$20&gt;$AS$18,$AS$16=1100%),MIN(AUXILIAR!$P$17,ROUND($AS$18/$AS$20*(AB17+AE17+AF17+AI17)*(('IDENTIFICACIÓN TRABAJADOR'!$B$46+'IDENTIFICACIÓN TRABAJADOR'!$F$46)/('IDENTIFICACIÓN TRABAJADOR'!$E$31-'IDENTIFICACIÓN TRABAJADOR'!$B$46-'IDENTIFICACIÓN TRABAJADOR'!$F$46)),2)),MIN(AUXILIAR!$P$17,ROUND((AB17+AE17+AF17+AI17)*(('IDENTIFICACIÓN TRABAJADOR'!$B$46+'IDENTIFICACIÓN TRABAJADOR'!$F$46)/('IDENTIFICACIÓN TRABAJADOR'!$E$31-'IDENTIFICACIÓN TRABAJADOR'!$B$46-'IDENTIFICACIÓN TRABAJADOR'!$F$46)),2))))</f>
        <v>0</v>
      </c>
      <c r="AK17" s="433">
        <f>IF($AS$18=0,0,IF(AND($AS$20&gt;$AS$18,$AS$16=1100%),MIN(AUXILIAR!$P$17,ROUND($AS$18/$AS$20*(AB17+AE17+AF17+AI17)*(1+('IDENTIFICACIÓN TRABAJADOR'!$B$46+'IDENTIFICACIÓN TRABAJADOR'!$F$46)/('IDENTIFICACIÓN TRABAJADOR'!$E$31-'IDENTIFICACIÓN TRABAJADOR'!$B$46-'IDENTIFICACIÓN TRABAJADOR'!$F$46)),2)),MIN(AUXILIAR!$P$17,ROUND((AB17+AE17+AF17+AI17)*(1+('IDENTIFICACIÓN TRABAJADOR'!$B$46+'IDENTIFICACIÓN TRABAJADOR'!$F$46)/('IDENTIFICACIÓN TRABAJADOR'!$E$31-'IDENTIFICACIÓN TRABAJADOR'!$B$46-'IDENTIFICACIÓN TRABAJADOR'!$F$46)),2))))</f>
        <v>0</v>
      </c>
      <c r="AL17" s="570">
        <f t="shared" si="1"/>
        <v>0</v>
      </c>
      <c r="AM17" s="573">
        <f t="shared" si="2"/>
        <v>0</v>
      </c>
      <c r="AQ17" s="427" t="e">
        <f>ROUND(Y17*(AB17+AE17+AF17+AI17)*(1+('IDENTIFICACIÓN TRABAJADOR'!$B$46+'IDENTIFICACIÓN TRABAJADOR'!$F$46)/('IDENTIFICACIÓN TRABAJADOR'!$E$31-'IDENTIFICACIÓN TRABAJADOR'!$B$46-'IDENTIFICACIÓN TRABAJADOR'!$F$46)),2)</f>
        <v>#VALUE!</v>
      </c>
      <c r="AR17" s="305"/>
      <c r="AS17" s="84" t="s">
        <v>324</v>
      </c>
    </row>
    <row r="18" spans="2:45" ht="15" customHeight="1" x14ac:dyDescent="0.25">
      <c r="B18" s="428" t="s">
        <v>277</v>
      </c>
      <c r="C18" s="429">
        <f>IFERROR(IF(OR(DATE($B$9,MONTH(DATEVALUE(B18&amp;"1")),1)&lt;DATE(YEAR(EXPEDIENTE!$I$25),MONTH(EXPEDIENTE!$I$25),1),DATE($B$9,MONTH(DATEVALUE(B18&amp;"1")),1)&gt;DATE(YEAR(EXPEDIENTE!$I$27),MONTH(EXPEDIENTE!$I$27)+1,1)-1),0,ROUND('% DEDICACIÓN TRABAJADOR'!N39,4)),0)</f>
        <v>0</v>
      </c>
      <c r="D18" s="430">
        <f>'GASTOS EJER. 1'!F27+'GASTOS EJER. 1'!L27-'GASTOS EJER. 1'!X27-'GASTOS EJER. 1'!Y27</f>
        <v>0</v>
      </c>
      <c r="E18" s="189" t="str">
        <f>IF('GASTOS EJER. 1'!AA27="","",'GASTOS EJER. 1'!AA27)</f>
        <v/>
      </c>
      <c r="F18" s="431">
        <f>IF(E18&lt;=EXPEDIENTE!$I$29,D18,0)</f>
        <v>0</v>
      </c>
      <c r="G18" s="432">
        <f>'GASTOS EJER. 1'!Y27</f>
        <v>0</v>
      </c>
      <c r="H18" s="189" t="str">
        <f>IF('GASTOS EJER. 1'!AB27="","",'GASTOS EJER. 1'!AB27)</f>
        <v/>
      </c>
      <c r="I18" s="431">
        <f>IF(H18&lt;=EXPEDIENTE!$I$29,G18,0)</f>
        <v>0</v>
      </c>
      <c r="J18" s="433">
        <f>AUXILIAR!BX31</f>
        <v>0</v>
      </c>
      <c r="K18" s="432">
        <f>AUXILIAR!FU30</f>
        <v>0</v>
      </c>
      <c r="L18" s="189" t="str">
        <f>IF('GASTOS EJER. 1'!I59="","",'GASTOS EJER. 1'!I59)</f>
        <v/>
      </c>
      <c r="M18" s="431">
        <f>IF(L18&lt;=EXPEDIENTE!$I$29,K18,0)</f>
        <v>0</v>
      </c>
      <c r="N18" s="434">
        <f>IF($V$18=0,0,IF(AND($V$20&gt;$V$18,$V$16=1100%),MIN(AUXILIAR!$P$17,ROUND($V$18/$V$20*(F18+I18+J18+M18)*('IDENTIFICACIÓN TRABAJADOR'!$B$46+'IDENTIFICACIÓN TRABAJADOR'!$F$46)/('IDENTIFICACIÓN TRABAJADOR'!$E$31-'IDENTIFICACIÓN TRABAJADOR'!$B$46-'IDENTIFICACIÓN TRABAJADOR'!$F$46),2)),MIN(AUXILIAR!$P$17,ROUND((F18+I18+J18+M18)*('IDENTIFICACIÓN TRABAJADOR'!$B$46+'IDENTIFICACIÓN TRABAJADOR'!$F$46)/('IDENTIFICACIÓN TRABAJADOR'!$E$31-'IDENTIFICACIÓN TRABAJADOR'!$B$46-'IDENTIFICACIÓN TRABAJADOR'!$F$46),2))))</f>
        <v>0</v>
      </c>
      <c r="O18" s="433">
        <f>IF($V$18=0,0,IF(AND($V$20&gt;$V$18,$V$16=1100%),MIN(AUXILIAR!$P$17,ROUND($V$18/$V$20*(F18+I18+J18+M18)*(1+('IDENTIFICACIÓN TRABAJADOR'!$B$46+'IDENTIFICACIÓN TRABAJADOR'!$F$46)/('IDENTIFICACIÓN TRABAJADOR'!$E$31-'IDENTIFICACIÓN TRABAJADOR'!$B$46-'IDENTIFICACIÓN TRABAJADOR'!$F$46)),2)),MIN(AUXILIAR!$P$17,ROUND((F18+I18+J18+M18)*(1+('IDENTIFICACIÓN TRABAJADOR'!$B$46+'IDENTIFICACIÓN TRABAJADOR'!$F$46)/('IDENTIFICACIÓN TRABAJADOR'!$E$31-'IDENTIFICACIÓN TRABAJADOR'!$B$46-'IDENTIFICACIÓN TRABAJADOR'!$F$46)),2))))</f>
        <v>0</v>
      </c>
      <c r="P18" s="434">
        <f t="shared" si="0"/>
        <v>0</v>
      </c>
      <c r="T18" s="427" t="e">
        <f>ROUND(C18*(F18+I18+J18+M18)*(1+('IDENTIFICACIÓN TRABAJADOR'!$B$46+'IDENTIFICACIÓN TRABAJADOR'!$F$46)/('IDENTIFICACIÓN TRABAJADOR'!$E$31-'IDENTIFICACIÓN TRABAJADOR'!$B$46-'IDENTIFICACIÓN TRABAJADOR'!$F$46)),2)</f>
        <v>#VALUE!</v>
      </c>
      <c r="U18" s="305"/>
      <c r="V18" s="436">
        <f>SUM(F11:F22)+SUM(I11:I22)+SUM(J11:J22)+SUM(M11:M22)</f>
        <v>0</v>
      </c>
      <c r="X18" s="581" t="s">
        <v>277</v>
      </c>
      <c r="Y18" s="429">
        <f>IFERROR(IF(OR(DATE($B$9,MONTH(DATEVALUE(X18&amp;"1")),1)&lt;DATE(YEAR(EXPEDIENTE!$I$25),MONTH(EXPEDIENTE!$I$25),1),DATE($B$9,MONTH(DATEVALUE(X18&amp;"1")),1)&gt;DATE(YEAR(EXPEDIENTE!$I$27),MONTH(EXPEDIENTE!$I$27)+1,1)-1),0,ROUND('% DEDICACIÓN TRABAJADOR'!N39,4)),0)</f>
        <v>0</v>
      </c>
      <c r="Z18" s="430">
        <f>'GASTOS EJER. 1'!AW27+'GASTOS EJER. 1'!BM27-'GASTOS EJER. 1'!CM27-'GASTOS EJER. 1'!CP27</f>
        <v>0</v>
      </c>
      <c r="AA18" s="189" t="str">
        <f>IF('GASTOS EJER. 1'!CT27="","",'GASTOS EJER. 1'!CT27)</f>
        <v/>
      </c>
      <c r="AB18" s="431">
        <f>IF(AA18&lt;=EXPEDIENTE!$I$29,Z18,0)</f>
        <v>0</v>
      </c>
      <c r="AC18" s="432">
        <f>'GASTOS EJER. 1'!CP27</f>
        <v>0</v>
      </c>
      <c r="AD18" s="189" t="str">
        <f>IF('GASTOS EJER. 1'!CW27="","",'GASTOS EJER. 1'!CW27)</f>
        <v/>
      </c>
      <c r="AE18" s="431">
        <f>IF(AD18&lt;=EXPEDIENTE!$I$29,AC18,0)</f>
        <v>0</v>
      </c>
      <c r="AF18" s="433">
        <f>AUXILIAR!DQ31</f>
        <v>0</v>
      </c>
      <c r="AG18" s="432">
        <f>AUXILIAR!HZ30</f>
        <v>0</v>
      </c>
      <c r="AH18" s="189" t="str">
        <f>IF('GASTOS EJER. 1'!BF59="","",'GASTOS EJER. 1'!BF59)</f>
        <v/>
      </c>
      <c r="AI18" s="431">
        <f>IF(AH18&lt;=EXPEDIENTE!$I$29,AG18,0)</f>
        <v>0</v>
      </c>
      <c r="AJ18" s="434">
        <f>IF($AS$18=0,0,IF(AND($AS$20&gt;$AS$18,$AS$16=1100%),MIN(AUXILIAR!$P$17,ROUND($AS$18/$AS$20*(AB18+AE18+AF18+AI18)*(('IDENTIFICACIÓN TRABAJADOR'!$B$46+'IDENTIFICACIÓN TRABAJADOR'!$F$46)/('IDENTIFICACIÓN TRABAJADOR'!$E$31-'IDENTIFICACIÓN TRABAJADOR'!$B$46-'IDENTIFICACIÓN TRABAJADOR'!$F$46)),2)),MIN(AUXILIAR!$P$17,ROUND((AB18+AE18+AF18+AI18)*(('IDENTIFICACIÓN TRABAJADOR'!$B$46+'IDENTIFICACIÓN TRABAJADOR'!$F$46)/('IDENTIFICACIÓN TRABAJADOR'!$E$31-'IDENTIFICACIÓN TRABAJADOR'!$B$46-'IDENTIFICACIÓN TRABAJADOR'!$F$46)),2))))</f>
        <v>0</v>
      </c>
      <c r="AK18" s="433">
        <f>IF($AS$18=0,0,IF(AND($AS$20&gt;$AS$18,$AS$16=1100%),MIN(AUXILIAR!$P$17,ROUND($AS$18/$AS$20*(AB18+AE18+AF18+AI18)*(1+('IDENTIFICACIÓN TRABAJADOR'!$B$46+'IDENTIFICACIÓN TRABAJADOR'!$F$46)/('IDENTIFICACIÓN TRABAJADOR'!$E$31-'IDENTIFICACIÓN TRABAJADOR'!$B$46-'IDENTIFICACIÓN TRABAJADOR'!$F$46)),2)),MIN(AUXILIAR!$P$17,ROUND((AB18+AE18+AF18+AI18)*(1+('IDENTIFICACIÓN TRABAJADOR'!$B$46+'IDENTIFICACIÓN TRABAJADOR'!$F$46)/('IDENTIFICACIÓN TRABAJADOR'!$E$31-'IDENTIFICACIÓN TRABAJADOR'!$B$46-'IDENTIFICACIÓN TRABAJADOR'!$F$46)),2))))</f>
        <v>0</v>
      </c>
      <c r="AL18" s="570">
        <f t="shared" si="1"/>
        <v>0</v>
      </c>
      <c r="AM18" s="573">
        <f t="shared" si="2"/>
        <v>0</v>
      </c>
      <c r="AQ18" s="427" t="e">
        <f>ROUND(Y18*(AB18+AE18+AF18+AI18)*(1+('IDENTIFICACIÓN TRABAJADOR'!$B$46+'IDENTIFICACIÓN TRABAJADOR'!$F$46)/('IDENTIFICACIÓN TRABAJADOR'!$E$31-'IDENTIFICACIÓN TRABAJADOR'!$B$46-'IDENTIFICACIÓN TRABAJADOR'!$F$46)),2)</f>
        <v>#VALUE!</v>
      </c>
      <c r="AR18" s="305"/>
      <c r="AS18" s="436">
        <f>SUM(AB11:AB22)+SUM(AE11:AE22)+SUM(AF11:AF22)+SUM(AI11:AI22)</f>
        <v>0</v>
      </c>
    </row>
    <row r="19" spans="2:45" ht="15" customHeight="1" x14ac:dyDescent="0.25">
      <c r="B19" s="428" t="s">
        <v>278</v>
      </c>
      <c r="C19" s="429">
        <f>IFERROR(IF(OR(DATE($B$9,MONTH(DATEVALUE(B19&amp;"1")),1)&lt;DATE(YEAR(EXPEDIENTE!$I$25),MONTH(EXPEDIENTE!$I$25),1),DATE($B$9,MONTH(DATEVALUE(B19&amp;"1")),1)&gt;DATE(YEAR(EXPEDIENTE!$I$27),MONTH(EXPEDIENTE!$I$27)+1,1)-1),0,ROUND('% DEDICACIÓN TRABAJADOR'!O39,4)),0)</f>
        <v>0</v>
      </c>
      <c r="D19" s="430">
        <f>'GASTOS EJER. 1'!F28+'GASTOS EJER. 1'!L28-'GASTOS EJER. 1'!X28-'GASTOS EJER. 1'!Y28</f>
        <v>0</v>
      </c>
      <c r="E19" s="189" t="str">
        <f>IF('GASTOS EJER. 1'!AA28="","",'GASTOS EJER. 1'!AA28)</f>
        <v/>
      </c>
      <c r="F19" s="431">
        <f>IF(E19&lt;=EXPEDIENTE!$I$29,D19,0)</f>
        <v>0</v>
      </c>
      <c r="G19" s="432">
        <f>'GASTOS EJER. 1'!Y28</f>
        <v>0</v>
      </c>
      <c r="H19" s="189" t="str">
        <f>IF('GASTOS EJER. 1'!AB28="","",'GASTOS EJER. 1'!AB28)</f>
        <v/>
      </c>
      <c r="I19" s="431">
        <f>IF(H19&lt;=EXPEDIENTE!$I$29,G19,0)</f>
        <v>0</v>
      </c>
      <c r="J19" s="433">
        <f>AUXILIAR!BX32</f>
        <v>0</v>
      </c>
      <c r="K19" s="432">
        <f>AUXILIAR!FU31</f>
        <v>0</v>
      </c>
      <c r="L19" s="189" t="str">
        <f>IF('GASTOS EJER. 1'!I60="","",'GASTOS EJER. 1'!I60)</f>
        <v/>
      </c>
      <c r="M19" s="431">
        <f>IF(L19&lt;=EXPEDIENTE!$I$29,K19,0)</f>
        <v>0</v>
      </c>
      <c r="N19" s="434">
        <f>IF($V$18=0,0,IF(AND($V$20&gt;$V$18,$V$16=1100%),MIN(AUXILIAR!$P$17,ROUND($V$18/$V$20*(F19+I19+J19+M19)*('IDENTIFICACIÓN TRABAJADOR'!$B$46+'IDENTIFICACIÓN TRABAJADOR'!$F$46)/('IDENTIFICACIÓN TRABAJADOR'!$E$31-'IDENTIFICACIÓN TRABAJADOR'!$B$46-'IDENTIFICACIÓN TRABAJADOR'!$F$46),2)),MIN(AUXILIAR!$P$17,ROUND((F19+I19+J19+M19)*('IDENTIFICACIÓN TRABAJADOR'!$B$46+'IDENTIFICACIÓN TRABAJADOR'!$F$46)/('IDENTIFICACIÓN TRABAJADOR'!$E$31-'IDENTIFICACIÓN TRABAJADOR'!$B$46-'IDENTIFICACIÓN TRABAJADOR'!$F$46),2))))</f>
        <v>0</v>
      </c>
      <c r="O19" s="433">
        <f>IF($V$18=0,0,IF(AND($V$20&gt;$V$18,$V$16=1100%),MIN(AUXILIAR!$P$17,ROUND($V$18/$V$20*(F19+I19+J19+M19)*(1+('IDENTIFICACIÓN TRABAJADOR'!$B$46+'IDENTIFICACIÓN TRABAJADOR'!$F$46)/('IDENTIFICACIÓN TRABAJADOR'!$E$31-'IDENTIFICACIÓN TRABAJADOR'!$B$46-'IDENTIFICACIÓN TRABAJADOR'!$F$46)),2)),MIN(AUXILIAR!$P$17,ROUND((F19+I19+J19+M19)*(1+('IDENTIFICACIÓN TRABAJADOR'!$B$46+'IDENTIFICACIÓN TRABAJADOR'!$F$46)/('IDENTIFICACIÓN TRABAJADOR'!$E$31-'IDENTIFICACIÓN TRABAJADOR'!$B$46-'IDENTIFICACIÓN TRABAJADOR'!$F$46)),2))))</f>
        <v>0</v>
      </c>
      <c r="P19" s="434">
        <f t="shared" si="0"/>
        <v>0</v>
      </c>
      <c r="T19" s="427" t="e">
        <f>ROUND(C19*(F19+I19+J19+M19)*(1+('IDENTIFICACIÓN TRABAJADOR'!$B$46+'IDENTIFICACIÓN TRABAJADOR'!$F$46)/('IDENTIFICACIÓN TRABAJADOR'!$E$31-'IDENTIFICACIÓN TRABAJADOR'!$B$46-'IDENTIFICACIÓN TRABAJADOR'!$F$46)),2)</f>
        <v>#VALUE!</v>
      </c>
      <c r="U19" s="305"/>
      <c r="V19" s="84" t="s">
        <v>325</v>
      </c>
      <c r="X19" s="581" t="s">
        <v>278</v>
      </c>
      <c r="Y19" s="429">
        <f>IFERROR(IF(OR(DATE($B$9,MONTH(DATEVALUE(X19&amp;"1")),1)&lt;DATE(YEAR(EXPEDIENTE!$I$25),MONTH(EXPEDIENTE!$I$25),1),DATE($B$9,MONTH(DATEVALUE(X19&amp;"1")),1)&gt;DATE(YEAR(EXPEDIENTE!$I$27),MONTH(EXPEDIENTE!$I$27)+1,1)-1),0,ROUND('% DEDICACIÓN TRABAJADOR'!O39,4)),0)</f>
        <v>0</v>
      </c>
      <c r="Z19" s="430">
        <f>'GASTOS EJER. 1'!AW28+'GASTOS EJER. 1'!BM28-'GASTOS EJER. 1'!CM28-'GASTOS EJER. 1'!CP28</f>
        <v>0</v>
      </c>
      <c r="AA19" s="189" t="str">
        <f>IF('GASTOS EJER. 1'!CT28="","",'GASTOS EJER. 1'!CT28)</f>
        <v/>
      </c>
      <c r="AB19" s="431">
        <f>IF(AA19&lt;=EXPEDIENTE!$I$29,Z19,0)</f>
        <v>0</v>
      </c>
      <c r="AC19" s="432">
        <f>'GASTOS EJER. 1'!CP28</f>
        <v>0</v>
      </c>
      <c r="AD19" s="189" t="str">
        <f>IF('GASTOS EJER. 1'!CW28="","",'GASTOS EJER. 1'!CW28)</f>
        <v/>
      </c>
      <c r="AE19" s="431">
        <f>IF(AD19&lt;=EXPEDIENTE!$I$29,AC19,0)</f>
        <v>0</v>
      </c>
      <c r="AF19" s="433">
        <f>AUXILIAR!DQ32</f>
        <v>0</v>
      </c>
      <c r="AG19" s="432">
        <f>AUXILIAR!HZ31</f>
        <v>0</v>
      </c>
      <c r="AH19" s="189" t="str">
        <f>IF('GASTOS EJER. 1'!BF60="","",'GASTOS EJER. 1'!BF60)</f>
        <v/>
      </c>
      <c r="AI19" s="431">
        <f>IF(AH19&lt;=EXPEDIENTE!$I$29,AG19,0)</f>
        <v>0</v>
      </c>
      <c r="AJ19" s="434">
        <f>IF($AS$18=0,0,IF(AND($AS$20&gt;$AS$18,$AS$16=1100%),MIN(AUXILIAR!$P$17,ROUND($AS$18/$AS$20*(AB19+AE19+AF19+AI19)*(('IDENTIFICACIÓN TRABAJADOR'!$B$46+'IDENTIFICACIÓN TRABAJADOR'!$F$46)/('IDENTIFICACIÓN TRABAJADOR'!$E$31-'IDENTIFICACIÓN TRABAJADOR'!$B$46-'IDENTIFICACIÓN TRABAJADOR'!$F$46)),2)),MIN(AUXILIAR!$P$17,ROUND((AB19+AE19+AF19+AI19)*(('IDENTIFICACIÓN TRABAJADOR'!$B$46+'IDENTIFICACIÓN TRABAJADOR'!$F$46)/('IDENTIFICACIÓN TRABAJADOR'!$E$31-'IDENTIFICACIÓN TRABAJADOR'!$B$46-'IDENTIFICACIÓN TRABAJADOR'!$F$46)),2))))</f>
        <v>0</v>
      </c>
      <c r="AK19" s="433">
        <f>IF($AS$18=0,0,IF(AND($AS$20&gt;$AS$18,$AS$16=1100%),MIN(AUXILIAR!$P$17,ROUND($AS$18/$AS$20*(AB19+AE19+AF19+AI19)*(1+('IDENTIFICACIÓN TRABAJADOR'!$B$46+'IDENTIFICACIÓN TRABAJADOR'!$F$46)/('IDENTIFICACIÓN TRABAJADOR'!$E$31-'IDENTIFICACIÓN TRABAJADOR'!$B$46-'IDENTIFICACIÓN TRABAJADOR'!$F$46)),2)),MIN(AUXILIAR!$P$17,ROUND((AB19+AE19+AF19+AI19)*(1+('IDENTIFICACIÓN TRABAJADOR'!$B$46+'IDENTIFICACIÓN TRABAJADOR'!$F$46)/('IDENTIFICACIÓN TRABAJADOR'!$E$31-'IDENTIFICACIÓN TRABAJADOR'!$B$46-'IDENTIFICACIÓN TRABAJADOR'!$F$46)),2))))</f>
        <v>0</v>
      </c>
      <c r="AL19" s="570">
        <f t="shared" si="1"/>
        <v>0</v>
      </c>
      <c r="AM19" s="573">
        <f t="shared" si="2"/>
        <v>0</v>
      </c>
      <c r="AQ19" s="427" t="e">
        <f>ROUND(Y19*(AB19+AE19+AF19+AI19)*(1+('IDENTIFICACIÓN TRABAJADOR'!$B$46+'IDENTIFICACIÓN TRABAJADOR'!$F$46)/('IDENTIFICACIÓN TRABAJADOR'!$E$31-'IDENTIFICACIÓN TRABAJADOR'!$B$46-'IDENTIFICACIÓN TRABAJADOR'!$F$46)),2)</f>
        <v>#VALUE!</v>
      </c>
      <c r="AR19" s="305"/>
      <c r="AS19" s="84" t="s">
        <v>325</v>
      </c>
    </row>
    <row r="20" spans="2:45" ht="15" customHeight="1" x14ac:dyDescent="0.25">
      <c r="B20" s="428" t="s">
        <v>279</v>
      </c>
      <c r="C20" s="429">
        <f>IFERROR(IF(OR(DATE($B$9,MONTH(DATEVALUE(B20&amp;"1")),1)&lt;DATE(YEAR(EXPEDIENTE!$I$25),MONTH(EXPEDIENTE!$I$25),1),DATE($B$9,MONTH(DATEVALUE(B20&amp;"1")),1)&gt;DATE(YEAR(EXPEDIENTE!$I$27),MONTH(EXPEDIENTE!$I$27)+1,1)-1),0,ROUND('% DEDICACIÓN TRABAJADOR'!P39,4)),0)</f>
        <v>0</v>
      </c>
      <c r="D20" s="430">
        <f>'GASTOS EJER. 1'!F29+'GASTOS EJER. 1'!L29-'GASTOS EJER. 1'!X29-'GASTOS EJER. 1'!Y29</f>
        <v>0</v>
      </c>
      <c r="E20" s="189" t="str">
        <f>IF('GASTOS EJER. 1'!AA29="","",'GASTOS EJER. 1'!AA29)</f>
        <v/>
      </c>
      <c r="F20" s="431">
        <f>IF(E20&lt;=EXPEDIENTE!$I$29,D20,0)</f>
        <v>0</v>
      </c>
      <c r="G20" s="432">
        <f>'GASTOS EJER. 1'!Y29</f>
        <v>0</v>
      </c>
      <c r="H20" s="189" t="str">
        <f>IF('GASTOS EJER. 1'!AB29="","",'GASTOS EJER. 1'!AB29)</f>
        <v/>
      </c>
      <c r="I20" s="431">
        <f>IF(H20&lt;=EXPEDIENTE!$I$29,G20,0)</f>
        <v>0</v>
      </c>
      <c r="J20" s="433">
        <f>AUXILIAR!BX33</f>
        <v>0</v>
      </c>
      <c r="K20" s="432">
        <f>AUXILIAR!FU32</f>
        <v>0</v>
      </c>
      <c r="L20" s="189" t="str">
        <f>IF('GASTOS EJER. 1'!I61="","",'GASTOS EJER. 1'!I61)</f>
        <v/>
      </c>
      <c r="M20" s="431">
        <f>IF(L20&lt;=EXPEDIENTE!$I$29,K20,0)</f>
        <v>0</v>
      </c>
      <c r="N20" s="434">
        <f>IF($V$18=0,0,IF(AND($V$20&gt;$V$18,$V$16=1100%),MIN(AUXILIAR!$P$17,ROUND($V$18/$V$20*(F20+I20+J20+M20)*('IDENTIFICACIÓN TRABAJADOR'!$B$46+'IDENTIFICACIÓN TRABAJADOR'!$F$46)/('IDENTIFICACIÓN TRABAJADOR'!$E$31-'IDENTIFICACIÓN TRABAJADOR'!$B$46-'IDENTIFICACIÓN TRABAJADOR'!$F$46),2)),MIN(AUXILIAR!$P$17,ROUND((F20+I20+J20+M20)*('IDENTIFICACIÓN TRABAJADOR'!$B$46+'IDENTIFICACIÓN TRABAJADOR'!$F$46)/('IDENTIFICACIÓN TRABAJADOR'!$E$31-'IDENTIFICACIÓN TRABAJADOR'!$B$46-'IDENTIFICACIÓN TRABAJADOR'!$F$46),2))))</f>
        <v>0</v>
      </c>
      <c r="O20" s="433">
        <f>IF($V$18=0,0,IF(AND($V$20&gt;$V$18,$V$16=1100%),MIN(AUXILIAR!$P$17,ROUND($V$18/$V$20*(F20+I20+J20+M20)*(1+('IDENTIFICACIÓN TRABAJADOR'!$B$46+'IDENTIFICACIÓN TRABAJADOR'!$F$46)/('IDENTIFICACIÓN TRABAJADOR'!$E$31-'IDENTIFICACIÓN TRABAJADOR'!$B$46-'IDENTIFICACIÓN TRABAJADOR'!$F$46)),2)),MIN(AUXILIAR!$P$17,ROUND((F20+I20+J20+M20)*(1+('IDENTIFICACIÓN TRABAJADOR'!$B$46+'IDENTIFICACIÓN TRABAJADOR'!$F$46)/('IDENTIFICACIÓN TRABAJADOR'!$E$31-'IDENTIFICACIÓN TRABAJADOR'!$B$46-'IDENTIFICACIÓN TRABAJADOR'!$F$46)),2))))</f>
        <v>0</v>
      </c>
      <c r="P20" s="434">
        <f t="shared" si="0"/>
        <v>0</v>
      </c>
      <c r="T20" s="427" t="e">
        <f>ROUND(C20*(F20+I20+J20+M20)*(1+('IDENTIFICACIÓN TRABAJADOR'!$B$46+'IDENTIFICACIÓN TRABAJADOR'!$F$46)/('IDENTIFICACIÓN TRABAJADOR'!$E$31-'IDENTIFICACIÓN TRABAJADOR'!$B$46-'IDENTIFICACIÓN TRABAJADOR'!$F$46)),2)</f>
        <v>#VALUE!</v>
      </c>
      <c r="U20" s="305"/>
      <c r="V20" s="436" t="e">
        <f>SUM(T11:T22)</f>
        <v>#VALUE!</v>
      </c>
      <c r="X20" s="581" t="s">
        <v>279</v>
      </c>
      <c r="Y20" s="429">
        <f>IFERROR(IF(OR(DATE($B$9,MONTH(DATEVALUE(X20&amp;"1")),1)&lt;DATE(YEAR(EXPEDIENTE!$I$25),MONTH(EXPEDIENTE!$I$25),1),DATE($B$9,MONTH(DATEVALUE(X20&amp;"1")),1)&gt;DATE(YEAR(EXPEDIENTE!$I$27),MONTH(EXPEDIENTE!$I$27)+1,1)-1),0,ROUND('% DEDICACIÓN TRABAJADOR'!P39,4)),0)</f>
        <v>0</v>
      </c>
      <c r="Z20" s="430">
        <f>'GASTOS EJER. 1'!AW29+'GASTOS EJER. 1'!BM29-'GASTOS EJER. 1'!CM29-'GASTOS EJER. 1'!CP29</f>
        <v>0</v>
      </c>
      <c r="AA20" s="189" t="str">
        <f>IF('GASTOS EJER. 1'!CT29="","",'GASTOS EJER. 1'!CT29)</f>
        <v/>
      </c>
      <c r="AB20" s="431">
        <f>IF(AA20&lt;=EXPEDIENTE!$I$29,Z20,0)</f>
        <v>0</v>
      </c>
      <c r="AC20" s="432">
        <f>'GASTOS EJER. 1'!CP29</f>
        <v>0</v>
      </c>
      <c r="AD20" s="189" t="str">
        <f>IF('GASTOS EJER. 1'!CW29="","",'GASTOS EJER. 1'!CW29)</f>
        <v/>
      </c>
      <c r="AE20" s="431">
        <f>IF(AD20&lt;=EXPEDIENTE!$I$29,AC20,0)</f>
        <v>0</v>
      </c>
      <c r="AF20" s="433">
        <f>AUXILIAR!DQ33</f>
        <v>0</v>
      </c>
      <c r="AG20" s="432">
        <f>AUXILIAR!HZ32</f>
        <v>0</v>
      </c>
      <c r="AH20" s="189" t="str">
        <f>IF('GASTOS EJER. 1'!BF61="","",'GASTOS EJER. 1'!BF61)</f>
        <v/>
      </c>
      <c r="AI20" s="431">
        <f>IF(AH20&lt;=EXPEDIENTE!$I$29,AG20,0)</f>
        <v>0</v>
      </c>
      <c r="AJ20" s="434">
        <f>IF($AS$18=0,0,IF(AND($AS$20&gt;$AS$18,$AS$16=1100%),MIN(AUXILIAR!$P$17,ROUND($AS$18/$AS$20*(AB20+AE20+AF20+AI20)*(('IDENTIFICACIÓN TRABAJADOR'!$B$46+'IDENTIFICACIÓN TRABAJADOR'!$F$46)/('IDENTIFICACIÓN TRABAJADOR'!$E$31-'IDENTIFICACIÓN TRABAJADOR'!$B$46-'IDENTIFICACIÓN TRABAJADOR'!$F$46)),2)),MIN(AUXILIAR!$P$17,ROUND((AB20+AE20+AF20+AI20)*(('IDENTIFICACIÓN TRABAJADOR'!$B$46+'IDENTIFICACIÓN TRABAJADOR'!$F$46)/('IDENTIFICACIÓN TRABAJADOR'!$E$31-'IDENTIFICACIÓN TRABAJADOR'!$B$46-'IDENTIFICACIÓN TRABAJADOR'!$F$46)),2))))</f>
        <v>0</v>
      </c>
      <c r="AK20" s="433">
        <f>IF($AS$18=0,0,IF(AND($AS$20&gt;$AS$18,$AS$16=1100%),MIN(AUXILIAR!$P$17,ROUND($AS$18/$AS$20*(AB20+AE20+AF20+AI20)*(1+('IDENTIFICACIÓN TRABAJADOR'!$B$46+'IDENTIFICACIÓN TRABAJADOR'!$F$46)/('IDENTIFICACIÓN TRABAJADOR'!$E$31-'IDENTIFICACIÓN TRABAJADOR'!$B$46-'IDENTIFICACIÓN TRABAJADOR'!$F$46)),2)),MIN(AUXILIAR!$P$17,ROUND((AB20+AE20+AF20+AI20)*(1+('IDENTIFICACIÓN TRABAJADOR'!$B$46+'IDENTIFICACIÓN TRABAJADOR'!$F$46)/('IDENTIFICACIÓN TRABAJADOR'!$E$31-'IDENTIFICACIÓN TRABAJADOR'!$B$46-'IDENTIFICACIÓN TRABAJADOR'!$F$46)),2))))</f>
        <v>0</v>
      </c>
      <c r="AL20" s="570">
        <f t="shared" si="1"/>
        <v>0</v>
      </c>
      <c r="AM20" s="573">
        <f t="shared" si="2"/>
        <v>0</v>
      </c>
      <c r="AQ20" s="427" t="e">
        <f>ROUND(Y20*(AB20+AE20+AF20+AI20)*(1+('IDENTIFICACIÓN TRABAJADOR'!$B$46+'IDENTIFICACIÓN TRABAJADOR'!$F$46)/('IDENTIFICACIÓN TRABAJADOR'!$E$31-'IDENTIFICACIÓN TRABAJADOR'!$B$46-'IDENTIFICACIÓN TRABAJADOR'!$F$46)),2)</f>
        <v>#VALUE!</v>
      </c>
      <c r="AR20" s="305"/>
      <c r="AS20" s="436" t="e">
        <f>SUM(AQ11:AQ22)</f>
        <v>#VALUE!</v>
      </c>
    </row>
    <row r="21" spans="2:45" ht="15" customHeight="1" x14ac:dyDescent="0.25">
      <c r="B21" s="428" t="s">
        <v>280</v>
      </c>
      <c r="C21" s="429">
        <f>IFERROR(IF(OR(DATE($B$9,MONTH(DATEVALUE(B21&amp;"1")),1)&lt;DATE(YEAR(EXPEDIENTE!$I$25),MONTH(EXPEDIENTE!$I$25),1),DATE($B$9,MONTH(DATEVALUE(B21&amp;"1")),1)&gt;DATE(YEAR(EXPEDIENTE!$I$27),MONTH(EXPEDIENTE!$I$27)+1,1)-1),0,ROUND('% DEDICACIÓN TRABAJADOR'!Q39,4)),0)</f>
        <v>0</v>
      </c>
      <c r="D21" s="430">
        <f>'GASTOS EJER. 1'!F30+'GASTOS EJER. 1'!L30-'GASTOS EJER. 1'!X30-'GASTOS EJER. 1'!Y30</f>
        <v>0</v>
      </c>
      <c r="E21" s="189" t="str">
        <f>IF('GASTOS EJER. 1'!AA30="","",'GASTOS EJER. 1'!AA30)</f>
        <v/>
      </c>
      <c r="F21" s="431">
        <f>IF(E21&lt;=EXPEDIENTE!$I$29,D21,0)</f>
        <v>0</v>
      </c>
      <c r="G21" s="432">
        <f>'GASTOS EJER. 1'!Y30</f>
        <v>0</v>
      </c>
      <c r="H21" s="189" t="str">
        <f>IF('GASTOS EJER. 1'!AB30="","",'GASTOS EJER. 1'!AB30)</f>
        <v/>
      </c>
      <c r="I21" s="431">
        <f>IF(H21&lt;=EXPEDIENTE!$I$29,G21,0)</f>
        <v>0</v>
      </c>
      <c r="J21" s="433">
        <f>AUXILIAR!BX34</f>
        <v>0</v>
      </c>
      <c r="K21" s="432">
        <f>AUXILIAR!FU33</f>
        <v>0</v>
      </c>
      <c r="L21" s="189" t="str">
        <f>IF('GASTOS EJER. 1'!I62="","",'GASTOS EJER. 1'!I62)</f>
        <v/>
      </c>
      <c r="M21" s="431">
        <f>IF(L21&lt;=EXPEDIENTE!$I$29,K21,0)</f>
        <v>0</v>
      </c>
      <c r="N21" s="434">
        <f>IF($V$18=0,0,IF(AND($V$20&gt;$V$18,$V$16=1100%),MIN(AUXILIAR!$P$17,ROUND($V$18/$V$20*(F21+I21+J21+M21)*('IDENTIFICACIÓN TRABAJADOR'!$B$46+'IDENTIFICACIÓN TRABAJADOR'!$F$46)/('IDENTIFICACIÓN TRABAJADOR'!$E$31-'IDENTIFICACIÓN TRABAJADOR'!$B$46-'IDENTIFICACIÓN TRABAJADOR'!$F$46),2)),MIN(AUXILIAR!$P$17,ROUND((F21+I21+J21+M21)*('IDENTIFICACIÓN TRABAJADOR'!$B$46+'IDENTIFICACIÓN TRABAJADOR'!$F$46)/('IDENTIFICACIÓN TRABAJADOR'!$E$31-'IDENTIFICACIÓN TRABAJADOR'!$B$46-'IDENTIFICACIÓN TRABAJADOR'!$F$46),2))))</f>
        <v>0</v>
      </c>
      <c r="O21" s="433">
        <f>IF($V$18=0,0,IF(AND($V$20&gt;$V$18,$V$16=1100%),MIN(AUXILIAR!$P$17,ROUND($V$18/$V$20*(F21+I21+J21+M21)*(1+('IDENTIFICACIÓN TRABAJADOR'!$B$46+'IDENTIFICACIÓN TRABAJADOR'!$F$46)/('IDENTIFICACIÓN TRABAJADOR'!$E$31-'IDENTIFICACIÓN TRABAJADOR'!$B$46-'IDENTIFICACIÓN TRABAJADOR'!$F$46)),2)),MIN(AUXILIAR!$P$17,ROUND((F21+I21+J21+M21)*(1+('IDENTIFICACIÓN TRABAJADOR'!$B$46+'IDENTIFICACIÓN TRABAJADOR'!$F$46)/('IDENTIFICACIÓN TRABAJADOR'!$E$31-'IDENTIFICACIÓN TRABAJADOR'!$B$46-'IDENTIFICACIÓN TRABAJADOR'!$F$46)),2))))</f>
        <v>0</v>
      </c>
      <c r="P21" s="434">
        <f t="shared" si="0"/>
        <v>0</v>
      </c>
      <c r="T21" s="427" t="e">
        <f>ROUND(C21*(F21+I21+J21+M21)*(1+('IDENTIFICACIÓN TRABAJADOR'!$B$46+'IDENTIFICACIÓN TRABAJADOR'!$F$46)/('IDENTIFICACIÓN TRABAJADOR'!$E$31-'IDENTIFICACIÓN TRABAJADOR'!$B$46-'IDENTIFICACIÓN TRABAJADOR'!$F$46)),2)</f>
        <v>#VALUE!</v>
      </c>
      <c r="U21" s="305"/>
      <c r="V21" s="84" t="s">
        <v>326</v>
      </c>
      <c r="X21" s="581" t="s">
        <v>280</v>
      </c>
      <c r="Y21" s="429">
        <f>IFERROR(IF(OR(DATE($B$9,MONTH(DATEVALUE(X21&amp;"1")),1)&lt;DATE(YEAR(EXPEDIENTE!$I$25),MONTH(EXPEDIENTE!$I$25),1),DATE($B$9,MONTH(DATEVALUE(X21&amp;"1")),1)&gt;DATE(YEAR(EXPEDIENTE!$I$27),MONTH(EXPEDIENTE!$I$27)+1,1)-1),0,ROUND('% DEDICACIÓN TRABAJADOR'!Q39,4)),0)</f>
        <v>0</v>
      </c>
      <c r="Z21" s="430">
        <f>'GASTOS EJER. 1'!AW30+'GASTOS EJER. 1'!BM30-'GASTOS EJER. 1'!CM30-'GASTOS EJER. 1'!CP30</f>
        <v>0</v>
      </c>
      <c r="AA21" s="189" t="str">
        <f>IF('GASTOS EJER. 1'!CT30="","",'GASTOS EJER. 1'!CT30)</f>
        <v/>
      </c>
      <c r="AB21" s="431">
        <f>IF(AA21&lt;=EXPEDIENTE!$I$29,Z21,0)</f>
        <v>0</v>
      </c>
      <c r="AC21" s="432">
        <f>'GASTOS EJER. 1'!CP30</f>
        <v>0</v>
      </c>
      <c r="AD21" s="189" t="str">
        <f>IF('GASTOS EJER. 1'!CW30="","",'GASTOS EJER. 1'!CW30)</f>
        <v/>
      </c>
      <c r="AE21" s="431">
        <f>IF(AD21&lt;=EXPEDIENTE!$I$29,AC21,0)</f>
        <v>0</v>
      </c>
      <c r="AF21" s="433">
        <f>AUXILIAR!DQ34</f>
        <v>0</v>
      </c>
      <c r="AG21" s="432">
        <f>AUXILIAR!HZ33</f>
        <v>0</v>
      </c>
      <c r="AH21" s="189" t="str">
        <f>IF('GASTOS EJER. 1'!BF62="","",'GASTOS EJER. 1'!BF62)</f>
        <v/>
      </c>
      <c r="AI21" s="431">
        <f>IF(AH21&lt;=EXPEDIENTE!$I$29,AG21,0)</f>
        <v>0</v>
      </c>
      <c r="AJ21" s="434">
        <f>IF($AS$18=0,0,IF(AND($AS$20&gt;$AS$18,$AS$16=1100%),MIN(AUXILIAR!$P$17,ROUND($AS$18/$AS$20*(AB21+AE21+AF21+AI21)*(('IDENTIFICACIÓN TRABAJADOR'!$B$46+'IDENTIFICACIÓN TRABAJADOR'!$F$46)/('IDENTIFICACIÓN TRABAJADOR'!$E$31-'IDENTIFICACIÓN TRABAJADOR'!$B$46-'IDENTIFICACIÓN TRABAJADOR'!$F$46)),2)),MIN(AUXILIAR!$P$17,ROUND((AB21+AE21+AF21+AI21)*(('IDENTIFICACIÓN TRABAJADOR'!$B$46+'IDENTIFICACIÓN TRABAJADOR'!$F$46)/('IDENTIFICACIÓN TRABAJADOR'!$E$31-'IDENTIFICACIÓN TRABAJADOR'!$B$46-'IDENTIFICACIÓN TRABAJADOR'!$F$46)),2))))</f>
        <v>0</v>
      </c>
      <c r="AK21" s="433">
        <f>IF($AS$18=0,0,IF(AND($AS$20&gt;$AS$18,$AS$16=1100%),MIN(AUXILIAR!$P$17,ROUND($AS$18/$AS$20*(AB21+AE21+AF21+AI21)*(1+('IDENTIFICACIÓN TRABAJADOR'!$B$46+'IDENTIFICACIÓN TRABAJADOR'!$F$46)/('IDENTIFICACIÓN TRABAJADOR'!$E$31-'IDENTIFICACIÓN TRABAJADOR'!$B$46-'IDENTIFICACIÓN TRABAJADOR'!$F$46)),2)),MIN(AUXILIAR!$P$17,ROUND((AB21+AE21+AF21+AI21)*(1+('IDENTIFICACIÓN TRABAJADOR'!$B$46+'IDENTIFICACIÓN TRABAJADOR'!$F$46)/('IDENTIFICACIÓN TRABAJADOR'!$E$31-'IDENTIFICACIÓN TRABAJADOR'!$B$46-'IDENTIFICACIÓN TRABAJADOR'!$F$46)),2))))</f>
        <v>0</v>
      </c>
      <c r="AL21" s="570">
        <f t="shared" si="1"/>
        <v>0</v>
      </c>
      <c r="AM21" s="573">
        <f t="shared" si="2"/>
        <v>0</v>
      </c>
      <c r="AQ21" s="427" t="e">
        <f>ROUND(Y21*(AB21+AE21+AF21+AI21)*(1+('IDENTIFICACIÓN TRABAJADOR'!$B$46+'IDENTIFICACIÓN TRABAJADOR'!$F$46)/('IDENTIFICACIÓN TRABAJADOR'!$E$31-'IDENTIFICACIÓN TRABAJADOR'!$B$46-'IDENTIFICACIÓN TRABAJADOR'!$F$46)),2)</f>
        <v>#VALUE!</v>
      </c>
      <c r="AR21" s="305"/>
      <c r="AS21" s="84" t="s">
        <v>326</v>
      </c>
    </row>
    <row r="22" spans="2:45" ht="15" customHeight="1" thickBot="1" x14ac:dyDescent="0.3">
      <c r="B22" s="437" t="s">
        <v>281</v>
      </c>
      <c r="C22" s="438">
        <f>IFERROR(IF(OR(DATE($B$9,MONTH(DATEVALUE(B22&amp;"1")),1)&lt;DATE(YEAR(EXPEDIENTE!$I$25),MONTH(EXPEDIENTE!$I$25),1),DATE($B$9,MONTH(DATEVALUE(B22&amp;"1")),1)&gt;DATE(YEAR(EXPEDIENTE!$I$27),MONTH(EXPEDIENTE!$I$27)+1,1)-1),0,ROUND('% DEDICACIÓN TRABAJADOR'!R39,4)),0)</f>
        <v>0</v>
      </c>
      <c r="D22" s="439">
        <f>'GASTOS EJER. 1'!F31+'GASTOS EJER. 1'!L31-'GASTOS EJER. 1'!X31-'GASTOS EJER. 1'!Y31</f>
        <v>0</v>
      </c>
      <c r="E22" s="237" t="str">
        <f>IF('GASTOS EJER. 1'!AA31="","",'GASTOS EJER. 1'!AA31)</f>
        <v/>
      </c>
      <c r="F22" s="440">
        <f>IF(E22&lt;=EXPEDIENTE!$I$29,D22,0)</f>
        <v>0</v>
      </c>
      <c r="G22" s="441">
        <f>'GASTOS EJER. 1'!Y31</f>
        <v>0</v>
      </c>
      <c r="H22" s="237" t="str">
        <f>IF('GASTOS EJER. 1'!AB31="","",'GASTOS EJER. 1'!AB31)</f>
        <v/>
      </c>
      <c r="I22" s="440">
        <f>IF(H22&lt;=EXPEDIENTE!$I$29,G22,0)</f>
        <v>0</v>
      </c>
      <c r="J22" s="442">
        <f>AUXILIAR!BX35</f>
        <v>0</v>
      </c>
      <c r="K22" s="441">
        <f>AUXILIAR!FU34</f>
        <v>0</v>
      </c>
      <c r="L22" s="237" t="str">
        <f>IF('GASTOS EJER. 1'!I63="","",'GASTOS EJER. 1'!I63)</f>
        <v/>
      </c>
      <c r="M22" s="440">
        <f>IF(L22&lt;=EXPEDIENTE!$I$29,K22,0)</f>
        <v>0</v>
      </c>
      <c r="N22" s="443">
        <f>IF($V$18=0,0,IF(AND($V$20&gt;$V$18,$V$16=1100%),MIN(AUXILIAR!$P$17,ROUND($V$18/$V$20*(F22+I22+J22+M22)*('IDENTIFICACIÓN TRABAJADOR'!$B$46+'IDENTIFICACIÓN TRABAJADOR'!$F$46)/('IDENTIFICACIÓN TRABAJADOR'!$E$31-'IDENTIFICACIÓN TRABAJADOR'!$B$46-'IDENTIFICACIÓN TRABAJADOR'!$F$46),2)),MIN(AUXILIAR!$P$17,ROUND((F22+I22+J22+M22)*('IDENTIFICACIÓN TRABAJADOR'!$B$46+'IDENTIFICACIÓN TRABAJADOR'!$F$46)/('IDENTIFICACIÓN TRABAJADOR'!$E$31-'IDENTIFICACIÓN TRABAJADOR'!$B$46-'IDENTIFICACIÓN TRABAJADOR'!$F$46),2))))</f>
        <v>0</v>
      </c>
      <c r="O22" s="442">
        <f>IF($V$18=0,0,IF(AND($V$20&gt;$V$18,$V$16=1100%),MIN(AUXILIAR!$P$17,ROUND($V$18/$V$20*(F22+I22+J22+M22)*(1+('IDENTIFICACIÓN TRABAJADOR'!$B$46+'IDENTIFICACIÓN TRABAJADOR'!$F$46)/('IDENTIFICACIÓN TRABAJADOR'!$E$31-'IDENTIFICACIÓN TRABAJADOR'!$B$46-'IDENTIFICACIÓN TRABAJADOR'!$F$46)),2)),MIN(AUXILIAR!$P$17,ROUND((F22+I22+J22+M22)*(1+('IDENTIFICACIÓN TRABAJADOR'!$B$46+'IDENTIFICACIÓN TRABAJADOR'!$F$46)/('IDENTIFICACIÓN TRABAJADOR'!$E$31-'IDENTIFICACIÓN TRABAJADOR'!$B$46-'IDENTIFICACIÓN TRABAJADOR'!$F$46)),2))))</f>
        <v>0</v>
      </c>
      <c r="P22" s="443">
        <f t="shared" si="0"/>
        <v>0</v>
      </c>
      <c r="T22" s="427" t="e">
        <f>ROUND(C22*(F22+I22+J22+M22)*(1+('IDENTIFICACIÓN TRABAJADOR'!$B$46+'IDENTIFICACIÓN TRABAJADOR'!$F$46)/('IDENTIFICACIÓN TRABAJADOR'!$E$31-'IDENTIFICACIÓN TRABAJADOR'!$B$46-'IDENTIFICACIÓN TRABAJADOR'!$F$46)),2)</f>
        <v>#VALUE!</v>
      </c>
      <c r="U22" s="305"/>
      <c r="V22" s="84" t="e">
        <f>IF(V20=0,"",V18/V20)</f>
        <v>#VALUE!</v>
      </c>
      <c r="X22" s="582" t="s">
        <v>281</v>
      </c>
      <c r="Y22" s="438">
        <f>IFERROR(IF(OR(DATE($B$9,MONTH(DATEVALUE(X22&amp;"1")),1)&lt;DATE(YEAR(EXPEDIENTE!$I$25),MONTH(EXPEDIENTE!$I$25),1),DATE($B$9,MONTH(DATEVALUE(X22&amp;"1")),1)&gt;DATE(YEAR(EXPEDIENTE!$I$27),MONTH(EXPEDIENTE!$I$27)+1,1)-1),0,ROUND('% DEDICACIÓN TRABAJADOR'!R39,4)),0)</f>
        <v>0</v>
      </c>
      <c r="Z22" s="439">
        <f>'GASTOS EJER. 1'!AW31+'GASTOS EJER. 1'!BM31-'GASTOS EJER. 1'!CM31-'GASTOS EJER. 1'!CP31</f>
        <v>0</v>
      </c>
      <c r="AA22" s="237" t="str">
        <f>IF('GASTOS EJER. 1'!CT31="","",'GASTOS EJER. 1'!CT31)</f>
        <v/>
      </c>
      <c r="AB22" s="440">
        <f>IF(AA22&lt;=EXPEDIENTE!$I$29,Z22,0)</f>
        <v>0</v>
      </c>
      <c r="AC22" s="441">
        <f>'GASTOS EJER. 1'!CP31</f>
        <v>0</v>
      </c>
      <c r="AD22" s="237" t="str">
        <f>IF('GASTOS EJER. 1'!CW31="","",'GASTOS EJER. 1'!CW31)</f>
        <v/>
      </c>
      <c r="AE22" s="440">
        <f>IF(AD22&lt;=EXPEDIENTE!$I$29,AC22,0)</f>
        <v>0</v>
      </c>
      <c r="AF22" s="442">
        <f>AUXILIAR!DQ35</f>
        <v>0</v>
      </c>
      <c r="AG22" s="441">
        <f>AUXILIAR!HZ34</f>
        <v>0</v>
      </c>
      <c r="AH22" s="237" t="str">
        <f>IF('GASTOS EJER. 1'!BF63="","",'GASTOS EJER. 1'!BF63)</f>
        <v/>
      </c>
      <c r="AI22" s="440">
        <f>IF(AH22&lt;=EXPEDIENTE!$I$29,AG22,0)</f>
        <v>0</v>
      </c>
      <c r="AJ22" s="443">
        <f>IF($AS$18=0,0,IF(AND($AS$20&gt;$AS$18,$AS$16=1100%),MIN(AUXILIAR!$P$17,ROUND($AS$18/$AS$20*(AB22+AE22+AF22+AI22)*(('IDENTIFICACIÓN TRABAJADOR'!$B$46+'IDENTIFICACIÓN TRABAJADOR'!$F$46)/('IDENTIFICACIÓN TRABAJADOR'!$E$31-'IDENTIFICACIÓN TRABAJADOR'!$B$46-'IDENTIFICACIÓN TRABAJADOR'!$F$46)),2)),MIN(AUXILIAR!$P$17,ROUND((AB22+AE22+AF22+AI22)*(('IDENTIFICACIÓN TRABAJADOR'!$B$46+'IDENTIFICACIÓN TRABAJADOR'!$F$46)/('IDENTIFICACIÓN TRABAJADOR'!$E$31-'IDENTIFICACIÓN TRABAJADOR'!$B$46-'IDENTIFICACIÓN TRABAJADOR'!$F$46)),2))))</f>
        <v>0</v>
      </c>
      <c r="AK22" s="442">
        <f>IF($AS$18=0,0,IF(AND($AS$20&gt;$AS$18,$AS$16=1100%),MIN(AUXILIAR!$P$17,ROUND($AS$18/$AS$20*(AB22+AE22+AF22+AI22)*(1+('IDENTIFICACIÓN TRABAJADOR'!$B$46+'IDENTIFICACIÓN TRABAJADOR'!$F$46)/('IDENTIFICACIÓN TRABAJADOR'!$E$31-'IDENTIFICACIÓN TRABAJADOR'!$B$46-'IDENTIFICACIÓN TRABAJADOR'!$F$46)),2)),MIN(AUXILIAR!$P$17,ROUND((AB22+AE22+AF22+AI22)*(1+('IDENTIFICACIÓN TRABAJADOR'!$B$46+'IDENTIFICACIÓN TRABAJADOR'!$F$46)/('IDENTIFICACIÓN TRABAJADOR'!$E$31-'IDENTIFICACIÓN TRABAJADOR'!$B$46-'IDENTIFICACIÓN TRABAJADOR'!$F$46)),2))))</f>
        <v>0</v>
      </c>
      <c r="AL22" s="571">
        <f t="shared" si="1"/>
        <v>0</v>
      </c>
      <c r="AM22" s="574">
        <f t="shared" si="2"/>
        <v>0</v>
      </c>
      <c r="AQ22" s="427" t="e">
        <f>ROUND(Y22*(AB22+AE22+AF22+AI22)*(1+('IDENTIFICACIÓN TRABAJADOR'!$B$46+'IDENTIFICACIÓN TRABAJADOR'!$F$46)/('IDENTIFICACIÓN TRABAJADOR'!$E$31-'IDENTIFICACIÓN TRABAJADOR'!$B$46-'IDENTIFICACIÓN TRABAJADOR'!$F$46)),2)</f>
        <v>#VALUE!</v>
      </c>
      <c r="AR22" s="305"/>
      <c r="AS22" s="84" t="e">
        <f>IF(AS20=0,"",AS18/AS20)</f>
        <v>#VALUE!</v>
      </c>
    </row>
    <row r="23" spans="2:45" ht="15.75" thickBot="1" x14ac:dyDescent="0.3">
      <c r="M23" s="444"/>
      <c r="N23" s="444"/>
      <c r="O23" s="444"/>
      <c r="P23" s="444"/>
      <c r="V23" s="84" t="s">
        <v>327</v>
      </c>
      <c r="AI23" s="444"/>
      <c r="AJ23" s="444"/>
      <c r="AK23" s="444"/>
      <c r="AL23" s="444"/>
      <c r="AM23" s="444"/>
      <c r="AS23" s="84" t="s">
        <v>327</v>
      </c>
    </row>
    <row r="24" spans="2:45" ht="20.100000000000001" customHeight="1" thickBot="1" x14ac:dyDescent="0.3">
      <c r="G24" s="445"/>
      <c r="N24" s="446"/>
      <c r="O24" s="450" t="str">
        <f>CONCATENATE("TOTAL EJERCICIO ",B9)</f>
        <v>TOTAL EJERCICIO 2025</v>
      </c>
      <c r="P24" s="449">
        <f>SUM(P11:P22)</f>
        <v>0</v>
      </c>
      <c r="R24" s="82" t="str">
        <f>IF(V24&gt;0,"EXISTE ALGÚN % DE DEDICACIÓN SUPERIOR AL 100% EN ESTE EJERCICIO","")</f>
        <v/>
      </c>
      <c r="U24" s="81"/>
      <c r="V24" s="84">
        <f>'% DEDICACIÓN TRABAJADOR'!$B$39</f>
        <v>0</v>
      </c>
      <c r="AC24" s="445"/>
      <c r="AJ24" s="1050" t="str">
        <f>CONCATENATE("TOTAL EJERCICIO ",X9)</f>
        <v>TOTAL EJERCICIO 2025</v>
      </c>
      <c r="AK24" s="1051"/>
      <c r="AL24" s="576">
        <f>SUM(AL11:AL22)</f>
        <v>0</v>
      </c>
      <c r="AM24" s="577">
        <f>SUM(AM11:AM22)</f>
        <v>0</v>
      </c>
      <c r="AO24" s="82" t="str">
        <f>IF(AS24&gt;0,"EXISTE ALGÚN % DE DEDICACIÓN SUPERIOR AL 100% EN ESTE EJERCICIO","")</f>
        <v/>
      </c>
      <c r="AR24" s="81"/>
      <c r="AS24" s="84">
        <f>'% DEDICACIÓN TRABAJADOR'!$B$39</f>
        <v>0</v>
      </c>
    </row>
    <row r="25" spans="2:45" ht="15" customHeight="1" x14ac:dyDescent="0.25">
      <c r="T25" s="116"/>
      <c r="U25" s="116"/>
      <c r="V25" s="412"/>
      <c r="AQ25" s="116"/>
      <c r="AR25" s="116"/>
      <c r="AS25" s="412"/>
    </row>
    <row r="26" spans="2:45" ht="15" customHeight="1" x14ac:dyDescent="0.25">
      <c r="T26" s="116"/>
      <c r="U26" s="116"/>
      <c r="V26" s="412"/>
      <c r="AQ26" s="116"/>
      <c r="AR26" s="116"/>
      <c r="AS26" s="412"/>
    </row>
    <row r="27" spans="2:45" ht="15" customHeight="1" x14ac:dyDescent="0.25">
      <c r="T27" s="116"/>
      <c r="U27" s="116"/>
      <c r="V27" s="412"/>
      <c r="AQ27" s="116"/>
      <c r="AR27" s="116"/>
      <c r="AS27" s="412"/>
    </row>
    <row r="28" spans="2:45" ht="15" customHeight="1" x14ac:dyDescent="0.25">
      <c r="E28" s="290"/>
      <c r="F28" s="291"/>
      <c r="T28" s="116"/>
      <c r="U28" s="116"/>
      <c r="V28" s="412"/>
      <c r="AA28" s="290"/>
      <c r="AB28" s="291"/>
      <c r="AQ28" s="116"/>
      <c r="AR28" s="116"/>
      <c r="AS28" s="412"/>
    </row>
    <row r="29" spans="2:45" ht="15" customHeight="1" x14ac:dyDescent="0.25">
      <c r="D29" s="552" t="str">
        <f>D5</f>
        <v/>
      </c>
      <c r="E29" s="413"/>
      <c r="F29" s="84"/>
      <c r="T29" s="116"/>
      <c r="U29" s="116"/>
      <c r="V29" s="412"/>
      <c r="Z29" s="552" t="str">
        <f>Z5</f>
        <v/>
      </c>
      <c r="AA29" s="413"/>
      <c r="AB29" s="84"/>
      <c r="AQ29" s="116"/>
      <c r="AR29" s="116"/>
      <c r="AS29" s="412"/>
    </row>
    <row r="30" spans="2:45" ht="15" customHeight="1" x14ac:dyDescent="0.25">
      <c r="E30" s="293"/>
      <c r="F30" s="84"/>
      <c r="T30" s="116"/>
      <c r="U30" s="116"/>
      <c r="V30" s="412"/>
      <c r="AA30" s="293"/>
      <c r="AB30" s="84"/>
      <c r="AQ30" s="116"/>
      <c r="AR30" s="116"/>
      <c r="AS30" s="412"/>
    </row>
    <row r="31" spans="2:45" ht="15" customHeight="1" x14ac:dyDescent="0.25">
      <c r="D31" s="126" t="str">
        <f>D7</f>
        <v>TRABAJADOR:</v>
      </c>
      <c r="E31" s="293"/>
      <c r="F31" s="84"/>
      <c r="T31" s="1069" t="s">
        <v>304</v>
      </c>
      <c r="U31" s="116"/>
      <c r="V31" s="412"/>
      <c r="Z31" s="126" t="str">
        <f>Z7</f>
        <v>TRABAJADOR:</v>
      </c>
      <c r="AA31" s="293"/>
      <c r="AB31" s="84"/>
      <c r="AQ31" s="1069" t="s">
        <v>304</v>
      </c>
      <c r="AR31" s="116"/>
      <c r="AS31" s="412"/>
    </row>
    <row r="32" spans="2:45" ht="15" customHeight="1" thickBot="1" x14ac:dyDescent="0.3">
      <c r="D32" s="294"/>
      <c r="E32" s="293"/>
      <c r="F32" s="84"/>
      <c r="T32" s="1069"/>
      <c r="U32" s="116"/>
      <c r="V32" s="412"/>
      <c r="Z32" s="294"/>
      <c r="AA32" s="293"/>
      <c r="AB32" s="84"/>
      <c r="AQ32" s="1069"/>
      <c r="AR32" s="116"/>
      <c r="AS32" s="412"/>
    </row>
    <row r="33" spans="2:45" s="131" customFormat="1" ht="30" customHeight="1" x14ac:dyDescent="0.25">
      <c r="B33" s="1070">
        <f>$B$9+1</f>
        <v>2026</v>
      </c>
      <c r="C33" s="1052" t="str">
        <f>CONCATENATE("PORCENTAJE
DEDICACIÓN
MENSUAL EJERCICIO ",B33)</f>
        <v>PORCENTAJE
DEDICACIÓN
MENSUAL EJERCICIO 2026</v>
      </c>
      <c r="D33" s="1056" t="s">
        <v>305</v>
      </c>
      <c r="E33" s="1057"/>
      <c r="F33" s="1058"/>
      <c r="G33" s="1072" t="s">
        <v>306</v>
      </c>
      <c r="H33" s="1073"/>
      <c r="I33" s="1074"/>
      <c r="J33" s="414" t="s">
        <v>307</v>
      </c>
      <c r="K33" s="1056" t="s">
        <v>308</v>
      </c>
      <c r="L33" s="1057"/>
      <c r="M33" s="1058"/>
      <c r="N33" s="1075" t="s">
        <v>309</v>
      </c>
      <c r="O33" s="1052" t="s">
        <v>310</v>
      </c>
      <c r="P33" s="1054" t="s">
        <v>311</v>
      </c>
      <c r="S33" s="116"/>
      <c r="T33" s="1069"/>
      <c r="X33" s="1065">
        <f>$B$9+1</f>
        <v>2026</v>
      </c>
      <c r="Y33" s="1067" t="str">
        <f>CONCATENATE("PORCENTAJE
DEDICACIÓN
MENSUAL EJERCICIO ",X33)</f>
        <v>PORCENTAJE
DEDICACIÓN
MENSUAL EJERCICIO 2026</v>
      </c>
      <c r="Z33" s="1062" t="s">
        <v>305</v>
      </c>
      <c r="AA33" s="1063"/>
      <c r="AB33" s="1064"/>
      <c r="AC33" s="1059" t="s">
        <v>306</v>
      </c>
      <c r="AD33" s="1060"/>
      <c r="AE33" s="1061"/>
      <c r="AF33" s="563" t="s">
        <v>307</v>
      </c>
      <c r="AG33" s="1062" t="s">
        <v>308</v>
      </c>
      <c r="AH33" s="1063"/>
      <c r="AI33" s="1064"/>
      <c r="AJ33" s="1048" t="s">
        <v>309</v>
      </c>
      <c r="AK33" s="1067" t="s">
        <v>312</v>
      </c>
      <c r="AL33" s="1077" t="s">
        <v>313</v>
      </c>
      <c r="AM33" s="1054" t="s">
        <v>314</v>
      </c>
      <c r="AP33" s="116"/>
      <c r="AQ33" s="1069"/>
    </row>
    <row r="34" spans="2:45" s="412" customFormat="1" ht="65.099999999999994" customHeight="1" thickBot="1" x14ac:dyDescent="0.3">
      <c r="B34" s="1071"/>
      <c r="C34" s="1053"/>
      <c r="D34" s="415" t="s">
        <v>315</v>
      </c>
      <c r="E34" s="374" t="s">
        <v>200</v>
      </c>
      <c r="F34" s="416" t="s">
        <v>316</v>
      </c>
      <c r="G34" s="417" t="s">
        <v>317</v>
      </c>
      <c r="H34" s="374" t="s">
        <v>318</v>
      </c>
      <c r="I34" s="418" t="s">
        <v>319</v>
      </c>
      <c r="J34" s="419" t="s">
        <v>320</v>
      </c>
      <c r="K34" s="417" t="s">
        <v>321</v>
      </c>
      <c r="L34" s="374" t="s">
        <v>295</v>
      </c>
      <c r="M34" s="418" t="s">
        <v>322</v>
      </c>
      <c r="N34" s="1076"/>
      <c r="O34" s="1053"/>
      <c r="P34" s="1055"/>
      <c r="S34" s="116"/>
      <c r="T34" s="85" t="e">
        <f>(1+('IDENTIFICACIÓN TRABAJADOR'!$H$46+'IDENTIFICACIÓN TRABAJADOR'!$L$46)/('IDENTIFICACIÓN TRABAJADOR'!$E$35-'IDENTIFICACIÓN TRABAJADOR'!$H$46-'IDENTIFICACIÓN TRABAJADOR'!$L$46))</f>
        <v>#VALUE!</v>
      </c>
      <c r="X34" s="1066"/>
      <c r="Y34" s="1068"/>
      <c r="Z34" s="564" t="s">
        <v>315</v>
      </c>
      <c r="AA34" s="555" t="s">
        <v>200</v>
      </c>
      <c r="AB34" s="565" t="s">
        <v>316</v>
      </c>
      <c r="AC34" s="566" t="s">
        <v>317</v>
      </c>
      <c r="AD34" s="555" t="s">
        <v>318</v>
      </c>
      <c r="AE34" s="567" t="s">
        <v>319</v>
      </c>
      <c r="AF34" s="568" t="s">
        <v>320</v>
      </c>
      <c r="AG34" s="566" t="s">
        <v>321</v>
      </c>
      <c r="AH34" s="555" t="s">
        <v>295</v>
      </c>
      <c r="AI34" s="567" t="s">
        <v>322</v>
      </c>
      <c r="AJ34" s="1049"/>
      <c r="AK34" s="1068"/>
      <c r="AL34" s="1078"/>
      <c r="AM34" s="1055"/>
      <c r="AP34" s="116"/>
      <c r="AQ34" s="85" t="e">
        <f>(1+('IDENTIFICACIÓN TRABAJADOR'!$H$46+'IDENTIFICACIÓN TRABAJADOR'!$L$46)/('IDENTIFICACIÓN TRABAJADOR'!$E$35-'IDENTIFICACIÓN TRABAJADOR'!$H$46-'IDENTIFICACIÓN TRABAJADOR'!$L$46))</f>
        <v>#VALUE!</v>
      </c>
    </row>
    <row r="35" spans="2:45" ht="15" customHeight="1" x14ac:dyDescent="0.25">
      <c r="B35" s="420" t="s">
        <v>270</v>
      </c>
      <c r="C35" s="421">
        <f>IFERROR(IF(OR(DATE($B$33,MONTH(DATEVALUE(B35&amp;"1")),1)&lt;DATE(YEAR(EXPEDIENTE!$I$25),MONTH(EXPEDIENTE!$I$25),1),DATE($B$33,MONTH(DATEVALUE(B35&amp;"1")),1)&gt;DATE(YEAR(EXPEDIENTE!$I$27),MONTH(EXPEDIENTE!$I$27)+1,1)-1),0,ROUND('% DEDICACIÓN TRABAJADOR'!G41,4)),0)</f>
        <v>0</v>
      </c>
      <c r="D35" s="424">
        <f>'GASTOS EJER. 2'!F20+'GASTOS EJER. 2'!L20-'GASTOS EJER. 2'!X20-'GASTOS EJER. 2'!Y20</f>
        <v>0</v>
      </c>
      <c r="E35" s="259" t="str">
        <f>IF('GASTOS EJER. 2'!AA20="","",'GASTOS EJER. 2'!AA20)</f>
        <v/>
      </c>
      <c r="F35" s="423">
        <f>IF(E35&lt;=EXPEDIENTE!$I$29,D35,0)</f>
        <v>0</v>
      </c>
      <c r="G35" s="424">
        <f>'GASTOS EJER. 2'!Y20</f>
        <v>0</v>
      </c>
      <c r="H35" s="259" t="str">
        <f>IF('GASTOS EJER. 2'!AB20="","",'GASTOS EJER. 2'!AB20)</f>
        <v/>
      </c>
      <c r="I35" s="423">
        <f>IF(H35&lt;=EXPEDIENTE!$I$29,G35,0)</f>
        <v>0</v>
      </c>
      <c r="J35" s="425">
        <f>AUXILIAR!BX40</f>
        <v>0</v>
      </c>
      <c r="K35" s="424">
        <f>AUXILIAR!FU39</f>
        <v>0</v>
      </c>
      <c r="L35" s="259" t="str">
        <f>IF('GASTOS EJER. 2'!I52="","",'GASTOS EJER. 2'!I52)</f>
        <v/>
      </c>
      <c r="M35" s="423">
        <f>IF(L35&lt;=EXPEDIENTE!$I$29,K35,0)</f>
        <v>0</v>
      </c>
      <c r="N35" s="426">
        <f>IF($V$42=0,0,IF(AND($V$44&gt;$V$42,$V$40=1100%),MIN(AUXILIAR!$P$17,ROUND($V$42/$V$44*(F35+I35+J35+M35)*('IDENTIFICACIÓN TRABAJADOR'!$H$46+'IDENTIFICACIÓN TRABAJADOR'!$L$46)/('IDENTIFICACIÓN TRABAJADOR'!$E$35-'IDENTIFICACIÓN TRABAJADOR'!$H$46-'IDENTIFICACIÓN TRABAJADOR'!$L$46),2)),MIN(AUXILIAR!$P$17,ROUND((F35+I35+J35+M35)*('IDENTIFICACIÓN TRABAJADOR'!$H$46+'IDENTIFICACIÓN TRABAJADOR'!$L$46)/('IDENTIFICACIÓN TRABAJADOR'!$E$35-'IDENTIFICACIÓN TRABAJADOR'!$H$46-'IDENTIFICACIÓN TRABAJADOR'!$L$46),2))))</f>
        <v>0</v>
      </c>
      <c r="O35" s="425">
        <f>IF($V$42=0,0,IF(AND($V$44&gt;$V$42,$V$40=1100%),MIN(AUXILIAR!$P$17,ROUND($V$42/$V$44*(F35+I35+J35+M35)*(1+('IDENTIFICACIÓN TRABAJADOR'!$H$46+'IDENTIFICACIÓN TRABAJADOR'!$L$46)/('IDENTIFICACIÓN TRABAJADOR'!$E$35-'IDENTIFICACIÓN TRABAJADOR'!$H$46-'IDENTIFICACIÓN TRABAJADOR'!$L$46)),2)),MIN(AUXILIAR!$P$17,ROUND((F35+I35+J35+M35)*(1+('IDENTIFICACIÓN TRABAJADOR'!$H$46+'IDENTIFICACIÓN TRABAJADOR'!$L$46)/('IDENTIFICACIÓN TRABAJADOR'!$E$35-'IDENTIFICACIÓN TRABAJADOR'!$H$46-'IDENTIFICACIÓN TRABAJADOR'!$L$46)),2))))</f>
        <v>0</v>
      </c>
      <c r="P35" s="426">
        <f t="shared" ref="P35:P46" si="3">IF($V$48&gt;0,0,ROUND(C35*O35,2))</f>
        <v>0</v>
      </c>
      <c r="Q35" s="412"/>
      <c r="S35" s="116"/>
      <c r="T35" s="427" t="e">
        <f>ROUND(C35*(F35+I35+J35+M35)*(1+('IDENTIFICACIÓN TRABAJADOR'!$H$46+'IDENTIFICACIÓN TRABAJADOR'!$L$46)/('IDENTIFICACIÓN TRABAJADOR'!$E$35-'IDENTIFICACIÓN TRABAJADOR'!$H$46-'IDENTIFICACIÓN TRABAJADOR'!$L$46)),2)</f>
        <v>#VALUE!</v>
      </c>
      <c r="U35" s="412"/>
      <c r="V35" s="412"/>
      <c r="X35" s="580" t="s">
        <v>270</v>
      </c>
      <c r="Y35" s="421">
        <f>IFERROR(IF(OR(DATE($B$33,MONTH(DATEVALUE(X35&amp;"1")),1)&lt;DATE(YEAR(EXPEDIENTE!$I$25),MONTH(EXPEDIENTE!$I$25),1),DATE($B$33,MONTH(DATEVALUE(X35&amp;"1")),1)&gt;DATE(YEAR(EXPEDIENTE!$I$27),MONTH(EXPEDIENTE!$I$27)+1,1)-1),0,ROUND('% DEDICACIÓN TRABAJADOR'!G41,4)),0)</f>
        <v>0</v>
      </c>
      <c r="Z35" s="424">
        <f>'GASTOS EJER. 2'!AW20+'GASTOS EJER. 2'!BM20-'GASTOS EJER. 2'!CM20-'GASTOS EJER. 2'!CP20</f>
        <v>0</v>
      </c>
      <c r="AA35" s="259" t="str">
        <f>IF('GASTOS EJER. 2'!CT20="","",'GASTOS EJER. 2'!CT20)</f>
        <v/>
      </c>
      <c r="AB35" s="423">
        <f>IF(AA35&lt;=EXPEDIENTE!$I$29,Z35,0)</f>
        <v>0</v>
      </c>
      <c r="AC35" s="424">
        <f>'GASTOS EJER. 2'!CP20</f>
        <v>0</v>
      </c>
      <c r="AD35" s="259" t="str">
        <f>IF('GASTOS EJER. 2'!CW20="","",'GASTOS EJER. 2'!CW20)</f>
        <v/>
      </c>
      <c r="AE35" s="423">
        <f>IF(AD35&lt;=EXPEDIENTE!$I$29,AC35,0)</f>
        <v>0</v>
      </c>
      <c r="AF35" s="425">
        <f>AUXILIAR!DQ40</f>
        <v>0</v>
      </c>
      <c r="AG35" s="424">
        <f>AUXILIAR!HZ39</f>
        <v>0</v>
      </c>
      <c r="AH35" s="259" t="str">
        <f>IF('GASTOS EJER. 2'!BF52="","",'GASTOS EJER. 2'!BF52)</f>
        <v/>
      </c>
      <c r="AI35" s="423">
        <f>IF(AH35&lt;=EXPEDIENTE!$I$29,AG35,0)</f>
        <v>0</v>
      </c>
      <c r="AJ35" s="426">
        <f>IF($AS$42=0,0,IF(AND($AS$44&gt;$AS$42,$AS$40=1100%),MIN(AUXILIAR!$P$17,ROUND($AS$42/$AS$44*(AB35+AE35+AF35+AI35)*('IDENTIFICACIÓN TRABAJADOR'!$H$46+'IDENTIFICACIÓN TRABAJADOR'!$L$46)/('IDENTIFICACIÓN TRABAJADOR'!$E$35-'IDENTIFICACIÓN TRABAJADOR'!$H$46-'IDENTIFICACIÓN TRABAJADOR'!$L$46),2)),MIN(AUXILIAR!$P$17,ROUND((AB35+AE35+AF35+AI35)*('IDENTIFICACIÓN TRABAJADOR'!$H$46+'IDENTIFICACIÓN TRABAJADOR'!$L$46)/('IDENTIFICACIÓN TRABAJADOR'!$E$35-'IDENTIFICACIÓN TRABAJADOR'!$H$46-'IDENTIFICACIÓN TRABAJADOR'!$L$46),2))))</f>
        <v>0</v>
      </c>
      <c r="AK35" s="425">
        <f>IF($AS$42=0,0,IF(AND($AS$44&gt;$AS$42,$AS$40=1100%),MIN(AUXILIAR!$P$17,ROUND($AS$42/$AS$44*(AB35+AE35+AF35+AI35)*(1+('IDENTIFICACIÓN TRABAJADOR'!$H$46+'IDENTIFICACIÓN TRABAJADOR'!$L$46)/('IDENTIFICACIÓN TRABAJADOR'!$E$35-'IDENTIFICACIÓN TRABAJADOR'!$H$46-'IDENTIFICACIÓN TRABAJADOR'!$L$46)),2)),MIN(AUXILIAR!$P$17,ROUND((AB35+AE35+AF35+AI35)*(1+('IDENTIFICACIÓN TRABAJADOR'!$H$46+'IDENTIFICACIÓN TRABAJADOR'!$L$46)/('IDENTIFICACIÓN TRABAJADOR'!$E$35-'IDENTIFICACIÓN TRABAJADOR'!$H$46-'IDENTIFICACIÓN TRABAJADOR'!$L$46)),2))))</f>
        <v>0</v>
      </c>
      <c r="AL35" s="569">
        <f>IF($AS$48&gt;0,0,ROUND(Y35*AK35,2))</f>
        <v>0</v>
      </c>
      <c r="AM35" s="572">
        <f>P35</f>
        <v>0</v>
      </c>
      <c r="AN35" s="412"/>
      <c r="AP35" s="116"/>
      <c r="AQ35" s="427" t="e">
        <f>ROUND(Y35*(AB35+AE35+AF35+AI35)*(1+('IDENTIFICACIÓN TRABAJADOR'!$H$46+'IDENTIFICACIÓN TRABAJADOR'!$L$46)/('IDENTIFICACIÓN TRABAJADOR'!$E$35-'IDENTIFICACIÓN TRABAJADOR'!$H$46-'IDENTIFICACIÓN TRABAJADOR'!$L$46)),2)</f>
        <v>#VALUE!</v>
      </c>
      <c r="AR35" s="412"/>
      <c r="AS35" s="412"/>
    </row>
    <row r="36" spans="2:45" ht="15" customHeight="1" x14ac:dyDescent="0.25">
      <c r="B36" s="428" t="s">
        <v>271</v>
      </c>
      <c r="C36" s="429">
        <f>IFERROR(IF(OR(DATE($B$33,MONTH(DATEVALUE(B36&amp;"1")),1)&lt;DATE(YEAR(EXPEDIENTE!$I$25),MONTH(EXPEDIENTE!$I$25),1),DATE($B$33,MONTH(DATEVALUE(B36&amp;"1")),1)&gt;DATE(YEAR(EXPEDIENTE!$I$27),MONTH(EXPEDIENTE!$I$27)+1,1)-1),0,ROUND('% DEDICACIÓN TRABAJADOR'!H41,4)),0)</f>
        <v>0</v>
      </c>
      <c r="D36" s="432">
        <f>'GASTOS EJER. 2'!F21+'GASTOS EJER. 2'!L21-'GASTOS EJER. 2'!X21-'GASTOS EJER. 2'!Y21</f>
        <v>0</v>
      </c>
      <c r="E36" s="189" t="str">
        <f>IF('GASTOS EJER. 2'!AA21="","",'GASTOS EJER. 2'!AA21)</f>
        <v/>
      </c>
      <c r="F36" s="431">
        <f>IF(E36&lt;=EXPEDIENTE!$I$29,D36,0)</f>
        <v>0</v>
      </c>
      <c r="G36" s="432">
        <f>'GASTOS EJER. 2'!Y21</f>
        <v>0</v>
      </c>
      <c r="H36" s="189" t="str">
        <f>IF('GASTOS EJER. 2'!AB21="","",'GASTOS EJER. 2'!AB21)</f>
        <v/>
      </c>
      <c r="I36" s="431">
        <f>IF(H36&lt;=EXPEDIENTE!$I$29,G36,0)</f>
        <v>0</v>
      </c>
      <c r="J36" s="433">
        <f>AUXILIAR!BX41</f>
        <v>0</v>
      </c>
      <c r="K36" s="432">
        <f>AUXILIAR!FU40</f>
        <v>0</v>
      </c>
      <c r="L36" s="189" t="str">
        <f>IF('GASTOS EJER. 2'!I53="","",'GASTOS EJER. 2'!I53)</f>
        <v/>
      </c>
      <c r="M36" s="431">
        <f>IF(L36&lt;=EXPEDIENTE!$I$29,K36,0)</f>
        <v>0</v>
      </c>
      <c r="N36" s="434">
        <f>IF($V$42=0,0,IF(AND($V$44&gt;$V$42,$V$40=1100%),MIN(AUXILIAR!$P$17,ROUND($V$42/$V$44*(F36+I36+J36+M36)*('IDENTIFICACIÓN TRABAJADOR'!$H$46+'IDENTIFICACIÓN TRABAJADOR'!$L$46)/('IDENTIFICACIÓN TRABAJADOR'!$E$35-'IDENTIFICACIÓN TRABAJADOR'!$H$46-'IDENTIFICACIÓN TRABAJADOR'!$L$46),2)),MIN(AUXILIAR!$P$17,ROUND((F36+I36+J36+M36)*('IDENTIFICACIÓN TRABAJADOR'!$H$46+'IDENTIFICACIÓN TRABAJADOR'!$L$46)/('IDENTIFICACIÓN TRABAJADOR'!$E$35-'IDENTIFICACIÓN TRABAJADOR'!$H$46-'IDENTIFICACIÓN TRABAJADOR'!$L$46),2))))</f>
        <v>0</v>
      </c>
      <c r="O36" s="433">
        <f>IF($V$42=0,0,IF(AND($V$44&gt;$V$42,$V$40=1100%),MIN(AUXILIAR!$P$17,ROUND($V$42/$V$44*(F36+I36+J36+M36)*(1+('IDENTIFICACIÓN TRABAJADOR'!$H$46+'IDENTIFICACIÓN TRABAJADOR'!$L$46)/('IDENTIFICACIÓN TRABAJADOR'!$E$35-'IDENTIFICACIÓN TRABAJADOR'!$H$46-'IDENTIFICACIÓN TRABAJADOR'!$L$46)),2)),MIN(AUXILIAR!$P$17,ROUND((F36+I36+J36+M36)*(1+('IDENTIFICACIÓN TRABAJADOR'!$H$46+'IDENTIFICACIÓN TRABAJADOR'!$L$46)/('IDENTIFICACIÓN TRABAJADOR'!$E$35-'IDENTIFICACIÓN TRABAJADOR'!$H$46-'IDENTIFICACIÓN TRABAJADOR'!$L$46)),2))))</f>
        <v>0</v>
      </c>
      <c r="P36" s="434">
        <f t="shared" si="3"/>
        <v>0</v>
      </c>
      <c r="Q36" s="412"/>
      <c r="S36" s="116"/>
      <c r="T36" s="427" t="e">
        <f>ROUND(C36*(F36+I36+J36+M36)*(1+('IDENTIFICACIÓN TRABAJADOR'!$H$46+'IDENTIFICACIÓN TRABAJADOR'!$L$46)/('IDENTIFICACIÓN TRABAJADOR'!$E$35-'IDENTIFICACIÓN TRABAJADOR'!$H$46-'IDENTIFICACIÓN TRABAJADOR'!$L$46)),2)</f>
        <v>#VALUE!</v>
      </c>
      <c r="U36" s="412"/>
      <c r="V36" s="412"/>
      <c r="X36" s="581" t="s">
        <v>271</v>
      </c>
      <c r="Y36" s="429">
        <f>IFERROR(IF(OR(DATE($B$33,MONTH(DATEVALUE(X36&amp;"1")),1)&lt;DATE(YEAR(EXPEDIENTE!$I$25),MONTH(EXPEDIENTE!$I$25),1),DATE($B$33,MONTH(DATEVALUE(X36&amp;"1")),1)&gt;DATE(YEAR(EXPEDIENTE!$I$27),MONTH(EXPEDIENTE!$I$27)+1,1)-1),0,ROUND('% DEDICACIÓN TRABAJADOR'!H41,4)),0)</f>
        <v>0</v>
      </c>
      <c r="Z36" s="432">
        <f>'GASTOS EJER. 2'!AW21+'GASTOS EJER. 2'!BM21-'GASTOS EJER. 2'!CM21-'GASTOS EJER. 2'!CP21</f>
        <v>0</v>
      </c>
      <c r="AA36" s="189" t="str">
        <f>IF('GASTOS EJER. 2'!CT21="","",'GASTOS EJER. 2'!CT21)</f>
        <v/>
      </c>
      <c r="AB36" s="431">
        <f>IF(AA36&lt;=EXPEDIENTE!$I$29,Z36,0)</f>
        <v>0</v>
      </c>
      <c r="AC36" s="432">
        <f>'GASTOS EJER. 2'!CP21</f>
        <v>0</v>
      </c>
      <c r="AD36" s="189" t="str">
        <f>IF('GASTOS EJER. 2'!CW21="","",'GASTOS EJER. 2'!CW21)</f>
        <v/>
      </c>
      <c r="AE36" s="431">
        <f>IF(AD36&lt;=EXPEDIENTE!$I$29,AC36,0)</f>
        <v>0</v>
      </c>
      <c r="AF36" s="433">
        <f>AUXILIAR!DQ41</f>
        <v>0</v>
      </c>
      <c r="AG36" s="432">
        <f>AUXILIAR!HZ40</f>
        <v>0</v>
      </c>
      <c r="AH36" s="189" t="str">
        <f>IF('GASTOS EJER. 2'!BF53="","",'GASTOS EJER. 2'!BF53)</f>
        <v/>
      </c>
      <c r="AI36" s="431">
        <f>IF(AH36&lt;=EXPEDIENTE!$I$29,AG36,0)</f>
        <v>0</v>
      </c>
      <c r="AJ36" s="434">
        <f>IF($AS$42=0,0,IF(AND($AS$44&gt;$AS$42,$AS$40=1100%),MIN(AUXILIAR!$P$17,ROUND($AS$42/$AS$44*(AB36+AE36+AF36+AI36)*('IDENTIFICACIÓN TRABAJADOR'!$H$46+'IDENTIFICACIÓN TRABAJADOR'!$L$46)/('IDENTIFICACIÓN TRABAJADOR'!$E$35-'IDENTIFICACIÓN TRABAJADOR'!$H$46-'IDENTIFICACIÓN TRABAJADOR'!$L$46),2)),MIN(AUXILIAR!$P$17,ROUND((AB36+AE36+AF36+AI36)*('IDENTIFICACIÓN TRABAJADOR'!$H$46+'IDENTIFICACIÓN TRABAJADOR'!$L$46)/('IDENTIFICACIÓN TRABAJADOR'!$E$35-'IDENTIFICACIÓN TRABAJADOR'!$H$46-'IDENTIFICACIÓN TRABAJADOR'!$L$46),2))))</f>
        <v>0</v>
      </c>
      <c r="AK36" s="433">
        <f>IF($AS$42=0,0,IF(AND($AS$44&gt;$AS$42,$AS$40=1100%),MIN(AUXILIAR!$P$17,ROUND($AS$42/$AS$44*(AB36+AE36+AF36+AI36)*(1+('IDENTIFICACIÓN TRABAJADOR'!$H$46+'IDENTIFICACIÓN TRABAJADOR'!$L$46)/('IDENTIFICACIÓN TRABAJADOR'!$E$35-'IDENTIFICACIÓN TRABAJADOR'!$H$46-'IDENTIFICACIÓN TRABAJADOR'!$L$46)),2)),MIN(AUXILIAR!$P$17,ROUND((AB36+AE36+AF36+AI36)*(1+('IDENTIFICACIÓN TRABAJADOR'!$H$46+'IDENTIFICACIÓN TRABAJADOR'!$L$46)/('IDENTIFICACIÓN TRABAJADOR'!$E$35-'IDENTIFICACIÓN TRABAJADOR'!$H$46-'IDENTIFICACIÓN TRABAJADOR'!$L$46)),2))))</f>
        <v>0</v>
      </c>
      <c r="AL36" s="570">
        <f t="shared" ref="AL36:AL46" si="4">IF($AS$48&gt;0,0,ROUND(Y36*AK36,2))</f>
        <v>0</v>
      </c>
      <c r="AM36" s="573">
        <f t="shared" ref="AM36:AM46" si="5">P36</f>
        <v>0</v>
      </c>
      <c r="AN36" s="412"/>
      <c r="AP36" s="116"/>
      <c r="AQ36" s="427" t="e">
        <f>ROUND(Y36*(AB36+AE36+AF36+AI36)*(1+('IDENTIFICACIÓN TRABAJADOR'!$H$46+'IDENTIFICACIÓN TRABAJADOR'!$L$46)/('IDENTIFICACIÓN TRABAJADOR'!$E$35-'IDENTIFICACIÓN TRABAJADOR'!$H$46-'IDENTIFICACIÓN TRABAJADOR'!$L$46)),2)</f>
        <v>#VALUE!</v>
      </c>
      <c r="AR36" s="412"/>
      <c r="AS36" s="412"/>
    </row>
    <row r="37" spans="2:45" ht="15" customHeight="1" x14ac:dyDescent="0.25">
      <c r="B37" s="428" t="s">
        <v>272</v>
      </c>
      <c r="C37" s="429">
        <f>IFERROR(IF(OR(DATE($B$33,MONTH(DATEVALUE(B37&amp;"1")),1)&lt;DATE(YEAR(EXPEDIENTE!$I$25),MONTH(EXPEDIENTE!$I$25),1),DATE($B$33,MONTH(DATEVALUE(B37&amp;"1")),1)&gt;DATE(YEAR(EXPEDIENTE!$I$27),MONTH(EXPEDIENTE!$I$27)+1,1)-1),0,ROUND('% DEDICACIÓN TRABAJADOR'!I41,4)),0)</f>
        <v>0</v>
      </c>
      <c r="D37" s="432">
        <f>'GASTOS EJER. 2'!F22+'GASTOS EJER. 2'!L22-'GASTOS EJER. 2'!X22-'GASTOS EJER. 2'!Y22</f>
        <v>0</v>
      </c>
      <c r="E37" s="189" t="str">
        <f>IF('GASTOS EJER. 2'!AA22="","",'GASTOS EJER. 2'!AA22)</f>
        <v/>
      </c>
      <c r="F37" s="431">
        <f>IF(E37&lt;=EXPEDIENTE!$I$29,D37,0)</f>
        <v>0</v>
      </c>
      <c r="G37" s="432">
        <f>'GASTOS EJER. 2'!Y22</f>
        <v>0</v>
      </c>
      <c r="H37" s="189" t="str">
        <f>IF('GASTOS EJER. 2'!AB22="","",'GASTOS EJER. 2'!AB22)</f>
        <v/>
      </c>
      <c r="I37" s="431">
        <f>IF(H37&lt;=EXPEDIENTE!$I$29,G37,0)</f>
        <v>0</v>
      </c>
      <c r="J37" s="433">
        <f>AUXILIAR!BX42</f>
        <v>0</v>
      </c>
      <c r="K37" s="432">
        <f>AUXILIAR!FU41</f>
        <v>0</v>
      </c>
      <c r="L37" s="189" t="str">
        <f>IF('GASTOS EJER. 2'!I54="","",'GASTOS EJER. 2'!I54)</f>
        <v/>
      </c>
      <c r="M37" s="431">
        <f>IF(L37&lt;=EXPEDIENTE!$I$29,K37,0)</f>
        <v>0</v>
      </c>
      <c r="N37" s="434">
        <f>IF($V$42=0,0,IF(AND($V$44&gt;$V$42,$V$40=1100%),MIN(AUXILIAR!$P$17,ROUND($V$42/$V$44*(F37+I37+J37+M37)*('IDENTIFICACIÓN TRABAJADOR'!$H$46+'IDENTIFICACIÓN TRABAJADOR'!$L$46)/('IDENTIFICACIÓN TRABAJADOR'!$E$35-'IDENTIFICACIÓN TRABAJADOR'!$H$46-'IDENTIFICACIÓN TRABAJADOR'!$L$46),2)),MIN(AUXILIAR!$P$17,ROUND((F37+I37+J37+M37)*('IDENTIFICACIÓN TRABAJADOR'!$H$46+'IDENTIFICACIÓN TRABAJADOR'!$L$46)/('IDENTIFICACIÓN TRABAJADOR'!$E$35-'IDENTIFICACIÓN TRABAJADOR'!$H$46-'IDENTIFICACIÓN TRABAJADOR'!$L$46),2))))</f>
        <v>0</v>
      </c>
      <c r="O37" s="433">
        <f>IF($V$42=0,0,IF(AND($V$44&gt;$V$42,$V$40=1100%),MIN(AUXILIAR!$P$17,ROUND($V$42/$V$44*(F37+I37+J37+M37)*(1+('IDENTIFICACIÓN TRABAJADOR'!$H$46+'IDENTIFICACIÓN TRABAJADOR'!$L$46)/('IDENTIFICACIÓN TRABAJADOR'!$E$35-'IDENTIFICACIÓN TRABAJADOR'!$H$46-'IDENTIFICACIÓN TRABAJADOR'!$L$46)),2)),MIN(AUXILIAR!$P$17,ROUND((F37+I37+J37+M37)*(1+('IDENTIFICACIÓN TRABAJADOR'!$H$46+'IDENTIFICACIÓN TRABAJADOR'!$L$46)/('IDENTIFICACIÓN TRABAJADOR'!$E$35-'IDENTIFICACIÓN TRABAJADOR'!$H$46-'IDENTIFICACIÓN TRABAJADOR'!$L$46)),2))))</f>
        <v>0</v>
      </c>
      <c r="P37" s="434">
        <f t="shared" si="3"/>
        <v>0</v>
      </c>
      <c r="Q37" s="412"/>
      <c r="S37" s="116"/>
      <c r="T37" s="427" t="e">
        <f>ROUND(C37*(F37+I37+J37+M37)*(1+('IDENTIFICACIÓN TRABAJADOR'!$H$46+'IDENTIFICACIÓN TRABAJADOR'!$L$46)/('IDENTIFICACIÓN TRABAJADOR'!$E$35-'IDENTIFICACIÓN TRABAJADOR'!$H$46-'IDENTIFICACIÓN TRABAJADOR'!$L$46)),2)</f>
        <v>#VALUE!</v>
      </c>
      <c r="U37" s="412"/>
      <c r="V37" s="412"/>
      <c r="X37" s="581" t="s">
        <v>272</v>
      </c>
      <c r="Y37" s="429">
        <f>IFERROR(IF(OR(DATE($B$33,MONTH(DATEVALUE(X37&amp;"1")),1)&lt;DATE(YEAR(EXPEDIENTE!$I$25),MONTH(EXPEDIENTE!$I$25),1),DATE($B$33,MONTH(DATEVALUE(X37&amp;"1")),1)&gt;DATE(YEAR(EXPEDIENTE!$I$27),MONTH(EXPEDIENTE!$I$27)+1,1)-1),0,ROUND('% DEDICACIÓN TRABAJADOR'!I41,4)),0)</f>
        <v>0</v>
      </c>
      <c r="Z37" s="432">
        <f>'GASTOS EJER. 2'!AW22+'GASTOS EJER. 2'!BM22-'GASTOS EJER. 2'!CM22-'GASTOS EJER. 2'!CP22</f>
        <v>0</v>
      </c>
      <c r="AA37" s="189" t="str">
        <f>IF('GASTOS EJER. 2'!CT22="","",'GASTOS EJER. 2'!CT22)</f>
        <v/>
      </c>
      <c r="AB37" s="431">
        <f>IF(AA37&lt;=EXPEDIENTE!$I$29,Z37,0)</f>
        <v>0</v>
      </c>
      <c r="AC37" s="432">
        <f>'GASTOS EJER. 2'!CP22</f>
        <v>0</v>
      </c>
      <c r="AD37" s="189" t="str">
        <f>IF('GASTOS EJER. 2'!CW22="","",'GASTOS EJER. 2'!CW22)</f>
        <v/>
      </c>
      <c r="AE37" s="431">
        <f>IF(AD37&lt;=EXPEDIENTE!$I$29,AC37,0)</f>
        <v>0</v>
      </c>
      <c r="AF37" s="433">
        <f>AUXILIAR!DQ42</f>
        <v>0</v>
      </c>
      <c r="AG37" s="432">
        <f>AUXILIAR!HZ41</f>
        <v>0</v>
      </c>
      <c r="AH37" s="189" t="str">
        <f>IF('GASTOS EJER. 2'!BF54="","",'GASTOS EJER. 2'!BF54)</f>
        <v/>
      </c>
      <c r="AI37" s="431">
        <f>IF(AH37&lt;=EXPEDIENTE!$I$29,AG37,0)</f>
        <v>0</v>
      </c>
      <c r="AJ37" s="434">
        <f>IF($AS$42=0,0,IF(AND($AS$44&gt;$AS$42,$AS$40=1100%),MIN(AUXILIAR!$P$17,ROUND($AS$42/$AS$44*(AB37+AE37+AF37+AI37)*('IDENTIFICACIÓN TRABAJADOR'!$H$46+'IDENTIFICACIÓN TRABAJADOR'!$L$46)/('IDENTIFICACIÓN TRABAJADOR'!$E$35-'IDENTIFICACIÓN TRABAJADOR'!$H$46-'IDENTIFICACIÓN TRABAJADOR'!$L$46),2)),MIN(AUXILIAR!$P$17,ROUND((AB37+AE37+AF37+AI37)*('IDENTIFICACIÓN TRABAJADOR'!$H$46+'IDENTIFICACIÓN TRABAJADOR'!$L$46)/('IDENTIFICACIÓN TRABAJADOR'!$E$35-'IDENTIFICACIÓN TRABAJADOR'!$H$46-'IDENTIFICACIÓN TRABAJADOR'!$L$46),2))))</f>
        <v>0</v>
      </c>
      <c r="AK37" s="433">
        <f>IF($AS$42=0,0,IF(AND($AS$44&gt;$AS$42,$AS$40=1100%),MIN(AUXILIAR!$P$17,ROUND($AS$42/$AS$44*(AB37+AE37+AF37+AI37)*(1+('IDENTIFICACIÓN TRABAJADOR'!$H$46+'IDENTIFICACIÓN TRABAJADOR'!$L$46)/('IDENTIFICACIÓN TRABAJADOR'!$E$35-'IDENTIFICACIÓN TRABAJADOR'!$H$46-'IDENTIFICACIÓN TRABAJADOR'!$L$46)),2)),MIN(AUXILIAR!$P$17,ROUND((AB37+AE37+AF37+AI37)*(1+('IDENTIFICACIÓN TRABAJADOR'!$H$46+'IDENTIFICACIÓN TRABAJADOR'!$L$46)/('IDENTIFICACIÓN TRABAJADOR'!$E$35-'IDENTIFICACIÓN TRABAJADOR'!$H$46-'IDENTIFICACIÓN TRABAJADOR'!$L$46)),2))))</f>
        <v>0</v>
      </c>
      <c r="AL37" s="570">
        <f t="shared" si="4"/>
        <v>0</v>
      </c>
      <c r="AM37" s="573">
        <f t="shared" si="5"/>
        <v>0</v>
      </c>
      <c r="AN37" s="412"/>
      <c r="AP37" s="116"/>
      <c r="AQ37" s="427" t="e">
        <f>ROUND(Y37*(AB37+AE37+AF37+AI37)*(1+('IDENTIFICACIÓN TRABAJADOR'!$H$46+'IDENTIFICACIÓN TRABAJADOR'!$L$46)/('IDENTIFICACIÓN TRABAJADOR'!$E$35-'IDENTIFICACIÓN TRABAJADOR'!$H$46-'IDENTIFICACIÓN TRABAJADOR'!$L$46)),2)</f>
        <v>#VALUE!</v>
      </c>
      <c r="AR37" s="412"/>
      <c r="AS37" s="412"/>
    </row>
    <row r="38" spans="2:45" ht="15" customHeight="1" x14ac:dyDescent="0.25">
      <c r="B38" s="428" t="s">
        <v>273</v>
      </c>
      <c r="C38" s="429">
        <f>IFERROR(IF(OR(DATE($B$33,MONTH(DATEVALUE(B38&amp;"1")),1)&lt;DATE(YEAR(EXPEDIENTE!$I$25),MONTH(EXPEDIENTE!$I$25),1),DATE($B$33,MONTH(DATEVALUE(B38&amp;"1")),1)&gt;DATE(YEAR(EXPEDIENTE!$I$27),MONTH(EXPEDIENTE!$I$27)+1,1)-1),0,ROUND('% DEDICACIÓN TRABAJADOR'!J41,4)),0)</f>
        <v>0</v>
      </c>
      <c r="D38" s="432">
        <f>'GASTOS EJER. 2'!F23+'GASTOS EJER. 2'!L23-'GASTOS EJER. 2'!X23-'GASTOS EJER. 2'!Y23</f>
        <v>0</v>
      </c>
      <c r="E38" s="189" t="str">
        <f>IF('GASTOS EJER. 2'!AA23="","",'GASTOS EJER. 2'!AA23)</f>
        <v/>
      </c>
      <c r="F38" s="431">
        <f>IF(E38&lt;=EXPEDIENTE!$I$29,D38,0)</f>
        <v>0</v>
      </c>
      <c r="G38" s="432">
        <f>'GASTOS EJER. 2'!Y23</f>
        <v>0</v>
      </c>
      <c r="H38" s="189" t="str">
        <f>IF('GASTOS EJER. 2'!AB23="","",'GASTOS EJER. 2'!AB23)</f>
        <v/>
      </c>
      <c r="I38" s="431">
        <f>IF(H38&lt;=EXPEDIENTE!$I$29,G38,0)</f>
        <v>0</v>
      </c>
      <c r="J38" s="433">
        <f>AUXILIAR!BX43</f>
        <v>0</v>
      </c>
      <c r="K38" s="432">
        <f>AUXILIAR!FU42</f>
        <v>0</v>
      </c>
      <c r="L38" s="189" t="str">
        <f>IF('GASTOS EJER. 2'!I55="","",'GASTOS EJER. 2'!I55)</f>
        <v/>
      </c>
      <c r="M38" s="431">
        <f>IF(L38&lt;=EXPEDIENTE!$I$29,K38,0)</f>
        <v>0</v>
      </c>
      <c r="N38" s="434">
        <f>IF($V$42=0,0,IF(AND($V$44&gt;$V$42,$V$40=1100%),MIN(AUXILIAR!$P$17,ROUND($V$42/$V$44*(F38+I38+J38+M38)*('IDENTIFICACIÓN TRABAJADOR'!$H$46+'IDENTIFICACIÓN TRABAJADOR'!$L$46)/('IDENTIFICACIÓN TRABAJADOR'!$E$35-'IDENTIFICACIÓN TRABAJADOR'!$H$46-'IDENTIFICACIÓN TRABAJADOR'!$L$46),2)),MIN(AUXILIAR!$P$17,ROUND((F38+I38+J38+M38)*('IDENTIFICACIÓN TRABAJADOR'!$H$46+'IDENTIFICACIÓN TRABAJADOR'!$L$46)/('IDENTIFICACIÓN TRABAJADOR'!$E$35-'IDENTIFICACIÓN TRABAJADOR'!$H$46-'IDENTIFICACIÓN TRABAJADOR'!$L$46),2))))</f>
        <v>0</v>
      </c>
      <c r="O38" s="433">
        <f>IF($V$42=0,0,IF(AND($V$44&gt;$V$42,$V$40=1100%),MIN(AUXILIAR!$P$17,ROUND($V$42/$V$44*(F38+I38+J38+M38)*(1+('IDENTIFICACIÓN TRABAJADOR'!$H$46+'IDENTIFICACIÓN TRABAJADOR'!$L$46)/('IDENTIFICACIÓN TRABAJADOR'!$E$35-'IDENTIFICACIÓN TRABAJADOR'!$H$46-'IDENTIFICACIÓN TRABAJADOR'!$L$46)),2)),MIN(AUXILIAR!$P$17,ROUND((F38+I38+J38+M38)*(1+('IDENTIFICACIÓN TRABAJADOR'!$H$46+'IDENTIFICACIÓN TRABAJADOR'!$L$46)/('IDENTIFICACIÓN TRABAJADOR'!$E$35-'IDENTIFICACIÓN TRABAJADOR'!$H$46-'IDENTIFICACIÓN TRABAJADOR'!$L$46)),2))))</f>
        <v>0</v>
      </c>
      <c r="P38" s="434">
        <f t="shared" si="3"/>
        <v>0</v>
      </c>
      <c r="Q38" s="412"/>
      <c r="S38" s="116"/>
      <c r="T38" s="427" t="e">
        <f>ROUND(C38*(F38+I38+J38+M38)*(1+('IDENTIFICACIÓN TRABAJADOR'!$H$46+'IDENTIFICACIÓN TRABAJADOR'!$L$46)/('IDENTIFICACIÓN TRABAJADOR'!$E$35-'IDENTIFICACIÓN TRABAJADOR'!$H$46-'IDENTIFICACIÓN TRABAJADOR'!$L$46)),2)</f>
        <v>#VALUE!</v>
      </c>
      <c r="U38" s="412"/>
      <c r="V38" s="412"/>
      <c r="X38" s="581" t="s">
        <v>273</v>
      </c>
      <c r="Y38" s="429">
        <f>IFERROR(IF(OR(DATE($B$33,MONTH(DATEVALUE(X38&amp;"1")),1)&lt;DATE(YEAR(EXPEDIENTE!$I$25),MONTH(EXPEDIENTE!$I$25),1),DATE($B$33,MONTH(DATEVALUE(X38&amp;"1")),1)&gt;DATE(YEAR(EXPEDIENTE!$I$27),MONTH(EXPEDIENTE!$I$27)+1,1)-1),0,ROUND('% DEDICACIÓN TRABAJADOR'!J41,4)),0)</f>
        <v>0</v>
      </c>
      <c r="Z38" s="432">
        <f>'GASTOS EJER. 2'!AW23+'GASTOS EJER. 2'!BM23-'GASTOS EJER. 2'!CM23-'GASTOS EJER. 2'!CP23</f>
        <v>0</v>
      </c>
      <c r="AA38" s="189" t="str">
        <f>IF('GASTOS EJER. 2'!CT23="","",'GASTOS EJER. 2'!CT23)</f>
        <v/>
      </c>
      <c r="AB38" s="431">
        <f>IF(AA38&lt;=EXPEDIENTE!$I$29,Z38,0)</f>
        <v>0</v>
      </c>
      <c r="AC38" s="432">
        <f>'GASTOS EJER. 2'!CP23</f>
        <v>0</v>
      </c>
      <c r="AD38" s="189" t="str">
        <f>IF('GASTOS EJER. 2'!CW23="","",'GASTOS EJER. 2'!CW23)</f>
        <v/>
      </c>
      <c r="AE38" s="431">
        <f>IF(AD38&lt;=EXPEDIENTE!$I$29,AC38,0)</f>
        <v>0</v>
      </c>
      <c r="AF38" s="433">
        <f>AUXILIAR!DQ43</f>
        <v>0</v>
      </c>
      <c r="AG38" s="432">
        <f>AUXILIAR!HZ42</f>
        <v>0</v>
      </c>
      <c r="AH38" s="189" t="str">
        <f>IF('GASTOS EJER. 2'!BF55="","",'GASTOS EJER. 2'!BF55)</f>
        <v/>
      </c>
      <c r="AI38" s="431">
        <f>IF(AH38&lt;=EXPEDIENTE!$I$29,AG38,0)</f>
        <v>0</v>
      </c>
      <c r="AJ38" s="434">
        <f>IF($AS$42=0,0,IF(AND($AS$44&gt;$AS$42,$AS$40=1100%),MIN(AUXILIAR!$P$17,ROUND($AS$42/$AS$44*(AB38+AE38+AF38+AI38)*('IDENTIFICACIÓN TRABAJADOR'!$H$46+'IDENTIFICACIÓN TRABAJADOR'!$L$46)/('IDENTIFICACIÓN TRABAJADOR'!$E$35-'IDENTIFICACIÓN TRABAJADOR'!$H$46-'IDENTIFICACIÓN TRABAJADOR'!$L$46),2)),MIN(AUXILIAR!$P$17,ROUND((AB38+AE38+AF38+AI38)*('IDENTIFICACIÓN TRABAJADOR'!$H$46+'IDENTIFICACIÓN TRABAJADOR'!$L$46)/('IDENTIFICACIÓN TRABAJADOR'!$E$35-'IDENTIFICACIÓN TRABAJADOR'!$H$46-'IDENTIFICACIÓN TRABAJADOR'!$L$46),2))))</f>
        <v>0</v>
      </c>
      <c r="AK38" s="433">
        <f>IF($AS$42=0,0,IF(AND($AS$44&gt;$AS$42,$AS$40=1100%),MIN(AUXILIAR!$P$17,ROUND($AS$42/$AS$44*(AB38+AE38+AF38+AI38)*(1+('IDENTIFICACIÓN TRABAJADOR'!$H$46+'IDENTIFICACIÓN TRABAJADOR'!$L$46)/('IDENTIFICACIÓN TRABAJADOR'!$E$35-'IDENTIFICACIÓN TRABAJADOR'!$H$46-'IDENTIFICACIÓN TRABAJADOR'!$L$46)),2)),MIN(AUXILIAR!$P$17,ROUND((AB38+AE38+AF38+AI38)*(1+('IDENTIFICACIÓN TRABAJADOR'!$H$46+'IDENTIFICACIÓN TRABAJADOR'!$L$46)/('IDENTIFICACIÓN TRABAJADOR'!$E$35-'IDENTIFICACIÓN TRABAJADOR'!$H$46-'IDENTIFICACIÓN TRABAJADOR'!$L$46)),2))))</f>
        <v>0</v>
      </c>
      <c r="AL38" s="570">
        <f t="shared" si="4"/>
        <v>0</v>
      </c>
      <c r="AM38" s="573">
        <f t="shared" si="5"/>
        <v>0</v>
      </c>
      <c r="AN38" s="412"/>
      <c r="AP38" s="116"/>
      <c r="AQ38" s="427" t="e">
        <f>ROUND(Y38*(AB38+AE38+AF38+AI38)*(1+('IDENTIFICACIÓN TRABAJADOR'!$H$46+'IDENTIFICACIÓN TRABAJADOR'!$L$46)/('IDENTIFICACIÓN TRABAJADOR'!$E$35-'IDENTIFICACIÓN TRABAJADOR'!$H$46-'IDENTIFICACIÓN TRABAJADOR'!$L$46)),2)</f>
        <v>#VALUE!</v>
      </c>
      <c r="AR38" s="412"/>
      <c r="AS38" s="412"/>
    </row>
    <row r="39" spans="2:45" ht="15" customHeight="1" x14ac:dyDescent="0.25">
      <c r="B39" s="428" t="s">
        <v>274</v>
      </c>
      <c r="C39" s="429">
        <f>IFERROR(IF(OR(DATE($B$33,MONTH(DATEVALUE(B39&amp;"1")),1)&lt;DATE(YEAR(EXPEDIENTE!$I$25),MONTH(EXPEDIENTE!$I$25),1),DATE($B$33,MONTH(DATEVALUE(B39&amp;"1")),1)&gt;DATE(YEAR(EXPEDIENTE!$I$27),MONTH(EXPEDIENTE!$I$27)+1,1)-1),0,ROUND('% DEDICACIÓN TRABAJADOR'!K41,4)),0)</f>
        <v>0</v>
      </c>
      <c r="D39" s="432">
        <f>'GASTOS EJER. 2'!F24+'GASTOS EJER. 2'!L24-'GASTOS EJER. 2'!X24-'GASTOS EJER. 2'!Y24</f>
        <v>0</v>
      </c>
      <c r="E39" s="189" t="str">
        <f>IF('GASTOS EJER. 2'!AA24="","",'GASTOS EJER. 2'!AA24)</f>
        <v/>
      </c>
      <c r="F39" s="431">
        <f>IF(E39&lt;=EXPEDIENTE!$I$29,D39,0)</f>
        <v>0</v>
      </c>
      <c r="G39" s="432">
        <f>'GASTOS EJER. 2'!Y24</f>
        <v>0</v>
      </c>
      <c r="H39" s="189" t="str">
        <f>IF('GASTOS EJER. 2'!AB24="","",'GASTOS EJER. 2'!AB24)</f>
        <v/>
      </c>
      <c r="I39" s="431">
        <f>IF(H39&lt;=EXPEDIENTE!$I$29,G39,0)</f>
        <v>0</v>
      </c>
      <c r="J39" s="433">
        <f>AUXILIAR!BX44</f>
        <v>0</v>
      </c>
      <c r="K39" s="432">
        <f>AUXILIAR!FU43</f>
        <v>0</v>
      </c>
      <c r="L39" s="189" t="str">
        <f>IF('GASTOS EJER. 2'!I56="","",'GASTOS EJER. 2'!I56)</f>
        <v/>
      </c>
      <c r="M39" s="431">
        <f>IF(L39&lt;=EXPEDIENTE!$I$29,K39,0)</f>
        <v>0</v>
      </c>
      <c r="N39" s="434">
        <f>IF($V$42=0,0,IF(AND($V$44&gt;$V$42,$V$40=1100%),MIN(AUXILIAR!$P$17,ROUND($V$42/$V$44*(F39+I39+J39+M39)*('IDENTIFICACIÓN TRABAJADOR'!$H$46+'IDENTIFICACIÓN TRABAJADOR'!$L$46)/('IDENTIFICACIÓN TRABAJADOR'!$E$35-'IDENTIFICACIÓN TRABAJADOR'!$H$46-'IDENTIFICACIÓN TRABAJADOR'!$L$46),2)),MIN(AUXILIAR!$P$17,ROUND((F39+I39+J39+M39)*('IDENTIFICACIÓN TRABAJADOR'!$H$46+'IDENTIFICACIÓN TRABAJADOR'!$L$46)/('IDENTIFICACIÓN TRABAJADOR'!$E$35-'IDENTIFICACIÓN TRABAJADOR'!$H$46-'IDENTIFICACIÓN TRABAJADOR'!$L$46),2))))</f>
        <v>0</v>
      </c>
      <c r="O39" s="433">
        <f>IF($V$42=0,0,IF(AND($V$44&gt;$V$42,$V$40=1100%),MIN(AUXILIAR!$P$17,ROUND($V$42/$V$44*(F39+I39+J39+M39)*(1+('IDENTIFICACIÓN TRABAJADOR'!$H$46+'IDENTIFICACIÓN TRABAJADOR'!$L$46)/('IDENTIFICACIÓN TRABAJADOR'!$E$35-'IDENTIFICACIÓN TRABAJADOR'!$H$46-'IDENTIFICACIÓN TRABAJADOR'!$L$46)),2)),MIN(AUXILIAR!$P$17,ROUND((F39+I39+J39+M39)*(1+('IDENTIFICACIÓN TRABAJADOR'!$H$46+'IDENTIFICACIÓN TRABAJADOR'!$L$46)/('IDENTIFICACIÓN TRABAJADOR'!$E$35-'IDENTIFICACIÓN TRABAJADOR'!$H$46-'IDENTIFICACIÓN TRABAJADOR'!$L$46)),2))))</f>
        <v>0</v>
      </c>
      <c r="P39" s="434">
        <f t="shared" si="3"/>
        <v>0</v>
      </c>
      <c r="Q39" s="412"/>
      <c r="S39" s="116"/>
      <c r="T39" s="427" t="e">
        <f>ROUND(C39*(F39+I39+J39+M39)*(1+('IDENTIFICACIÓN TRABAJADOR'!$H$46+'IDENTIFICACIÓN TRABAJADOR'!$L$46)/('IDENTIFICACIÓN TRABAJADOR'!$E$35-'IDENTIFICACIÓN TRABAJADOR'!$H$46-'IDENTIFICACIÓN TRABAJADOR'!$L$46)),2)</f>
        <v>#VALUE!</v>
      </c>
      <c r="U39" s="412"/>
      <c r="V39" s="84" t="s">
        <v>323</v>
      </c>
      <c r="X39" s="581" t="s">
        <v>274</v>
      </c>
      <c r="Y39" s="429">
        <f>IFERROR(IF(OR(DATE($B$33,MONTH(DATEVALUE(X39&amp;"1")),1)&lt;DATE(YEAR(EXPEDIENTE!$I$25),MONTH(EXPEDIENTE!$I$25),1),DATE($B$33,MONTH(DATEVALUE(X39&amp;"1")),1)&gt;DATE(YEAR(EXPEDIENTE!$I$27),MONTH(EXPEDIENTE!$I$27)+1,1)-1),0,ROUND('% DEDICACIÓN TRABAJADOR'!K41,4)),0)</f>
        <v>0</v>
      </c>
      <c r="Z39" s="432">
        <f>'GASTOS EJER. 2'!AW24+'GASTOS EJER. 2'!BM24-'GASTOS EJER. 2'!CM24-'GASTOS EJER. 2'!CP24</f>
        <v>0</v>
      </c>
      <c r="AA39" s="189" t="str">
        <f>IF('GASTOS EJER. 2'!CT24="","",'GASTOS EJER. 2'!CT24)</f>
        <v/>
      </c>
      <c r="AB39" s="431">
        <f>IF(AA39&lt;=EXPEDIENTE!$I$29,Z39,0)</f>
        <v>0</v>
      </c>
      <c r="AC39" s="432">
        <f>'GASTOS EJER. 2'!CP24</f>
        <v>0</v>
      </c>
      <c r="AD39" s="189" t="str">
        <f>IF('GASTOS EJER. 2'!CW24="","",'GASTOS EJER. 2'!CW24)</f>
        <v/>
      </c>
      <c r="AE39" s="431">
        <f>IF(AD39&lt;=EXPEDIENTE!$I$29,AC39,0)</f>
        <v>0</v>
      </c>
      <c r="AF39" s="433">
        <f>AUXILIAR!DQ44</f>
        <v>0</v>
      </c>
      <c r="AG39" s="432">
        <f>AUXILIAR!HZ43</f>
        <v>0</v>
      </c>
      <c r="AH39" s="189" t="str">
        <f>IF('GASTOS EJER. 2'!BF56="","",'GASTOS EJER. 2'!BF56)</f>
        <v/>
      </c>
      <c r="AI39" s="431">
        <f>IF(AH39&lt;=EXPEDIENTE!$I$29,AG39,0)</f>
        <v>0</v>
      </c>
      <c r="AJ39" s="434">
        <f>IF($AS$42=0,0,IF(AND($AS$44&gt;$AS$42,$AS$40=1100%),MIN(AUXILIAR!$P$17,ROUND($AS$42/$AS$44*(AB39+AE39+AF39+AI39)*('IDENTIFICACIÓN TRABAJADOR'!$H$46+'IDENTIFICACIÓN TRABAJADOR'!$L$46)/('IDENTIFICACIÓN TRABAJADOR'!$E$35-'IDENTIFICACIÓN TRABAJADOR'!$H$46-'IDENTIFICACIÓN TRABAJADOR'!$L$46),2)),MIN(AUXILIAR!$P$17,ROUND((AB39+AE39+AF39+AI39)*('IDENTIFICACIÓN TRABAJADOR'!$H$46+'IDENTIFICACIÓN TRABAJADOR'!$L$46)/('IDENTIFICACIÓN TRABAJADOR'!$E$35-'IDENTIFICACIÓN TRABAJADOR'!$H$46-'IDENTIFICACIÓN TRABAJADOR'!$L$46),2))))</f>
        <v>0</v>
      </c>
      <c r="AK39" s="433">
        <f>IF($AS$42=0,0,IF(AND($AS$44&gt;$AS$42,$AS$40=1100%),MIN(AUXILIAR!$P$17,ROUND($AS$42/$AS$44*(AB39+AE39+AF39+AI39)*(1+('IDENTIFICACIÓN TRABAJADOR'!$H$46+'IDENTIFICACIÓN TRABAJADOR'!$L$46)/('IDENTIFICACIÓN TRABAJADOR'!$E$35-'IDENTIFICACIÓN TRABAJADOR'!$H$46-'IDENTIFICACIÓN TRABAJADOR'!$L$46)),2)),MIN(AUXILIAR!$P$17,ROUND((AB39+AE39+AF39+AI39)*(1+('IDENTIFICACIÓN TRABAJADOR'!$H$46+'IDENTIFICACIÓN TRABAJADOR'!$L$46)/('IDENTIFICACIÓN TRABAJADOR'!$E$35-'IDENTIFICACIÓN TRABAJADOR'!$H$46-'IDENTIFICACIÓN TRABAJADOR'!$L$46)),2))))</f>
        <v>0</v>
      </c>
      <c r="AL39" s="570">
        <f t="shared" si="4"/>
        <v>0</v>
      </c>
      <c r="AM39" s="573">
        <f t="shared" si="5"/>
        <v>0</v>
      </c>
      <c r="AN39" s="412"/>
      <c r="AP39" s="116"/>
      <c r="AQ39" s="427" t="e">
        <f>ROUND(Y39*(AB39+AE39+AF39+AI39)*(1+('IDENTIFICACIÓN TRABAJADOR'!$H$46+'IDENTIFICACIÓN TRABAJADOR'!$L$46)/('IDENTIFICACIÓN TRABAJADOR'!$E$35-'IDENTIFICACIÓN TRABAJADOR'!$H$46-'IDENTIFICACIÓN TRABAJADOR'!$L$46)),2)</f>
        <v>#VALUE!</v>
      </c>
      <c r="AR39" s="412"/>
      <c r="AS39" s="84" t="s">
        <v>323</v>
      </c>
    </row>
    <row r="40" spans="2:45" ht="15" customHeight="1" x14ac:dyDescent="0.25">
      <c r="B40" s="428" t="s">
        <v>275</v>
      </c>
      <c r="C40" s="429">
        <f>IFERROR(IF(OR(DATE($B$33,MONTH(DATEVALUE(B40&amp;"1")),1)&lt;DATE(YEAR(EXPEDIENTE!$I$25),MONTH(EXPEDIENTE!$I$25),1),DATE($B$33,MONTH(DATEVALUE(B40&amp;"1")),1)&gt;DATE(YEAR(EXPEDIENTE!$I$27),MONTH(EXPEDIENTE!$I$27)+1,1)-1),0,ROUND('% DEDICACIÓN TRABAJADOR'!L41,4)),0)</f>
        <v>0</v>
      </c>
      <c r="D40" s="432">
        <f>'GASTOS EJER. 2'!F25+'GASTOS EJER. 2'!L25-'GASTOS EJER. 2'!X25-'GASTOS EJER. 2'!Y25</f>
        <v>0</v>
      </c>
      <c r="E40" s="189" t="str">
        <f>IF('GASTOS EJER. 2'!AA25="","",'GASTOS EJER. 2'!AA25)</f>
        <v/>
      </c>
      <c r="F40" s="431">
        <f>IF(E40&lt;=EXPEDIENTE!$I$29,D40,0)</f>
        <v>0</v>
      </c>
      <c r="G40" s="432">
        <f>'GASTOS EJER. 2'!Y25</f>
        <v>0</v>
      </c>
      <c r="H40" s="189" t="str">
        <f>IF('GASTOS EJER. 2'!AB25="","",'GASTOS EJER. 2'!AB25)</f>
        <v/>
      </c>
      <c r="I40" s="431">
        <f>IF(H40&lt;=EXPEDIENTE!$I$29,G40,0)</f>
        <v>0</v>
      </c>
      <c r="J40" s="433">
        <f>AUXILIAR!BX45</f>
        <v>0</v>
      </c>
      <c r="K40" s="432">
        <f>AUXILIAR!FU44</f>
        <v>0</v>
      </c>
      <c r="L40" s="189" t="str">
        <f>IF('GASTOS EJER. 2'!I57="","",'GASTOS EJER. 2'!I57)</f>
        <v/>
      </c>
      <c r="M40" s="431">
        <f>IF(L40&lt;=EXPEDIENTE!$I$29,K40,0)</f>
        <v>0</v>
      </c>
      <c r="N40" s="434">
        <f>IF($V$42=0,0,IF(AND($V$44&gt;$V$42,$V$40=1100%),MIN(AUXILIAR!$P$17,ROUND($V$42/$V$44*(F40+I40+J40+M40)*('IDENTIFICACIÓN TRABAJADOR'!$H$46+'IDENTIFICACIÓN TRABAJADOR'!$L$46)/('IDENTIFICACIÓN TRABAJADOR'!$E$35-'IDENTIFICACIÓN TRABAJADOR'!$H$46-'IDENTIFICACIÓN TRABAJADOR'!$L$46),2)),MIN(AUXILIAR!$P$17,ROUND((F40+I40+J40+M40)*('IDENTIFICACIÓN TRABAJADOR'!$H$46+'IDENTIFICACIÓN TRABAJADOR'!$L$46)/('IDENTIFICACIÓN TRABAJADOR'!$E$35-'IDENTIFICACIÓN TRABAJADOR'!$H$46-'IDENTIFICACIÓN TRABAJADOR'!$L$46),2))))</f>
        <v>0</v>
      </c>
      <c r="O40" s="433">
        <f>IF($V$42=0,0,IF(AND($V$44&gt;$V$42,$V$40=1100%),MIN(AUXILIAR!$P$17,ROUND($V$42/$V$44*(F40+I40+J40+M40)*(1+('IDENTIFICACIÓN TRABAJADOR'!$H$46+'IDENTIFICACIÓN TRABAJADOR'!$L$46)/('IDENTIFICACIÓN TRABAJADOR'!$E$35-'IDENTIFICACIÓN TRABAJADOR'!$H$46-'IDENTIFICACIÓN TRABAJADOR'!$L$46)),2)),MIN(AUXILIAR!$P$17,ROUND((F40+I40+J40+M40)*(1+('IDENTIFICACIÓN TRABAJADOR'!$H$46+'IDENTIFICACIÓN TRABAJADOR'!$L$46)/('IDENTIFICACIÓN TRABAJADOR'!$E$35-'IDENTIFICACIÓN TRABAJADOR'!$H$46-'IDENTIFICACIÓN TRABAJADOR'!$L$46)),2))))</f>
        <v>0</v>
      </c>
      <c r="P40" s="434">
        <f t="shared" si="3"/>
        <v>0</v>
      </c>
      <c r="Q40" s="412"/>
      <c r="S40" s="116"/>
      <c r="T40" s="427" t="e">
        <f>ROUND(C40*(F40+I40+J40+M40)*(1+('IDENTIFICACIÓN TRABAJADOR'!$H$46+'IDENTIFICACIÓN TRABAJADOR'!$L$46)/('IDENTIFICACIÓN TRABAJADOR'!$E$35-'IDENTIFICACIÓN TRABAJADOR'!$H$46-'IDENTIFICACIÓN TRABAJADOR'!$L$46)),2)</f>
        <v>#VALUE!</v>
      </c>
      <c r="U40" s="305"/>
      <c r="V40" s="435">
        <f>SUM('% DEDICACIÓN TRABAJADOR'!$G$41:$R$41)</f>
        <v>0</v>
      </c>
      <c r="X40" s="581" t="s">
        <v>275</v>
      </c>
      <c r="Y40" s="429">
        <f>IFERROR(IF(OR(DATE($B$33,MONTH(DATEVALUE(X40&amp;"1")),1)&lt;DATE(YEAR(EXPEDIENTE!$I$25),MONTH(EXPEDIENTE!$I$25),1),DATE($B$33,MONTH(DATEVALUE(X40&amp;"1")),1)&gt;DATE(YEAR(EXPEDIENTE!$I$27),MONTH(EXPEDIENTE!$I$27)+1,1)-1),0,ROUND('% DEDICACIÓN TRABAJADOR'!L41,4)),0)</f>
        <v>0</v>
      </c>
      <c r="Z40" s="432">
        <f>'GASTOS EJER. 2'!AW25+'GASTOS EJER. 2'!BM25-'GASTOS EJER. 2'!CM25-'GASTOS EJER. 2'!CP25</f>
        <v>0</v>
      </c>
      <c r="AA40" s="189" t="str">
        <f>IF('GASTOS EJER. 2'!CT25="","",'GASTOS EJER. 2'!CT25)</f>
        <v/>
      </c>
      <c r="AB40" s="431">
        <f>IF(AA40&lt;=EXPEDIENTE!$I$29,Z40,0)</f>
        <v>0</v>
      </c>
      <c r="AC40" s="432">
        <f>'GASTOS EJER. 2'!CP25</f>
        <v>0</v>
      </c>
      <c r="AD40" s="189" t="str">
        <f>IF('GASTOS EJER. 2'!CW25="","",'GASTOS EJER. 2'!CW25)</f>
        <v/>
      </c>
      <c r="AE40" s="431">
        <f>IF(AD40&lt;=EXPEDIENTE!$I$29,AC40,0)</f>
        <v>0</v>
      </c>
      <c r="AF40" s="433">
        <f>AUXILIAR!DQ45</f>
        <v>0</v>
      </c>
      <c r="AG40" s="432">
        <f>AUXILIAR!HZ44</f>
        <v>0</v>
      </c>
      <c r="AH40" s="189" t="str">
        <f>IF('GASTOS EJER. 2'!BF57="","",'GASTOS EJER. 2'!BF57)</f>
        <v/>
      </c>
      <c r="AI40" s="431">
        <f>IF(AH40&lt;=EXPEDIENTE!$I$29,AG40,0)</f>
        <v>0</v>
      </c>
      <c r="AJ40" s="434">
        <f>IF($AS$42=0,0,IF(AND($AS$44&gt;$AS$42,$AS$40=1100%),MIN(AUXILIAR!$P$17,ROUND($AS$42/$AS$44*(AB40+AE40+AF40+AI40)*('IDENTIFICACIÓN TRABAJADOR'!$H$46+'IDENTIFICACIÓN TRABAJADOR'!$L$46)/('IDENTIFICACIÓN TRABAJADOR'!$E$35-'IDENTIFICACIÓN TRABAJADOR'!$H$46-'IDENTIFICACIÓN TRABAJADOR'!$L$46),2)),MIN(AUXILIAR!$P$17,ROUND((AB40+AE40+AF40+AI40)*('IDENTIFICACIÓN TRABAJADOR'!$H$46+'IDENTIFICACIÓN TRABAJADOR'!$L$46)/('IDENTIFICACIÓN TRABAJADOR'!$E$35-'IDENTIFICACIÓN TRABAJADOR'!$H$46-'IDENTIFICACIÓN TRABAJADOR'!$L$46),2))))</f>
        <v>0</v>
      </c>
      <c r="AK40" s="433">
        <f>IF($AS$42=0,0,IF(AND($AS$44&gt;$AS$42,$AS$40=1100%),MIN(AUXILIAR!$P$17,ROUND($AS$42/$AS$44*(AB40+AE40+AF40+AI40)*(1+('IDENTIFICACIÓN TRABAJADOR'!$H$46+'IDENTIFICACIÓN TRABAJADOR'!$L$46)/('IDENTIFICACIÓN TRABAJADOR'!$E$35-'IDENTIFICACIÓN TRABAJADOR'!$H$46-'IDENTIFICACIÓN TRABAJADOR'!$L$46)),2)),MIN(AUXILIAR!$P$17,ROUND((AB40+AE40+AF40+AI40)*(1+('IDENTIFICACIÓN TRABAJADOR'!$H$46+'IDENTIFICACIÓN TRABAJADOR'!$L$46)/('IDENTIFICACIÓN TRABAJADOR'!$E$35-'IDENTIFICACIÓN TRABAJADOR'!$H$46-'IDENTIFICACIÓN TRABAJADOR'!$L$46)),2))))</f>
        <v>0</v>
      </c>
      <c r="AL40" s="570">
        <f t="shared" si="4"/>
        <v>0</v>
      </c>
      <c r="AM40" s="573">
        <f t="shared" si="5"/>
        <v>0</v>
      </c>
      <c r="AN40" s="412"/>
      <c r="AP40" s="116"/>
      <c r="AQ40" s="427" t="e">
        <f>ROUND(Y40*(AB40+AE40+AF40+AI40)*(1+('IDENTIFICACIÓN TRABAJADOR'!$H$46+'IDENTIFICACIÓN TRABAJADOR'!$L$46)/('IDENTIFICACIÓN TRABAJADOR'!$E$35-'IDENTIFICACIÓN TRABAJADOR'!$H$46-'IDENTIFICACIÓN TRABAJADOR'!$L$46)),2)</f>
        <v>#VALUE!</v>
      </c>
      <c r="AR40" s="305"/>
      <c r="AS40" s="435">
        <f>SUM('% DEDICACIÓN TRABAJADOR'!$G$41:$R$41)</f>
        <v>0</v>
      </c>
    </row>
    <row r="41" spans="2:45" ht="15" customHeight="1" x14ac:dyDescent="0.25">
      <c r="B41" s="428" t="s">
        <v>276</v>
      </c>
      <c r="C41" s="429">
        <f>IFERROR(IF(OR(DATE($B$33,MONTH(DATEVALUE(B41&amp;"1")),1)&lt;DATE(YEAR(EXPEDIENTE!$I$25),MONTH(EXPEDIENTE!$I$25),1),DATE($B$33,MONTH(DATEVALUE(B41&amp;"1")),1)&gt;DATE(YEAR(EXPEDIENTE!$I$27),MONTH(EXPEDIENTE!$I$27)+1,1)-1),0,ROUND('% DEDICACIÓN TRABAJADOR'!M41,4)),0)</f>
        <v>0</v>
      </c>
      <c r="D41" s="432">
        <f>'GASTOS EJER. 2'!F26+'GASTOS EJER. 2'!L26-'GASTOS EJER. 2'!X26-'GASTOS EJER. 2'!Y26</f>
        <v>0</v>
      </c>
      <c r="E41" s="189" t="str">
        <f>IF('GASTOS EJER. 2'!AA26="","",'GASTOS EJER. 2'!AA26)</f>
        <v/>
      </c>
      <c r="F41" s="431">
        <f>IF(E41&lt;=EXPEDIENTE!$I$29,D41,0)</f>
        <v>0</v>
      </c>
      <c r="G41" s="432">
        <f>'GASTOS EJER. 2'!Y26</f>
        <v>0</v>
      </c>
      <c r="H41" s="189" t="str">
        <f>IF('GASTOS EJER. 2'!AB26="","",'GASTOS EJER. 2'!AB26)</f>
        <v/>
      </c>
      <c r="I41" s="431">
        <f>IF(H41&lt;=EXPEDIENTE!$I$29,G41,0)</f>
        <v>0</v>
      </c>
      <c r="J41" s="433">
        <f>AUXILIAR!BX46</f>
        <v>0</v>
      </c>
      <c r="K41" s="432">
        <f>AUXILIAR!FU45</f>
        <v>0</v>
      </c>
      <c r="L41" s="189" t="str">
        <f>IF('GASTOS EJER. 2'!I58="","",'GASTOS EJER. 2'!I58)</f>
        <v/>
      </c>
      <c r="M41" s="431">
        <f>IF(L41&lt;=EXPEDIENTE!$I$29,K41,0)</f>
        <v>0</v>
      </c>
      <c r="N41" s="434">
        <f>IF($V$42=0,0,IF(AND($V$44&gt;$V$42,$V$40=1100%),MIN(AUXILIAR!$P$17,ROUND($V$42/$V$44*(F41+I41+J41+M41)*('IDENTIFICACIÓN TRABAJADOR'!$H$46+'IDENTIFICACIÓN TRABAJADOR'!$L$46)/('IDENTIFICACIÓN TRABAJADOR'!$E$35-'IDENTIFICACIÓN TRABAJADOR'!$H$46-'IDENTIFICACIÓN TRABAJADOR'!$L$46),2)),MIN(AUXILIAR!$P$17,ROUND((F41+I41+J41+M41)*('IDENTIFICACIÓN TRABAJADOR'!$H$46+'IDENTIFICACIÓN TRABAJADOR'!$L$46)/('IDENTIFICACIÓN TRABAJADOR'!$E$35-'IDENTIFICACIÓN TRABAJADOR'!$H$46-'IDENTIFICACIÓN TRABAJADOR'!$L$46),2))))</f>
        <v>0</v>
      </c>
      <c r="O41" s="433">
        <f>IF($V$42=0,0,IF(AND($V$44&gt;$V$42,$V$40=1100%),MIN(AUXILIAR!$P$17,ROUND($V$42/$V$44*(F41+I41+J41+M41)*(1+('IDENTIFICACIÓN TRABAJADOR'!$H$46+'IDENTIFICACIÓN TRABAJADOR'!$L$46)/('IDENTIFICACIÓN TRABAJADOR'!$E$35-'IDENTIFICACIÓN TRABAJADOR'!$H$46-'IDENTIFICACIÓN TRABAJADOR'!$L$46)),2)),MIN(AUXILIAR!$P$17,ROUND((F41+I41+J41+M41)*(1+('IDENTIFICACIÓN TRABAJADOR'!$H$46+'IDENTIFICACIÓN TRABAJADOR'!$L$46)/('IDENTIFICACIÓN TRABAJADOR'!$E$35-'IDENTIFICACIÓN TRABAJADOR'!$H$46-'IDENTIFICACIÓN TRABAJADOR'!$L$46)),2))))</f>
        <v>0</v>
      </c>
      <c r="P41" s="434">
        <f t="shared" si="3"/>
        <v>0</v>
      </c>
      <c r="Q41" s="412"/>
      <c r="T41" s="427" t="e">
        <f>ROUND(C41*(F41+I41+J41+M41)*(1+('IDENTIFICACIÓN TRABAJADOR'!$H$46+'IDENTIFICACIÓN TRABAJADOR'!$L$46)/('IDENTIFICACIÓN TRABAJADOR'!$E$35-'IDENTIFICACIÓN TRABAJADOR'!$H$46-'IDENTIFICACIÓN TRABAJADOR'!$L$46)),2)</f>
        <v>#VALUE!</v>
      </c>
      <c r="U41" s="305"/>
      <c r="V41" s="84" t="s">
        <v>324</v>
      </c>
      <c r="X41" s="581" t="s">
        <v>276</v>
      </c>
      <c r="Y41" s="429">
        <f>IFERROR(IF(OR(DATE($B$33,MONTH(DATEVALUE(X41&amp;"1")),1)&lt;DATE(YEAR(EXPEDIENTE!$I$25),MONTH(EXPEDIENTE!$I$25),1),DATE($B$33,MONTH(DATEVALUE(X41&amp;"1")),1)&gt;DATE(YEAR(EXPEDIENTE!$I$27),MONTH(EXPEDIENTE!$I$27)+1,1)-1),0,ROUND('% DEDICACIÓN TRABAJADOR'!M41,4)),0)</f>
        <v>0</v>
      </c>
      <c r="Z41" s="432">
        <f>'GASTOS EJER. 2'!AW26+'GASTOS EJER. 2'!BM26-'GASTOS EJER. 2'!CM26-'GASTOS EJER. 2'!CP26</f>
        <v>0</v>
      </c>
      <c r="AA41" s="189" t="str">
        <f>IF('GASTOS EJER. 2'!CT26="","",'GASTOS EJER. 2'!CT26)</f>
        <v/>
      </c>
      <c r="AB41" s="431">
        <f>IF(AA41&lt;=EXPEDIENTE!$I$29,Z41,0)</f>
        <v>0</v>
      </c>
      <c r="AC41" s="432">
        <f>'GASTOS EJER. 2'!CP26</f>
        <v>0</v>
      </c>
      <c r="AD41" s="189" t="str">
        <f>IF('GASTOS EJER. 2'!CW26="","",'GASTOS EJER. 2'!CW26)</f>
        <v/>
      </c>
      <c r="AE41" s="431">
        <f>IF(AD41&lt;=EXPEDIENTE!$I$29,AC41,0)</f>
        <v>0</v>
      </c>
      <c r="AF41" s="433">
        <f>AUXILIAR!DQ46</f>
        <v>0</v>
      </c>
      <c r="AG41" s="432">
        <f>AUXILIAR!HZ45</f>
        <v>0</v>
      </c>
      <c r="AH41" s="189" t="str">
        <f>IF('GASTOS EJER. 2'!BF58="","",'GASTOS EJER. 2'!BF58)</f>
        <v/>
      </c>
      <c r="AI41" s="431">
        <f>IF(AH41&lt;=EXPEDIENTE!$I$29,AG41,0)</f>
        <v>0</v>
      </c>
      <c r="AJ41" s="434">
        <f>IF($AS$42=0,0,IF(AND($AS$44&gt;$AS$42,$AS$40=1100%),MIN(AUXILIAR!$P$17,ROUND($AS$42/$AS$44*(AB41+AE41+AF41+AI41)*('IDENTIFICACIÓN TRABAJADOR'!$H$46+'IDENTIFICACIÓN TRABAJADOR'!$L$46)/('IDENTIFICACIÓN TRABAJADOR'!$E$35-'IDENTIFICACIÓN TRABAJADOR'!$H$46-'IDENTIFICACIÓN TRABAJADOR'!$L$46),2)),MIN(AUXILIAR!$P$17,ROUND((AB41+AE41+AF41+AI41)*('IDENTIFICACIÓN TRABAJADOR'!$H$46+'IDENTIFICACIÓN TRABAJADOR'!$L$46)/('IDENTIFICACIÓN TRABAJADOR'!$E$35-'IDENTIFICACIÓN TRABAJADOR'!$H$46-'IDENTIFICACIÓN TRABAJADOR'!$L$46),2))))</f>
        <v>0</v>
      </c>
      <c r="AK41" s="433">
        <f>IF($AS$42=0,0,IF(AND($AS$44&gt;$AS$42,$AS$40=1100%),MIN(AUXILIAR!$P$17,ROUND($AS$42/$AS$44*(AB41+AE41+AF41+AI41)*(1+('IDENTIFICACIÓN TRABAJADOR'!$H$46+'IDENTIFICACIÓN TRABAJADOR'!$L$46)/('IDENTIFICACIÓN TRABAJADOR'!$E$35-'IDENTIFICACIÓN TRABAJADOR'!$H$46-'IDENTIFICACIÓN TRABAJADOR'!$L$46)),2)),MIN(AUXILIAR!$P$17,ROUND((AB41+AE41+AF41+AI41)*(1+('IDENTIFICACIÓN TRABAJADOR'!$H$46+'IDENTIFICACIÓN TRABAJADOR'!$L$46)/('IDENTIFICACIÓN TRABAJADOR'!$E$35-'IDENTIFICACIÓN TRABAJADOR'!$H$46-'IDENTIFICACIÓN TRABAJADOR'!$L$46)),2))))</f>
        <v>0</v>
      </c>
      <c r="AL41" s="570">
        <f t="shared" si="4"/>
        <v>0</v>
      </c>
      <c r="AM41" s="573">
        <f t="shared" si="5"/>
        <v>0</v>
      </c>
      <c r="AN41" s="412"/>
      <c r="AQ41" s="427" t="e">
        <f>ROUND(Y41*(AB41+AE41+AF41+AI41)*(1+('IDENTIFICACIÓN TRABAJADOR'!$H$46+'IDENTIFICACIÓN TRABAJADOR'!$L$46)/('IDENTIFICACIÓN TRABAJADOR'!$E$35-'IDENTIFICACIÓN TRABAJADOR'!$H$46-'IDENTIFICACIÓN TRABAJADOR'!$L$46)),2)</f>
        <v>#VALUE!</v>
      </c>
      <c r="AR41" s="305"/>
      <c r="AS41" s="84" t="s">
        <v>324</v>
      </c>
    </row>
    <row r="42" spans="2:45" ht="15" customHeight="1" x14ac:dyDescent="0.25">
      <c r="B42" s="428" t="s">
        <v>277</v>
      </c>
      <c r="C42" s="429">
        <f>IFERROR(IF(OR(DATE($B$33,MONTH(DATEVALUE(B42&amp;"1")),1)&lt;DATE(YEAR(EXPEDIENTE!$I$25),MONTH(EXPEDIENTE!$I$25),1),DATE($B$33,MONTH(DATEVALUE(B42&amp;"1")),1)&gt;DATE(YEAR(EXPEDIENTE!$I$27),MONTH(EXPEDIENTE!$I$27)+1,1)-1),0,ROUND('% DEDICACIÓN TRABAJADOR'!N41,4)),0)</f>
        <v>0</v>
      </c>
      <c r="D42" s="432">
        <f>'GASTOS EJER. 2'!F27+'GASTOS EJER. 2'!L27-'GASTOS EJER. 2'!X27-'GASTOS EJER. 2'!Y27</f>
        <v>0</v>
      </c>
      <c r="E42" s="189" t="str">
        <f>IF('GASTOS EJER. 2'!AA27="","",'GASTOS EJER. 2'!AA27)</f>
        <v/>
      </c>
      <c r="F42" s="431">
        <f>IF(E42&lt;=EXPEDIENTE!$I$29,D42,0)</f>
        <v>0</v>
      </c>
      <c r="G42" s="432">
        <f>'GASTOS EJER. 2'!Y27</f>
        <v>0</v>
      </c>
      <c r="H42" s="189" t="str">
        <f>IF('GASTOS EJER. 2'!AB27="","",'GASTOS EJER. 2'!AB27)</f>
        <v/>
      </c>
      <c r="I42" s="431">
        <f>IF(H42&lt;=EXPEDIENTE!$I$29,G42,0)</f>
        <v>0</v>
      </c>
      <c r="J42" s="433">
        <f>AUXILIAR!BX47</f>
        <v>0</v>
      </c>
      <c r="K42" s="432">
        <f>AUXILIAR!FU46</f>
        <v>0</v>
      </c>
      <c r="L42" s="189" t="str">
        <f>IF('GASTOS EJER. 2'!I59="","",'GASTOS EJER. 2'!I59)</f>
        <v/>
      </c>
      <c r="M42" s="431">
        <f>IF(L42&lt;=EXPEDIENTE!$I$29,K42,0)</f>
        <v>0</v>
      </c>
      <c r="N42" s="434">
        <f>IF($V$42=0,0,IF(AND($V$44&gt;$V$42,$V$40=1100%),MIN(AUXILIAR!$P$17,ROUND($V$42/$V$44*(F42+I42+J42+M42)*('IDENTIFICACIÓN TRABAJADOR'!$H$46+'IDENTIFICACIÓN TRABAJADOR'!$L$46)/('IDENTIFICACIÓN TRABAJADOR'!$E$35-'IDENTIFICACIÓN TRABAJADOR'!$H$46-'IDENTIFICACIÓN TRABAJADOR'!$L$46),2)),MIN(AUXILIAR!$P$17,ROUND((F42+I42+J42+M42)*('IDENTIFICACIÓN TRABAJADOR'!$H$46+'IDENTIFICACIÓN TRABAJADOR'!$L$46)/('IDENTIFICACIÓN TRABAJADOR'!$E$35-'IDENTIFICACIÓN TRABAJADOR'!$H$46-'IDENTIFICACIÓN TRABAJADOR'!$L$46),2))))</f>
        <v>0</v>
      </c>
      <c r="O42" s="433">
        <f>IF($V$42=0,0,IF(AND($V$44&gt;$V$42,$V$40=1100%),MIN(AUXILIAR!$P$17,ROUND($V$42/$V$44*(F42+I42+J42+M42)*(1+('IDENTIFICACIÓN TRABAJADOR'!$H$46+'IDENTIFICACIÓN TRABAJADOR'!$L$46)/('IDENTIFICACIÓN TRABAJADOR'!$E$35-'IDENTIFICACIÓN TRABAJADOR'!$H$46-'IDENTIFICACIÓN TRABAJADOR'!$L$46)),2)),MIN(AUXILIAR!$P$17,ROUND((F42+I42+J42+M42)*(1+('IDENTIFICACIÓN TRABAJADOR'!$H$46+'IDENTIFICACIÓN TRABAJADOR'!$L$46)/('IDENTIFICACIÓN TRABAJADOR'!$E$35-'IDENTIFICACIÓN TRABAJADOR'!$H$46-'IDENTIFICACIÓN TRABAJADOR'!$L$46)),2))))</f>
        <v>0</v>
      </c>
      <c r="P42" s="434">
        <f t="shared" si="3"/>
        <v>0</v>
      </c>
      <c r="Q42" s="412"/>
      <c r="T42" s="427" t="e">
        <f>ROUND(C42*(F42+I42+J42+M42)*(1+('IDENTIFICACIÓN TRABAJADOR'!$H$46+'IDENTIFICACIÓN TRABAJADOR'!$L$46)/('IDENTIFICACIÓN TRABAJADOR'!$E$35-'IDENTIFICACIÓN TRABAJADOR'!$H$46-'IDENTIFICACIÓN TRABAJADOR'!$L$46)),2)</f>
        <v>#VALUE!</v>
      </c>
      <c r="U42" s="305"/>
      <c r="V42" s="436">
        <f>SUM(F35:F46)+SUM(I35:I46)+SUM(J35:J46)+SUM(M35:M46)</f>
        <v>0</v>
      </c>
      <c r="X42" s="581" t="s">
        <v>277</v>
      </c>
      <c r="Y42" s="429">
        <f>IFERROR(IF(OR(DATE($B$33,MONTH(DATEVALUE(X42&amp;"1")),1)&lt;DATE(YEAR(EXPEDIENTE!$I$25),MONTH(EXPEDIENTE!$I$25),1),DATE($B$33,MONTH(DATEVALUE(X42&amp;"1")),1)&gt;DATE(YEAR(EXPEDIENTE!$I$27),MONTH(EXPEDIENTE!$I$27)+1,1)-1),0,ROUND('% DEDICACIÓN TRABAJADOR'!N41,4)),0)</f>
        <v>0</v>
      </c>
      <c r="Z42" s="432">
        <f>'GASTOS EJER. 2'!AW27+'GASTOS EJER. 2'!BM27-'GASTOS EJER. 2'!CM27-'GASTOS EJER. 2'!CP27</f>
        <v>0</v>
      </c>
      <c r="AA42" s="189" t="str">
        <f>IF('GASTOS EJER. 2'!CT27="","",'GASTOS EJER. 2'!CT27)</f>
        <v/>
      </c>
      <c r="AB42" s="431">
        <f>IF(AA42&lt;=EXPEDIENTE!$I$29,Z42,0)</f>
        <v>0</v>
      </c>
      <c r="AC42" s="432">
        <f>'GASTOS EJER. 2'!CP27</f>
        <v>0</v>
      </c>
      <c r="AD42" s="189" t="str">
        <f>IF('GASTOS EJER. 2'!CW27="","",'GASTOS EJER. 2'!CW27)</f>
        <v/>
      </c>
      <c r="AE42" s="431">
        <f>IF(AD42&lt;=EXPEDIENTE!$I$29,AC42,0)</f>
        <v>0</v>
      </c>
      <c r="AF42" s="433">
        <f>AUXILIAR!DQ47</f>
        <v>0</v>
      </c>
      <c r="AG42" s="432">
        <f>AUXILIAR!HZ46</f>
        <v>0</v>
      </c>
      <c r="AH42" s="189" t="str">
        <f>IF('GASTOS EJER. 2'!BF59="","",'GASTOS EJER. 2'!BF59)</f>
        <v/>
      </c>
      <c r="AI42" s="431">
        <f>IF(AH42&lt;=EXPEDIENTE!$I$29,AG42,0)</f>
        <v>0</v>
      </c>
      <c r="AJ42" s="434">
        <f>IF($AS$42=0,0,IF(AND($AS$44&gt;$AS$42,$AS$40=1100%),MIN(AUXILIAR!$P$17,ROUND($AS$42/$AS$44*(AB42+AE42+AF42+AI42)*('IDENTIFICACIÓN TRABAJADOR'!$H$46+'IDENTIFICACIÓN TRABAJADOR'!$L$46)/('IDENTIFICACIÓN TRABAJADOR'!$E$35-'IDENTIFICACIÓN TRABAJADOR'!$H$46-'IDENTIFICACIÓN TRABAJADOR'!$L$46),2)),MIN(AUXILIAR!$P$17,ROUND((AB42+AE42+AF42+AI42)*('IDENTIFICACIÓN TRABAJADOR'!$H$46+'IDENTIFICACIÓN TRABAJADOR'!$L$46)/('IDENTIFICACIÓN TRABAJADOR'!$E$35-'IDENTIFICACIÓN TRABAJADOR'!$H$46-'IDENTIFICACIÓN TRABAJADOR'!$L$46),2))))</f>
        <v>0</v>
      </c>
      <c r="AK42" s="433">
        <f>IF($AS$42=0,0,IF(AND($AS$44&gt;$AS$42,$AS$40=1100%),MIN(AUXILIAR!$P$17,ROUND($AS$42/$AS$44*(AB42+AE42+AF42+AI42)*(1+('IDENTIFICACIÓN TRABAJADOR'!$H$46+'IDENTIFICACIÓN TRABAJADOR'!$L$46)/('IDENTIFICACIÓN TRABAJADOR'!$E$35-'IDENTIFICACIÓN TRABAJADOR'!$H$46-'IDENTIFICACIÓN TRABAJADOR'!$L$46)),2)),MIN(AUXILIAR!$P$17,ROUND((AB42+AE42+AF42+AI42)*(1+('IDENTIFICACIÓN TRABAJADOR'!$H$46+'IDENTIFICACIÓN TRABAJADOR'!$L$46)/('IDENTIFICACIÓN TRABAJADOR'!$E$35-'IDENTIFICACIÓN TRABAJADOR'!$H$46-'IDENTIFICACIÓN TRABAJADOR'!$L$46)),2))))</f>
        <v>0</v>
      </c>
      <c r="AL42" s="570">
        <f t="shared" si="4"/>
        <v>0</v>
      </c>
      <c r="AM42" s="573">
        <f t="shared" si="5"/>
        <v>0</v>
      </c>
      <c r="AN42" s="412"/>
      <c r="AQ42" s="427" t="e">
        <f>ROUND(Y42*(AB42+AE42+AF42+AI42)*(1+('IDENTIFICACIÓN TRABAJADOR'!$H$46+'IDENTIFICACIÓN TRABAJADOR'!$L$46)/('IDENTIFICACIÓN TRABAJADOR'!$E$35-'IDENTIFICACIÓN TRABAJADOR'!$H$46-'IDENTIFICACIÓN TRABAJADOR'!$L$46)),2)</f>
        <v>#VALUE!</v>
      </c>
      <c r="AR42" s="305"/>
      <c r="AS42" s="436">
        <f>SUM(AB35:AB46)+SUM(AE35:AE46)+SUM(AF35:AF46)+SUM(AI35:AI46)</f>
        <v>0</v>
      </c>
    </row>
    <row r="43" spans="2:45" ht="15" customHeight="1" x14ac:dyDescent="0.25">
      <c r="B43" s="428" t="s">
        <v>278</v>
      </c>
      <c r="C43" s="429">
        <f>IFERROR(IF(OR(DATE($B$33,MONTH(DATEVALUE(B43&amp;"1")),1)&lt;DATE(YEAR(EXPEDIENTE!$I$25),MONTH(EXPEDIENTE!$I$25),1),DATE($B$33,MONTH(DATEVALUE(B43&amp;"1")),1)&gt;DATE(YEAR(EXPEDIENTE!$I$27),MONTH(EXPEDIENTE!$I$27)+1,1)-1),0,ROUND('% DEDICACIÓN TRABAJADOR'!O41,4)),0)</f>
        <v>0</v>
      </c>
      <c r="D43" s="432">
        <f>'GASTOS EJER. 2'!F28+'GASTOS EJER. 2'!L28-'GASTOS EJER. 2'!X28-'GASTOS EJER. 2'!Y28</f>
        <v>0</v>
      </c>
      <c r="E43" s="189" t="str">
        <f>IF('GASTOS EJER. 2'!AA28="","",'GASTOS EJER. 2'!AA28)</f>
        <v/>
      </c>
      <c r="F43" s="431">
        <f>IF(E43&lt;=EXPEDIENTE!$I$29,D43,0)</f>
        <v>0</v>
      </c>
      <c r="G43" s="432">
        <f>'GASTOS EJER. 2'!Y28</f>
        <v>0</v>
      </c>
      <c r="H43" s="189" t="str">
        <f>IF('GASTOS EJER. 2'!AB28="","",'GASTOS EJER. 2'!AB28)</f>
        <v/>
      </c>
      <c r="I43" s="431">
        <f>IF(H43&lt;=EXPEDIENTE!$I$29,G43,0)</f>
        <v>0</v>
      </c>
      <c r="J43" s="433">
        <f>AUXILIAR!BX48</f>
        <v>0</v>
      </c>
      <c r="K43" s="432">
        <f>AUXILIAR!FU47</f>
        <v>0</v>
      </c>
      <c r="L43" s="189" t="str">
        <f>IF('GASTOS EJER. 2'!I60="","",'GASTOS EJER. 2'!I60)</f>
        <v/>
      </c>
      <c r="M43" s="431">
        <f>IF(L43&lt;=EXPEDIENTE!$I$29,K43,0)</f>
        <v>0</v>
      </c>
      <c r="N43" s="434">
        <f>IF($V$42=0,0,IF(AND($V$44&gt;$V$42,$V$40=1100%),MIN(AUXILIAR!$P$17,ROUND($V$42/$V$44*(F43+I43+J43+M43)*('IDENTIFICACIÓN TRABAJADOR'!$H$46+'IDENTIFICACIÓN TRABAJADOR'!$L$46)/('IDENTIFICACIÓN TRABAJADOR'!$E$35-'IDENTIFICACIÓN TRABAJADOR'!$H$46-'IDENTIFICACIÓN TRABAJADOR'!$L$46),2)),MIN(AUXILIAR!$P$17,ROUND((F43+I43+J43+M43)*('IDENTIFICACIÓN TRABAJADOR'!$H$46+'IDENTIFICACIÓN TRABAJADOR'!$L$46)/('IDENTIFICACIÓN TRABAJADOR'!$E$35-'IDENTIFICACIÓN TRABAJADOR'!$H$46-'IDENTIFICACIÓN TRABAJADOR'!$L$46),2))))</f>
        <v>0</v>
      </c>
      <c r="O43" s="433">
        <f>IF($V$42=0,0,IF(AND($V$44&gt;$V$42,$V$40=1100%),MIN(AUXILIAR!$P$17,ROUND($V$42/$V$44*(F43+I43+J43+M43)*(1+('IDENTIFICACIÓN TRABAJADOR'!$H$46+'IDENTIFICACIÓN TRABAJADOR'!$L$46)/('IDENTIFICACIÓN TRABAJADOR'!$E$35-'IDENTIFICACIÓN TRABAJADOR'!$H$46-'IDENTIFICACIÓN TRABAJADOR'!$L$46)),2)),MIN(AUXILIAR!$P$17,ROUND((F43+I43+J43+M43)*(1+('IDENTIFICACIÓN TRABAJADOR'!$H$46+'IDENTIFICACIÓN TRABAJADOR'!$L$46)/('IDENTIFICACIÓN TRABAJADOR'!$E$35-'IDENTIFICACIÓN TRABAJADOR'!$H$46-'IDENTIFICACIÓN TRABAJADOR'!$L$46)),2))))</f>
        <v>0</v>
      </c>
      <c r="P43" s="434">
        <f t="shared" si="3"/>
        <v>0</v>
      </c>
      <c r="Q43" s="412"/>
      <c r="T43" s="427" t="e">
        <f>ROUND(C43*(F43+I43+J43+M43)*(1+('IDENTIFICACIÓN TRABAJADOR'!$H$46+'IDENTIFICACIÓN TRABAJADOR'!$L$46)/('IDENTIFICACIÓN TRABAJADOR'!$E$35-'IDENTIFICACIÓN TRABAJADOR'!$H$46-'IDENTIFICACIÓN TRABAJADOR'!$L$46)),2)</f>
        <v>#VALUE!</v>
      </c>
      <c r="U43" s="305"/>
      <c r="V43" s="84" t="s">
        <v>325</v>
      </c>
      <c r="X43" s="581" t="s">
        <v>278</v>
      </c>
      <c r="Y43" s="429">
        <f>IFERROR(IF(OR(DATE($B$33,MONTH(DATEVALUE(X43&amp;"1")),1)&lt;DATE(YEAR(EXPEDIENTE!$I$25),MONTH(EXPEDIENTE!$I$25),1),DATE($B$33,MONTH(DATEVALUE(X43&amp;"1")),1)&gt;DATE(YEAR(EXPEDIENTE!$I$27),MONTH(EXPEDIENTE!$I$27)+1,1)-1),0,ROUND('% DEDICACIÓN TRABAJADOR'!O41,4)),0)</f>
        <v>0</v>
      </c>
      <c r="Z43" s="432">
        <f>'GASTOS EJER. 2'!AW28+'GASTOS EJER. 2'!BM28-'GASTOS EJER. 2'!CM28-'GASTOS EJER. 2'!CP28</f>
        <v>0</v>
      </c>
      <c r="AA43" s="189" t="str">
        <f>IF('GASTOS EJER. 2'!CT28="","",'GASTOS EJER. 2'!CT28)</f>
        <v/>
      </c>
      <c r="AB43" s="431">
        <f>IF(AA43&lt;=EXPEDIENTE!$I$29,Z43,0)</f>
        <v>0</v>
      </c>
      <c r="AC43" s="432">
        <f>'GASTOS EJER. 2'!CP28</f>
        <v>0</v>
      </c>
      <c r="AD43" s="189" t="str">
        <f>IF('GASTOS EJER. 2'!CW28="","",'GASTOS EJER. 2'!CW28)</f>
        <v/>
      </c>
      <c r="AE43" s="431">
        <f>IF(AD43&lt;=EXPEDIENTE!$I$29,AC43,0)</f>
        <v>0</v>
      </c>
      <c r="AF43" s="433">
        <f>AUXILIAR!DQ48</f>
        <v>0</v>
      </c>
      <c r="AG43" s="432">
        <f>AUXILIAR!HZ47</f>
        <v>0</v>
      </c>
      <c r="AH43" s="189" t="str">
        <f>IF('GASTOS EJER. 2'!BF60="","",'GASTOS EJER. 2'!BF60)</f>
        <v/>
      </c>
      <c r="AI43" s="431">
        <f>IF(AH43&lt;=EXPEDIENTE!$I$29,AG43,0)</f>
        <v>0</v>
      </c>
      <c r="AJ43" s="434">
        <f>IF($AS$42=0,0,IF(AND($AS$44&gt;$AS$42,$AS$40=1100%),MIN(AUXILIAR!$P$17,ROUND($AS$42/$AS$44*(AB43+AE43+AF43+AI43)*('IDENTIFICACIÓN TRABAJADOR'!$H$46+'IDENTIFICACIÓN TRABAJADOR'!$L$46)/('IDENTIFICACIÓN TRABAJADOR'!$E$35-'IDENTIFICACIÓN TRABAJADOR'!$H$46-'IDENTIFICACIÓN TRABAJADOR'!$L$46),2)),MIN(AUXILIAR!$P$17,ROUND((AB43+AE43+AF43+AI43)*('IDENTIFICACIÓN TRABAJADOR'!$H$46+'IDENTIFICACIÓN TRABAJADOR'!$L$46)/('IDENTIFICACIÓN TRABAJADOR'!$E$35-'IDENTIFICACIÓN TRABAJADOR'!$H$46-'IDENTIFICACIÓN TRABAJADOR'!$L$46),2))))</f>
        <v>0</v>
      </c>
      <c r="AK43" s="433">
        <f>IF($AS$42=0,0,IF(AND($AS$44&gt;$AS$42,$AS$40=1100%),MIN(AUXILIAR!$P$17,ROUND($AS$42/$AS$44*(AB43+AE43+AF43+AI43)*(1+('IDENTIFICACIÓN TRABAJADOR'!$H$46+'IDENTIFICACIÓN TRABAJADOR'!$L$46)/('IDENTIFICACIÓN TRABAJADOR'!$E$35-'IDENTIFICACIÓN TRABAJADOR'!$H$46-'IDENTIFICACIÓN TRABAJADOR'!$L$46)),2)),MIN(AUXILIAR!$P$17,ROUND((AB43+AE43+AF43+AI43)*(1+('IDENTIFICACIÓN TRABAJADOR'!$H$46+'IDENTIFICACIÓN TRABAJADOR'!$L$46)/('IDENTIFICACIÓN TRABAJADOR'!$E$35-'IDENTIFICACIÓN TRABAJADOR'!$H$46-'IDENTIFICACIÓN TRABAJADOR'!$L$46)),2))))</f>
        <v>0</v>
      </c>
      <c r="AL43" s="570">
        <f t="shared" si="4"/>
        <v>0</v>
      </c>
      <c r="AM43" s="573">
        <f t="shared" si="5"/>
        <v>0</v>
      </c>
      <c r="AN43" s="412"/>
      <c r="AQ43" s="427" t="e">
        <f>ROUND(Y43*(AB43+AE43+AF43+AI43)*(1+('IDENTIFICACIÓN TRABAJADOR'!$H$46+'IDENTIFICACIÓN TRABAJADOR'!$L$46)/('IDENTIFICACIÓN TRABAJADOR'!$E$35-'IDENTIFICACIÓN TRABAJADOR'!$H$46-'IDENTIFICACIÓN TRABAJADOR'!$L$46)),2)</f>
        <v>#VALUE!</v>
      </c>
      <c r="AR43" s="305"/>
      <c r="AS43" s="84" t="s">
        <v>325</v>
      </c>
    </row>
    <row r="44" spans="2:45" ht="15" customHeight="1" x14ac:dyDescent="0.25">
      <c r="B44" s="428" t="s">
        <v>279</v>
      </c>
      <c r="C44" s="429">
        <f>IFERROR(IF(OR(DATE($B$33,MONTH(DATEVALUE(B44&amp;"1")),1)&lt;DATE(YEAR(EXPEDIENTE!$I$25),MONTH(EXPEDIENTE!$I$25),1),DATE($B$33,MONTH(DATEVALUE(B44&amp;"1")),1)&gt;DATE(YEAR(EXPEDIENTE!$I$27),MONTH(EXPEDIENTE!$I$27)+1,1)-1),0,ROUND('% DEDICACIÓN TRABAJADOR'!P41,4)),0)</f>
        <v>0</v>
      </c>
      <c r="D44" s="432">
        <f>'GASTOS EJER. 2'!F29+'GASTOS EJER. 2'!L29-'GASTOS EJER. 2'!X29-'GASTOS EJER. 2'!Y29</f>
        <v>0</v>
      </c>
      <c r="E44" s="189" t="str">
        <f>IF('GASTOS EJER. 2'!AA29="","",'GASTOS EJER. 2'!AA29)</f>
        <v/>
      </c>
      <c r="F44" s="431">
        <f>IF(E44&lt;=EXPEDIENTE!$I$29,D44,0)</f>
        <v>0</v>
      </c>
      <c r="G44" s="432">
        <f>'GASTOS EJER. 2'!Y29</f>
        <v>0</v>
      </c>
      <c r="H44" s="189" t="str">
        <f>IF('GASTOS EJER. 2'!AB29="","",'GASTOS EJER. 2'!AB29)</f>
        <v/>
      </c>
      <c r="I44" s="431">
        <f>IF(H44&lt;=EXPEDIENTE!$I$29,G44,0)</f>
        <v>0</v>
      </c>
      <c r="J44" s="433">
        <f>AUXILIAR!BX49</f>
        <v>0</v>
      </c>
      <c r="K44" s="432">
        <f>AUXILIAR!FU48</f>
        <v>0</v>
      </c>
      <c r="L44" s="189" t="str">
        <f>IF('GASTOS EJER. 2'!I61="","",'GASTOS EJER. 2'!I61)</f>
        <v/>
      </c>
      <c r="M44" s="431">
        <f>IF(L44&lt;=EXPEDIENTE!$I$29,K44,0)</f>
        <v>0</v>
      </c>
      <c r="N44" s="434">
        <f>IF($V$42=0,0,IF(AND($V$44&gt;$V$42,$V$40=1100%),MIN(AUXILIAR!$P$17,ROUND($V$42/$V$44*(F44+I44+J44+M44)*('IDENTIFICACIÓN TRABAJADOR'!$H$46+'IDENTIFICACIÓN TRABAJADOR'!$L$46)/('IDENTIFICACIÓN TRABAJADOR'!$E$35-'IDENTIFICACIÓN TRABAJADOR'!$H$46-'IDENTIFICACIÓN TRABAJADOR'!$L$46),2)),MIN(AUXILIAR!$P$17,ROUND((F44+I44+J44+M44)*('IDENTIFICACIÓN TRABAJADOR'!$H$46+'IDENTIFICACIÓN TRABAJADOR'!$L$46)/('IDENTIFICACIÓN TRABAJADOR'!$E$35-'IDENTIFICACIÓN TRABAJADOR'!$H$46-'IDENTIFICACIÓN TRABAJADOR'!$L$46),2))))</f>
        <v>0</v>
      </c>
      <c r="O44" s="433">
        <f>IF($V$42=0,0,IF(AND($V$44&gt;$V$42,$V$40=1100%),MIN(AUXILIAR!$P$17,ROUND($V$42/$V$44*(F44+I44+J44+M44)*(1+('IDENTIFICACIÓN TRABAJADOR'!$H$46+'IDENTIFICACIÓN TRABAJADOR'!$L$46)/('IDENTIFICACIÓN TRABAJADOR'!$E$35-'IDENTIFICACIÓN TRABAJADOR'!$H$46-'IDENTIFICACIÓN TRABAJADOR'!$L$46)),2)),MIN(AUXILIAR!$P$17,ROUND((F44+I44+J44+M44)*(1+('IDENTIFICACIÓN TRABAJADOR'!$H$46+'IDENTIFICACIÓN TRABAJADOR'!$L$46)/('IDENTIFICACIÓN TRABAJADOR'!$E$35-'IDENTIFICACIÓN TRABAJADOR'!$H$46-'IDENTIFICACIÓN TRABAJADOR'!$L$46)),2))))</f>
        <v>0</v>
      </c>
      <c r="P44" s="434">
        <f t="shared" si="3"/>
        <v>0</v>
      </c>
      <c r="Q44" s="412"/>
      <c r="T44" s="427" t="e">
        <f>ROUND(C44*(F44+I44+J44+M44)*(1+('IDENTIFICACIÓN TRABAJADOR'!$H$46+'IDENTIFICACIÓN TRABAJADOR'!$L$46)/('IDENTIFICACIÓN TRABAJADOR'!$E$35-'IDENTIFICACIÓN TRABAJADOR'!$H$46-'IDENTIFICACIÓN TRABAJADOR'!$L$46)),2)</f>
        <v>#VALUE!</v>
      </c>
      <c r="U44" s="305"/>
      <c r="V44" s="436" t="e">
        <f>SUM(T35:T46)</f>
        <v>#VALUE!</v>
      </c>
      <c r="X44" s="581" t="s">
        <v>279</v>
      </c>
      <c r="Y44" s="429">
        <f>IFERROR(IF(OR(DATE($B$33,MONTH(DATEVALUE(X44&amp;"1")),1)&lt;DATE(YEAR(EXPEDIENTE!$I$25),MONTH(EXPEDIENTE!$I$25),1),DATE($B$33,MONTH(DATEVALUE(X44&amp;"1")),1)&gt;DATE(YEAR(EXPEDIENTE!$I$27),MONTH(EXPEDIENTE!$I$27)+1,1)-1),0,ROUND('% DEDICACIÓN TRABAJADOR'!P41,4)),0)</f>
        <v>0</v>
      </c>
      <c r="Z44" s="432">
        <f>'GASTOS EJER. 2'!AW29+'GASTOS EJER. 2'!BM29-'GASTOS EJER. 2'!CM29-'GASTOS EJER. 2'!CP29</f>
        <v>0</v>
      </c>
      <c r="AA44" s="189" t="str">
        <f>IF('GASTOS EJER. 2'!CT29="","",'GASTOS EJER. 2'!CT29)</f>
        <v/>
      </c>
      <c r="AB44" s="431">
        <f>IF(AA44&lt;=EXPEDIENTE!$I$29,Z44,0)</f>
        <v>0</v>
      </c>
      <c r="AC44" s="432">
        <f>'GASTOS EJER. 2'!CP29</f>
        <v>0</v>
      </c>
      <c r="AD44" s="189" t="str">
        <f>IF('GASTOS EJER. 2'!CW29="","",'GASTOS EJER. 2'!CW29)</f>
        <v/>
      </c>
      <c r="AE44" s="431">
        <f>IF(AD44&lt;=EXPEDIENTE!$I$29,AC44,0)</f>
        <v>0</v>
      </c>
      <c r="AF44" s="433">
        <f>AUXILIAR!DQ49</f>
        <v>0</v>
      </c>
      <c r="AG44" s="432">
        <f>AUXILIAR!HZ48</f>
        <v>0</v>
      </c>
      <c r="AH44" s="189" t="str">
        <f>IF('GASTOS EJER. 2'!BF61="","",'GASTOS EJER. 2'!BF61)</f>
        <v/>
      </c>
      <c r="AI44" s="431">
        <f>IF(AH44&lt;=EXPEDIENTE!$I$29,AG44,0)</f>
        <v>0</v>
      </c>
      <c r="AJ44" s="434">
        <f>IF($AS$42=0,0,IF(AND($AS$44&gt;$AS$42,$AS$40=1100%),MIN(AUXILIAR!$P$17,ROUND($AS$42/$AS$44*(AB44+AE44+AF44+AI44)*('IDENTIFICACIÓN TRABAJADOR'!$H$46+'IDENTIFICACIÓN TRABAJADOR'!$L$46)/('IDENTIFICACIÓN TRABAJADOR'!$E$35-'IDENTIFICACIÓN TRABAJADOR'!$H$46-'IDENTIFICACIÓN TRABAJADOR'!$L$46),2)),MIN(AUXILIAR!$P$17,ROUND((AB44+AE44+AF44+AI44)*('IDENTIFICACIÓN TRABAJADOR'!$H$46+'IDENTIFICACIÓN TRABAJADOR'!$L$46)/('IDENTIFICACIÓN TRABAJADOR'!$E$35-'IDENTIFICACIÓN TRABAJADOR'!$H$46-'IDENTIFICACIÓN TRABAJADOR'!$L$46),2))))</f>
        <v>0</v>
      </c>
      <c r="AK44" s="433">
        <f>IF($AS$42=0,0,IF(AND($AS$44&gt;$AS$42,$AS$40=1100%),MIN(AUXILIAR!$P$17,ROUND($AS$42/$AS$44*(AB44+AE44+AF44+AI44)*(1+('IDENTIFICACIÓN TRABAJADOR'!$H$46+'IDENTIFICACIÓN TRABAJADOR'!$L$46)/('IDENTIFICACIÓN TRABAJADOR'!$E$35-'IDENTIFICACIÓN TRABAJADOR'!$H$46-'IDENTIFICACIÓN TRABAJADOR'!$L$46)),2)),MIN(AUXILIAR!$P$17,ROUND((AB44+AE44+AF44+AI44)*(1+('IDENTIFICACIÓN TRABAJADOR'!$H$46+'IDENTIFICACIÓN TRABAJADOR'!$L$46)/('IDENTIFICACIÓN TRABAJADOR'!$E$35-'IDENTIFICACIÓN TRABAJADOR'!$H$46-'IDENTIFICACIÓN TRABAJADOR'!$L$46)),2))))</f>
        <v>0</v>
      </c>
      <c r="AL44" s="570">
        <f t="shared" si="4"/>
        <v>0</v>
      </c>
      <c r="AM44" s="573">
        <f t="shared" si="5"/>
        <v>0</v>
      </c>
      <c r="AN44" s="412"/>
      <c r="AQ44" s="427" t="e">
        <f>ROUND(Y44*(AB44+AE44+AF44+AI44)*(1+('IDENTIFICACIÓN TRABAJADOR'!$H$46+'IDENTIFICACIÓN TRABAJADOR'!$L$46)/('IDENTIFICACIÓN TRABAJADOR'!$E$35-'IDENTIFICACIÓN TRABAJADOR'!$H$46-'IDENTIFICACIÓN TRABAJADOR'!$L$46)),2)</f>
        <v>#VALUE!</v>
      </c>
      <c r="AR44" s="305"/>
      <c r="AS44" s="436" t="e">
        <f>SUM(AQ35:AQ46)</f>
        <v>#VALUE!</v>
      </c>
    </row>
    <row r="45" spans="2:45" ht="15" customHeight="1" x14ac:dyDescent="0.25">
      <c r="B45" s="428" t="s">
        <v>280</v>
      </c>
      <c r="C45" s="429">
        <f>IFERROR(IF(OR(DATE($B$33,MONTH(DATEVALUE(B45&amp;"1")),1)&lt;DATE(YEAR(EXPEDIENTE!$I$25),MONTH(EXPEDIENTE!$I$25),1),DATE($B$33,MONTH(DATEVALUE(B45&amp;"1")),1)&gt;DATE(YEAR(EXPEDIENTE!$I$27),MONTH(EXPEDIENTE!$I$27)+1,1)-1),0,ROUND('% DEDICACIÓN TRABAJADOR'!Q41,4)),0)</f>
        <v>0</v>
      </c>
      <c r="D45" s="432">
        <f>'GASTOS EJER. 2'!F30+'GASTOS EJER. 2'!L30-'GASTOS EJER. 2'!X30-'GASTOS EJER. 2'!Y30</f>
        <v>0</v>
      </c>
      <c r="E45" s="189" t="str">
        <f>IF('GASTOS EJER. 2'!AA30="","",'GASTOS EJER. 2'!AA30)</f>
        <v/>
      </c>
      <c r="F45" s="431">
        <f>IF(E45&lt;=EXPEDIENTE!$I$29,D45,0)</f>
        <v>0</v>
      </c>
      <c r="G45" s="432">
        <f>'GASTOS EJER. 2'!Y30</f>
        <v>0</v>
      </c>
      <c r="H45" s="189" t="str">
        <f>IF('GASTOS EJER. 2'!AB30="","",'GASTOS EJER. 2'!AB30)</f>
        <v/>
      </c>
      <c r="I45" s="431">
        <f>IF(H45&lt;=EXPEDIENTE!$I$29,G45,0)</f>
        <v>0</v>
      </c>
      <c r="J45" s="433">
        <f>AUXILIAR!BX50</f>
        <v>0</v>
      </c>
      <c r="K45" s="432">
        <f>AUXILIAR!FU49</f>
        <v>0</v>
      </c>
      <c r="L45" s="189" t="str">
        <f>IF('GASTOS EJER. 2'!I62="","",'GASTOS EJER. 2'!I62)</f>
        <v/>
      </c>
      <c r="M45" s="431">
        <f>IF(L45&lt;=EXPEDIENTE!$I$29,K45,0)</f>
        <v>0</v>
      </c>
      <c r="N45" s="434">
        <f>IF($V$42=0,0,IF(AND($V$44&gt;$V$42,$V$40=1100%),MIN(AUXILIAR!$P$17,ROUND($V$42/$V$44*(F45+I45+J45+M45)*('IDENTIFICACIÓN TRABAJADOR'!$H$46+'IDENTIFICACIÓN TRABAJADOR'!$L$46)/('IDENTIFICACIÓN TRABAJADOR'!$E$35-'IDENTIFICACIÓN TRABAJADOR'!$H$46-'IDENTIFICACIÓN TRABAJADOR'!$L$46),2)),MIN(AUXILIAR!$P$17,ROUND((F45+I45+J45+M45)*('IDENTIFICACIÓN TRABAJADOR'!$H$46+'IDENTIFICACIÓN TRABAJADOR'!$L$46)/('IDENTIFICACIÓN TRABAJADOR'!$E$35-'IDENTIFICACIÓN TRABAJADOR'!$H$46-'IDENTIFICACIÓN TRABAJADOR'!$L$46),2))))</f>
        <v>0</v>
      </c>
      <c r="O45" s="433">
        <f>IF($V$42=0,0,IF(AND($V$44&gt;$V$42,$V$40=1100%),MIN(AUXILIAR!$P$17,ROUND($V$42/$V$44*(F45+I45+J45+M45)*(1+('IDENTIFICACIÓN TRABAJADOR'!$H$46+'IDENTIFICACIÓN TRABAJADOR'!$L$46)/('IDENTIFICACIÓN TRABAJADOR'!$E$35-'IDENTIFICACIÓN TRABAJADOR'!$H$46-'IDENTIFICACIÓN TRABAJADOR'!$L$46)),2)),MIN(AUXILIAR!$P$17,ROUND((F45+I45+J45+M45)*(1+('IDENTIFICACIÓN TRABAJADOR'!$H$46+'IDENTIFICACIÓN TRABAJADOR'!$L$46)/('IDENTIFICACIÓN TRABAJADOR'!$E$35-'IDENTIFICACIÓN TRABAJADOR'!$H$46-'IDENTIFICACIÓN TRABAJADOR'!$L$46)),2))))</f>
        <v>0</v>
      </c>
      <c r="P45" s="434">
        <f t="shared" si="3"/>
        <v>0</v>
      </c>
      <c r="Q45" s="412"/>
      <c r="T45" s="427" t="e">
        <f>ROUND(C45*(F45+I45+J45+M45)*(1+('IDENTIFICACIÓN TRABAJADOR'!$H$46+'IDENTIFICACIÓN TRABAJADOR'!$L$46)/('IDENTIFICACIÓN TRABAJADOR'!$E$35-'IDENTIFICACIÓN TRABAJADOR'!$H$46-'IDENTIFICACIÓN TRABAJADOR'!$L$46)),2)</f>
        <v>#VALUE!</v>
      </c>
      <c r="U45" s="305"/>
      <c r="V45" s="84" t="s">
        <v>326</v>
      </c>
      <c r="X45" s="581" t="s">
        <v>280</v>
      </c>
      <c r="Y45" s="429">
        <f>IFERROR(IF(OR(DATE($B$33,MONTH(DATEVALUE(X45&amp;"1")),1)&lt;DATE(YEAR(EXPEDIENTE!$I$25),MONTH(EXPEDIENTE!$I$25),1),DATE($B$33,MONTH(DATEVALUE(X45&amp;"1")),1)&gt;DATE(YEAR(EXPEDIENTE!$I$27),MONTH(EXPEDIENTE!$I$27)+1,1)-1),0,ROUND('% DEDICACIÓN TRABAJADOR'!Q41,4)),0)</f>
        <v>0</v>
      </c>
      <c r="Z45" s="432">
        <f>'GASTOS EJER. 2'!AW30+'GASTOS EJER. 2'!BM30-'GASTOS EJER. 2'!CM30-'GASTOS EJER. 2'!CP30</f>
        <v>0</v>
      </c>
      <c r="AA45" s="189" t="str">
        <f>IF('GASTOS EJER. 2'!CT30="","",'GASTOS EJER. 2'!CT30)</f>
        <v/>
      </c>
      <c r="AB45" s="431">
        <f>IF(AA45&lt;=EXPEDIENTE!$I$29,Z45,0)</f>
        <v>0</v>
      </c>
      <c r="AC45" s="432">
        <f>'GASTOS EJER. 2'!CP30</f>
        <v>0</v>
      </c>
      <c r="AD45" s="189" t="str">
        <f>IF('GASTOS EJER. 2'!CW30="","",'GASTOS EJER. 2'!CW30)</f>
        <v/>
      </c>
      <c r="AE45" s="431">
        <f>IF(AD45&lt;=EXPEDIENTE!$I$29,AC45,0)</f>
        <v>0</v>
      </c>
      <c r="AF45" s="433">
        <f>AUXILIAR!DQ50</f>
        <v>0</v>
      </c>
      <c r="AG45" s="432">
        <f>AUXILIAR!HZ49</f>
        <v>0</v>
      </c>
      <c r="AH45" s="189" t="str">
        <f>IF('GASTOS EJER. 2'!BF62="","",'GASTOS EJER. 2'!BF62)</f>
        <v/>
      </c>
      <c r="AI45" s="431">
        <f>IF(AH45&lt;=EXPEDIENTE!$I$29,AG45,0)</f>
        <v>0</v>
      </c>
      <c r="AJ45" s="434">
        <f>IF($AS$42=0,0,IF(AND($AS$44&gt;$AS$42,$AS$40=1100%),MIN(AUXILIAR!$P$17,ROUND($AS$42/$AS$44*(AB45+AE45+AF45+AI45)*('IDENTIFICACIÓN TRABAJADOR'!$H$46+'IDENTIFICACIÓN TRABAJADOR'!$L$46)/('IDENTIFICACIÓN TRABAJADOR'!$E$35-'IDENTIFICACIÓN TRABAJADOR'!$H$46-'IDENTIFICACIÓN TRABAJADOR'!$L$46),2)),MIN(AUXILIAR!$P$17,ROUND((AB45+AE45+AF45+AI45)*('IDENTIFICACIÓN TRABAJADOR'!$H$46+'IDENTIFICACIÓN TRABAJADOR'!$L$46)/('IDENTIFICACIÓN TRABAJADOR'!$E$35-'IDENTIFICACIÓN TRABAJADOR'!$H$46-'IDENTIFICACIÓN TRABAJADOR'!$L$46),2))))</f>
        <v>0</v>
      </c>
      <c r="AK45" s="433">
        <f>IF($AS$42=0,0,IF(AND($AS$44&gt;$AS$42,$AS$40=1100%),MIN(AUXILIAR!$P$17,ROUND($AS$42/$AS$44*(AB45+AE45+AF45+AI45)*(1+('IDENTIFICACIÓN TRABAJADOR'!$H$46+'IDENTIFICACIÓN TRABAJADOR'!$L$46)/('IDENTIFICACIÓN TRABAJADOR'!$E$35-'IDENTIFICACIÓN TRABAJADOR'!$H$46-'IDENTIFICACIÓN TRABAJADOR'!$L$46)),2)),MIN(AUXILIAR!$P$17,ROUND((AB45+AE45+AF45+AI45)*(1+('IDENTIFICACIÓN TRABAJADOR'!$H$46+'IDENTIFICACIÓN TRABAJADOR'!$L$46)/('IDENTIFICACIÓN TRABAJADOR'!$E$35-'IDENTIFICACIÓN TRABAJADOR'!$H$46-'IDENTIFICACIÓN TRABAJADOR'!$L$46)),2))))</f>
        <v>0</v>
      </c>
      <c r="AL45" s="570">
        <f t="shared" si="4"/>
        <v>0</v>
      </c>
      <c r="AM45" s="573">
        <f t="shared" si="5"/>
        <v>0</v>
      </c>
      <c r="AN45" s="412"/>
      <c r="AQ45" s="427" t="e">
        <f>ROUND(Y45*(AB45+AE45+AF45+AI45)*(1+('IDENTIFICACIÓN TRABAJADOR'!$H$46+'IDENTIFICACIÓN TRABAJADOR'!$L$46)/('IDENTIFICACIÓN TRABAJADOR'!$E$35-'IDENTIFICACIÓN TRABAJADOR'!$H$46-'IDENTIFICACIÓN TRABAJADOR'!$L$46)),2)</f>
        <v>#VALUE!</v>
      </c>
      <c r="AR45" s="305"/>
      <c r="AS45" s="84" t="s">
        <v>326</v>
      </c>
    </row>
    <row r="46" spans="2:45" ht="15" customHeight="1" thickBot="1" x14ac:dyDescent="0.3">
      <c r="B46" s="437" t="s">
        <v>281</v>
      </c>
      <c r="C46" s="438">
        <f>IFERROR(IF(OR(DATE($B$33,MONTH(DATEVALUE(B46&amp;"1")),1)&lt;DATE(YEAR(EXPEDIENTE!$I$25),MONTH(EXPEDIENTE!$I$25),1),DATE($B$33,MONTH(DATEVALUE(B46&amp;"1")),1)&gt;DATE(YEAR(EXPEDIENTE!$I$27),MONTH(EXPEDIENTE!$I$27)+1,1)-1),0,ROUND('% DEDICACIÓN TRABAJADOR'!R41,4)),0)</f>
        <v>0</v>
      </c>
      <c r="D46" s="441">
        <f>'GASTOS EJER. 2'!F31+'GASTOS EJER. 2'!L31-'GASTOS EJER. 2'!X31-'GASTOS EJER. 2'!Y31</f>
        <v>0</v>
      </c>
      <c r="E46" s="237" t="str">
        <f>IF('GASTOS EJER. 2'!AA31="","",'GASTOS EJER. 2'!AA31)</f>
        <v/>
      </c>
      <c r="F46" s="440">
        <f>IF(E46&lt;=EXPEDIENTE!$I$29,D46,0)</f>
        <v>0</v>
      </c>
      <c r="G46" s="441">
        <f>'GASTOS EJER. 2'!Y31</f>
        <v>0</v>
      </c>
      <c r="H46" s="237" t="str">
        <f>IF('GASTOS EJER. 2'!AB31="","",'GASTOS EJER. 2'!AB31)</f>
        <v/>
      </c>
      <c r="I46" s="440">
        <f>IF(H46&lt;=EXPEDIENTE!$I$29,G46,0)</f>
        <v>0</v>
      </c>
      <c r="J46" s="442">
        <f>AUXILIAR!BX51</f>
        <v>0</v>
      </c>
      <c r="K46" s="441">
        <f>AUXILIAR!FU50</f>
        <v>0</v>
      </c>
      <c r="L46" s="237" t="str">
        <f>IF('GASTOS EJER. 2'!I63="","",'GASTOS EJER. 2'!I63)</f>
        <v/>
      </c>
      <c r="M46" s="440">
        <f>IF(L46&lt;=EXPEDIENTE!$I$29,K46,0)</f>
        <v>0</v>
      </c>
      <c r="N46" s="443">
        <f>IF($V$42=0,0,IF(AND($V$44&gt;$V$42,$V$40=1100%),MIN(AUXILIAR!$P$17,ROUND($V$42/$V$44*(F46+I46+J46+M46)*('IDENTIFICACIÓN TRABAJADOR'!$H$46+'IDENTIFICACIÓN TRABAJADOR'!$L$46)/('IDENTIFICACIÓN TRABAJADOR'!$E$35-'IDENTIFICACIÓN TRABAJADOR'!$H$46-'IDENTIFICACIÓN TRABAJADOR'!$L$46),2)),MIN(AUXILIAR!$P$17,ROUND((F46+I46+J46+M46)*('IDENTIFICACIÓN TRABAJADOR'!$H$46+'IDENTIFICACIÓN TRABAJADOR'!$L$46)/('IDENTIFICACIÓN TRABAJADOR'!$E$35-'IDENTIFICACIÓN TRABAJADOR'!$H$46-'IDENTIFICACIÓN TRABAJADOR'!$L$46),2))))</f>
        <v>0</v>
      </c>
      <c r="O46" s="442">
        <f>IF($V$42=0,0,IF(AND($V$44&gt;$V$42,$V$40=1100%),MIN(AUXILIAR!$P$17,ROUND($V$42/$V$44*(F46+I46+J46+M46)*(1+('IDENTIFICACIÓN TRABAJADOR'!$H$46+'IDENTIFICACIÓN TRABAJADOR'!$L$46)/('IDENTIFICACIÓN TRABAJADOR'!$E$35-'IDENTIFICACIÓN TRABAJADOR'!$H$46-'IDENTIFICACIÓN TRABAJADOR'!$L$46)),2)),MIN(AUXILIAR!$P$17,ROUND((F46+I46+J46+M46)*(1+('IDENTIFICACIÓN TRABAJADOR'!$H$46+'IDENTIFICACIÓN TRABAJADOR'!$L$46)/('IDENTIFICACIÓN TRABAJADOR'!$E$35-'IDENTIFICACIÓN TRABAJADOR'!$H$46-'IDENTIFICACIÓN TRABAJADOR'!$L$46)),2))))</f>
        <v>0</v>
      </c>
      <c r="P46" s="443">
        <f t="shared" si="3"/>
        <v>0</v>
      </c>
      <c r="Q46" s="412"/>
      <c r="T46" s="427" t="e">
        <f>ROUND(C46*(F46+I46+J46+M46)*(1+('IDENTIFICACIÓN TRABAJADOR'!$H$46+'IDENTIFICACIÓN TRABAJADOR'!$L$46)/('IDENTIFICACIÓN TRABAJADOR'!$E$35-'IDENTIFICACIÓN TRABAJADOR'!$H$46-'IDENTIFICACIÓN TRABAJADOR'!$L$46)),2)</f>
        <v>#VALUE!</v>
      </c>
      <c r="U46" s="305"/>
      <c r="V46" s="84" t="e">
        <f>IF(V44=0,"",V42/V44)</f>
        <v>#VALUE!</v>
      </c>
      <c r="X46" s="582" t="s">
        <v>281</v>
      </c>
      <c r="Y46" s="438">
        <f>IFERROR(IF(OR(DATE($B$33,MONTH(DATEVALUE(X46&amp;"1")),1)&lt;DATE(YEAR(EXPEDIENTE!$I$25),MONTH(EXPEDIENTE!$I$25),1),DATE($B$33,MONTH(DATEVALUE(X46&amp;"1")),1)&gt;DATE(YEAR(EXPEDIENTE!$I$27),MONTH(EXPEDIENTE!$I$27)+1,1)-1),0,ROUND('% DEDICACIÓN TRABAJADOR'!R41,4)),0)</f>
        <v>0</v>
      </c>
      <c r="Z46" s="441">
        <f>'GASTOS EJER. 2'!AW31+'GASTOS EJER. 2'!BM31-'GASTOS EJER. 2'!CM31-'GASTOS EJER. 2'!CP31</f>
        <v>0</v>
      </c>
      <c r="AA46" s="237" t="str">
        <f>IF('GASTOS EJER. 2'!CT31="","",'GASTOS EJER. 2'!CT31)</f>
        <v/>
      </c>
      <c r="AB46" s="440">
        <f>IF(AA46&lt;=EXPEDIENTE!$I$29,Z46,0)</f>
        <v>0</v>
      </c>
      <c r="AC46" s="441">
        <f>'GASTOS EJER. 2'!CP31</f>
        <v>0</v>
      </c>
      <c r="AD46" s="237" t="str">
        <f>IF('GASTOS EJER. 2'!CW31="","",'GASTOS EJER. 2'!CW31)</f>
        <v/>
      </c>
      <c r="AE46" s="440">
        <f>IF(AD46&lt;=EXPEDIENTE!$I$29,AC46,0)</f>
        <v>0</v>
      </c>
      <c r="AF46" s="442">
        <f>AUXILIAR!DQ51</f>
        <v>0</v>
      </c>
      <c r="AG46" s="441">
        <f>AUXILIAR!HZ50</f>
        <v>0</v>
      </c>
      <c r="AH46" s="237" t="str">
        <f>IF('GASTOS EJER. 2'!BF63="","",'GASTOS EJER. 2'!BF63)</f>
        <v/>
      </c>
      <c r="AI46" s="440">
        <f>IF(AH46&lt;=EXPEDIENTE!$I$29,AG46,0)</f>
        <v>0</v>
      </c>
      <c r="AJ46" s="443">
        <f>IF($AS$42=0,0,IF(AND($AS$44&gt;$AS$42,$AS$40=1100%),MIN(AUXILIAR!$P$17,ROUND($AS$42/$AS$44*(AB46+AE46+AF46+AI46)*('IDENTIFICACIÓN TRABAJADOR'!$H$46+'IDENTIFICACIÓN TRABAJADOR'!$L$46)/('IDENTIFICACIÓN TRABAJADOR'!$E$35-'IDENTIFICACIÓN TRABAJADOR'!$H$46-'IDENTIFICACIÓN TRABAJADOR'!$L$46),2)),MIN(AUXILIAR!$P$17,ROUND((AB46+AE46+AF46+AI46)*('IDENTIFICACIÓN TRABAJADOR'!$H$46+'IDENTIFICACIÓN TRABAJADOR'!$L$46)/('IDENTIFICACIÓN TRABAJADOR'!$E$35-'IDENTIFICACIÓN TRABAJADOR'!$H$46-'IDENTIFICACIÓN TRABAJADOR'!$L$46),2))))</f>
        <v>0</v>
      </c>
      <c r="AK46" s="442">
        <f>IF($AS$42=0,0,IF(AND($AS$44&gt;$AS$42,$AS$40=1100%),MIN(AUXILIAR!$P$17,ROUND($AS$42/$AS$44*(AB46+AE46+AF46+AI46)*(1+('IDENTIFICACIÓN TRABAJADOR'!$H$46+'IDENTIFICACIÓN TRABAJADOR'!$L$46)/('IDENTIFICACIÓN TRABAJADOR'!$E$35-'IDENTIFICACIÓN TRABAJADOR'!$H$46-'IDENTIFICACIÓN TRABAJADOR'!$L$46)),2)),MIN(AUXILIAR!$P$17,ROUND((AB46+AE46+AF46+AI46)*(1+('IDENTIFICACIÓN TRABAJADOR'!$H$46+'IDENTIFICACIÓN TRABAJADOR'!$L$46)/('IDENTIFICACIÓN TRABAJADOR'!$E$35-'IDENTIFICACIÓN TRABAJADOR'!$H$46-'IDENTIFICACIÓN TRABAJADOR'!$L$46)),2))))</f>
        <v>0</v>
      </c>
      <c r="AL46" s="571">
        <f t="shared" si="4"/>
        <v>0</v>
      </c>
      <c r="AM46" s="574">
        <f t="shared" si="5"/>
        <v>0</v>
      </c>
      <c r="AN46" s="412"/>
      <c r="AQ46" s="427" t="e">
        <f>ROUND(Y46*(AB46+AE46+AF46+AI46)*(1+('IDENTIFICACIÓN TRABAJADOR'!$H$46+'IDENTIFICACIÓN TRABAJADOR'!$L$46)/('IDENTIFICACIÓN TRABAJADOR'!$E$35-'IDENTIFICACIÓN TRABAJADOR'!$H$46-'IDENTIFICACIÓN TRABAJADOR'!$L$46)),2)</f>
        <v>#VALUE!</v>
      </c>
      <c r="AR46" s="305"/>
      <c r="AS46" s="84" t="e">
        <f>IF(AS44=0,"",AS42/AS44)</f>
        <v>#VALUE!</v>
      </c>
    </row>
    <row r="47" spans="2:45" ht="15.75" thickBot="1" x14ac:dyDescent="0.3">
      <c r="M47" s="444"/>
      <c r="N47" s="444"/>
      <c r="O47" s="444"/>
      <c r="P47" s="444"/>
      <c r="U47" s="412"/>
      <c r="V47" s="84" t="s">
        <v>327</v>
      </c>
      <c r="AI47" s="444"/>
      <c r="AJ47" s="444"/>
      <c r="AK47" s="444"/>
      <c r="AL47" s="444"/>
      <c r="AM47" s="444"/>
      <c r="AR47" s="412"/>
      <c r="AS47" s="84" t="s">
        <v>327</v>
      </c>
    </row>
    <row r="48" spans="2:45" ht="20.100000000000001" customHeight="1" thickBot="1" x14ac:dyDescent="0.3">
      <c r="G48" s="445"/>
      <c r="M48" s="446"/>
      <c r="N48" s="447"/>
      <c r="O48" s="448" t="str">
        <f>CONCATENATE("TOTAL EJERCICIO ",B33)</f>
        <v>TOTAL EJERCICIO 2026</v>
      </c>
      <c r="P48" s="449">
        <f>SUM(P35:P46)</f>
        <v>0</v>
      </c>
      <c r="R48" s="82" t="str">
        <f>IF(V48&gt;0,"EXISTE ALGÚN % DE DEDICACIÓN SUPERIOR AL 100% EN ESTE EJERCICIO","")</f>
        <v/>
      </c>
      <c r="U48" s="412"/>
      <c r="V48" s="84">
        <f>'% DEDICACIÓN TRABAJADOR'!$B$41</f>
        <v>0</v>
      </c>
      <c r="AC48" s="445"/>
      <c r="AI48" s="446"/>
      <c r="AJ48" s="447"/>
      <c r="AK48" s="448" t="str">
        <f>CONCATENATE("TOTAL EJERCICIO ",X33)</f>
        <v>TOTAL EJERCICIO 2026</v>
      </c>
      <c r="AL48" s="576">
        <f>SUM(AL35:AL46)</f>
        <v>0</v>
      </c>
      <c r="AM48" s="577">
        <f>SUM(AM35:AM46)</f>
        <v>0</v>
      </c>
      <c r="AO48" s="82" t="str">
        <f>IF(AS48&gt;0,"EXISTE ALGÚN % DE DEDICACIÓN SUPERIOR AL 100% EN ESTE EJERCICIO","")</f>
        <v/>
      </c>
      <c r="AR48" s="412"/>
      <c r="AS48" s="84">
        <f>'% DEDICACIÓN TRABAJADOR'!$B$41</f>
        <v>0</v>
      </c>
    </row>
    <row r="49" spans="2:45" ht="15" customHeight="1" x14ac:dyDescent="0.25">
      <c r="U49" s="412"/>
      <c r="V49" s="412"/>
      <c r="AR49" s="412"/>
      <c r="AS49" s="412"/>
    </row>
    <row r="50" spans="2:45" ht="15" customHeight="1" x14ac:dyDescent="0.25">
      <c r="U50" s="412"/>
      <c r="V50" s="412"/>
      <c r="AR50" s="412"/>
      <c r="AS50" s="412"/>
    </row>
    <row r="51" spans="2:45" ht="15" customHeight="1" x14ac:dyDescent="0.25">
      <c r="U51" s="412"/>
      <c r="V51" s="412"/>
      <c r="AR51" s="412"/>
      <c r="AS51" s="412"/>
    </row>
    <row r="52" spans="2:45" ht="15" customHeight="1" x14ac:dyDescent="0.25">
      <c r="E52" s="290"/>
      <c r="F52" s="291"/>
      <c r="U52" s="412"/>
      <c r="V52" s="412"/>
      <c r="AA52" s="290"/>
      <c r="AB52" s="291"/>
      <c r="AR52" s="412"/>
      <c r="AS52" s="412"/>
    </row>
    <row r="53" spans="2:45" ht="15" customHeight="1" x14ac:dyDescent="0.25">
      <c r="D53" s="552" t="str">
        <f>D5</f>
        <v/>
      </c>
      <c r="E53" s="413"/>
      <c r="F53" s="84"/>
      <c r="U53" s="412"/>
      <c r="V53" s="412"/>
      <c r="Z53" s="552" t="str">
        <f>Z5</f>
        <v/>
      </c>
      <c r="AA53" s="413"/>
      <c r="AB53" s="84"/>
      <c r="AR53" s="412"/>
      <c r="AS53" s="412"/>
    </row>
    <row r="54" spans="2:45" ht="15" customHeight="1" x14ac:dyDescent="0.25">
      <c r="E54" s="293"/>
      <c r="F54" s="84"/>
      <c r="U54" s="412"/>
      <c r="V54" s="412"/>
      <c r="AA54" s="293"/>
      <c r="AB54" s="84"/>
      <c r="AR54" s="412"/>
      <c r="AS54" s="412"/>
    </row>
    <row r="55" spans="2:45" ht="15" customHeight="1" x14ac:dyDescent="0.25">
      <c r="D55" s="126" t="str">
        <f>D7</f>
        <v>TRABAJADOR:</v>
      </c>
      <c r="E55" s="293"/>
      <c r="F55" s="84"/>
      <c r="T55" s="1069" t="s">
        <v>304</v>
      </c>
      <c r="U55" s="412"/>
      <c r="V55" s="412"/>
      <c r="Z55" s="126" t="str">
        <f>Z7</f>
        <v>TRABAJADOR:</v>
      </c>
      <c r="AA55" s="293"/>
      <c r="AB55" s="84"/>
      <c r="AQ55" s="1069" t="s">
        <v>304</v>
      </c>
      <c r="AR55" s="412"/>
      <c r="AS55" s="412"/>
    </row>
    <row r="56" spans="2:45" ht="15" customHeight="1" thickBot="1" x14ac:dyDescent="0.3">
      <c r="D56" s="294"/>
      <c r="E56" s="293"/>
      <c r="F56" s="84"/>
      <c r="T56" s="1069"/>
      <c r="U56" s="412"/>
      <c r="V56" s="412"/>
      <c r="Z56" s="294"/>
      <c r="AA56" s="293"/>
      <c r="AB56" s="84"/>
      <c r="AQ56" s="1069"/>
      <c r="AR56" s="412"/>
      <c r="AS56" s="412"/>
    </row>
    <row r="57" spans="2:45" s="131" customFormat="1" ht="30" customHeight="1" x14ac:dyDescent="0.25">
      <c r="B57" s="1070">
        <f>$B$9+2</f>
        <v>2027</v>
      </c>
      <c r="C57" s="1052" t="str">
        <f>CONCATENATE("PORCENTAJE
DEDICACIÓN
MENSUAL EJERCICIO ",B57)</f>
        <v>PORCENTAJE
DEDICACIÓN
MENSUAL EJERCICIO 2027</v>
      </c>
      <c r="D57" s="1056" t="s">
        <v>305</v>
      </c>
      <c r="E57" s="1057"/>
      <c r="F57" s="1058"/>
      <c r="G57" s="1072" t="s">
        <v>306</v>
      </c>
      <c r="H57" s="1073"/>
      <c r="I57" s="1074"/>
      <c r="J57" s="414" t="s">
        <v>307</v>
      </c>
      <c r="K57" s="1056" t="s">
        <v>308</v>
      </c>
      <c r="L57" s="1057"/>
      <c r="M57" s="1058"/>
      <c r="N57" s="1075" t="s">
        <v>309</v>
      </c>
      <c r="O57" s="1052" t="s">
        <v>310</v>
      </c>
      <c r="P57" s="1054" t="s">
        <v>311</v>
      </c>
      <c r="S57" s="82"/>
      <c r="T57" s="1069"/>
      <c r="U57" s="412"/>
      <c r="V57" s="412"/>
      <c r="X57" s="1065">
        <f>$B$9+2</f>
        <v>2027</v>
      </c>
      <c r="Y57" s="1067" t="str">
        <f>CONCATENATE("PORCENTAJE
DEDICACIÓN
MENSUAL EJERCICIO ",X57)</f>
        <v>PORCENTAJE
DEDICACIÓN
MENSUAL EJERCICIO 2027</v>
      </c>
      <c r="Z57" s="1062" t="s">
        <v>305</v>
      </c>
      <c r="AA57" s="1063"/>
      <c r="AB57" s="1064"/>
      <c r="AC57" s="1059" t="s">
        <v>306</v>
      </c>
      <c r="AD57" s="1060"/>
      <c r="AE57" s="1061"/>
      <c r="AF57" s="563" t="s">
        <v>307</v>
      </c>
      <c r="AG57" s="1062" t="s">
        <v>308</v>
      </c>
      <c r="AH57" s="1063"/>
      <c r="AI57" s="1064"/>
      <c r="AJ57" s="1048" t="s">
        <v>309</v>
      </c>
      <c r="AK57" s="1067" t="s">
        <v>312</v>
      </c>
      <c r="AL57" s="1077" t="s">
        <v>313</v>
      </c>
      <c r="AM57" s="1054" t="s">
        <v>314</v>
      </c>
      <c r="AP57" s="82"/>
      <c r="AQ57" s="1069"/>
      <c r="AR57" s="412"/>
      <c r="AS57" s="412"/>
    </row>
    <row r="58" spans="2:45" s="412" customFormat="1" ht="65.099999999999994" customHeight="1" thickBot="1" x14ac:dyDescent="0.3">
      <c r="B58" s="1071"/>
      <c r="C58" s="1053"/>
      <c r="D58" s="415" t="s">
        <v>315</v>
      </c>
      <c r="E58" s="374" t="s">
        <v>200</v>
      </c>
      <c r="F58" s="416" t="s">
        <v>316</v>
      </c>
      <c r="G58" s="417" t="s">
        <v>317</v>
      </c>
      <c r="H58" s="374" t="s">
        <v>318</v>
      </c>
      <c r="I58" s="418" t="s">
        <v>319</v>
      </c>
      <c r="J58" s="419" t="s">
        <v>320</v>
      </c>
      <c r="K58" s="417" t="s">
        <v>321</v>
      </c>
      <c r="L58" s="374" t="s">
        <v>295</v>
      </c>
      <c r="M58" s="418" t="s">
        <v>322</v>
      </c>
      <c r="N58" s="1076"/>
      <c r="O58" s="1053"/>
      <c r="P58" s="1055"/>
      <c r="S58" s="82"/>
      <c r="T58" s="85" t="e">
        <f>(1+('IDENTIFICACIÓN TRABAJADOR'!$N$46+'IDENTIFICACIÓN TRABAJADOR'!$R$46)/('IDENTIFICACIÓN TRABAJADOR'!$E$39-'IDENTIFICACIÓN TRABAJADOR'!$N$46-'IDENTIFICACIÓN TRABAJADOR'!$R$46))</f>
        <v>#VALUE!</v>
      </c>
      <c r="X58" s="1066"/>
      <c r="Y58" s="1068"/>
      <c r="Z58" s="564" t="s">
        <v>315</v>
      </c>
      <c r="AA58" s="555" t="s">
        <v>200</v>
      </c>
      <c r="AB58" s="565" t="s">
        <v>316</v>
      </c>
      <c r="AC58" s="566" t="s">
        <v>317</v>
      </c>
      <c r="AD58" s="555" t="s">
        <v>318</v>
      </c>
      <c r="AE58" s="567" t="s">
        <v>319</v>
      </c>
      <c r="AF58" s="568" t="s">
        <v>320</v>
      </c>
      <c r="AG58" s="566" t="s">
        <v>321</v>
      </c>
      <c r="AH58" s="555" t="s">
        <v>295</v>
      </c>
      <c r="AI58" s="567" t="s">
        <v>322</v>
      </c>
      <c r="AJ58" s="1049"/>
      <c r="AK58" s="1068"/>
      <c r="AL58" s="1078"/>
      <c r="AM58" s="1055"/>
      <c r="AP58" s="82"/>
      <c r="AQ58" s="85" t="e">
        <f>(1+('IDENTIFICACIÓN TRABAJADOR'!$N$46+'IDENTIFICACIÓN TRABAJADOR'!$R$46)/('IDENTIFICACIÓN TRABAJADOR'!$E$39-'IDENTIFICACIÓN TRABAJADOR'!$N$46-'IDENTIFICACIÓN TRABAJADOR'!$R$46))</f>
        <v>#VALUE!</v>
      </c>
    </row>
    <row r="59" spans="2:45" ht="15" customHeight="1" x14ac:dyDescent="0.25">
      <c r="B59" s="420" t="s">
        <v>270</v>
      </c>
      <c r="C59" s="421">
        <f>IFERROR(IF(OR(DATE($B$57,MONTH(DATEVALUE(B59&amp;"1")),1)&lt;DATE(YEAR(EXPEDIENTE!$I$25),MONTH(EXPEDIENTE!$I$25),1),DATE($B$57,MONTH(DATEVALUE(B59&amp;"1")),1)&gt;DATE(YEAR(EXPEDIENTE!$I$27),MONTH(EXPEDIENTE!$I$27)+1,1)-1),0,ROUND('% DEDICACIÓN TRABAJADOR'!G43,4)),0)</f>
        <v>0</v>
      </c>
      <c r="D59" s="424">
        <f>'GASTOS EJER. 3'!F20+'GASTOS EJER. 3'!L20-'GASTOS EJER. 3'!X20-'GASTOS EJER. 3'!Y20</f>
        <v>0</v>
      </c>
      <c r="E59" s="259" t="str">
        <f>IF('GASTOS EJER. 3'!AA20="","",'GASTOS EJER. 3'!AA20)</f>
        <v/>
      </c>
      <c r="F59" s="423">
        <f>IF(E59&lt;=EXPEDIENTE!$I$29,D59,0)</f>
        <v>0</v>
      </c>
      <c r="G59" s="424">
        <f>'GASTOS EJER. 3'!Y20</f>
        <v>0</v>
      </c>
      <c r="H59" s="259" t="str">
        <f>IF('GASTOS EJER. 3'!AB20="","",'GASTOS EJER. 3'!AB20)</f>
        <v/>
      </c>
      <c r="I59" s="423">
        <f>IF(H59&lt;=EXPEDIENTE!$I$29,G59,0)</f>
        <v>0</v>
      </c>
      <c r="J59" s="425">
        <f>AUXILIAR!BX56</f>
        <v>0</v>
      </c>
      <c r="K59" s="424">
        <f>AUXILIAR!FU55</f>
        <v>0</v>
      </c>
      <c r="L59" s="259" t="str">
        <f>IF('GASTOS EJER. 3'!I52="","",'GASTOS EJER. 3'!I52)</f>
        <v/>
      </c>
      <c r="M59" s="423">
        <f>IF(L59&lt;=EXPEDIENTE!$I$29,K59,0)</f>
        <v>0</v>
      </c>
      <c r="N59" s="426">
        <f>IF($V$66=0,0,IF(AND($V$68&gt;$V$66,$V$64=1100%),MIN(AUXILIAR!$P$17,ROUND($V$66/$V$68*(F59+I59+J59+M59)*('IDENTIFICACIÓN TRABAJADOR'!$N$46+'IDENTIFICACIÓN TRABAJADOR'!$R$46)/('IDENTIFICACIÓN TRABAJADOR'!$E$39-'IDENTIFICACIÓN TRABAJADOR'!$N$46-'IDENTIFICACIÓN TRABAJADOR'!$R$46),2)),MIN(AUXILIAR!$P$17,ROUND((F59+I59+J59+M59)*('IDENTIFICACIÓN TRABAJADOR'!$N$46+'IDENTIFICACIÓN TRABAJADOR'!$R$46)/('IDENTIFICACIÓN TRABAJADOR'!$E$39-'IDENTIFICACIÓN TRABAJADOR'!$N$46-'IDENTIFICACIÓN TRABAJADOR'!$R$46),2))))</f>
        <v>0</v>
      </c>
      <c r="O59" s="425">
        <f>IF($V$66=0,0,IF(AND($V$68&gt;$V$66,$V$64=1100%),MIN(AUXILIAR!$P$17,ROUND($V$66/$V$68*(F59+I59+J59+M59)*(1+('IDENTIFICACIÓN TRABAJADOR'!$N$46+'IDENTIFICACIÓN TRABAJADOR'!$R$46)/('IDENTIFICACIÓN TRABAJADOR'!$E$39-'IDENTIFICACIÓN TRABAJADOR'!$N$46-'IDENTIFICACIÓN TRABAJADOR'!$R$46)),2)),MIN(AUXILIAR!$P$17,ROUND((F59+I59+J59+M59)*(1+('IDENTIFICACIÓN TRABAJADOR'!$N$46+'IDENTIFICACIÓN TRABAJADOR'!$R$46)/('IDENTIFICACIÓN TRABAJADOR'!$E$39-'IDENTIFICACIÓN TRABAJADOR'!$N$46-'IDENTIFICACIÓN TRABAJADOR'!$R$46)),2))))</f>
        <v>0</v>
      </c>
      <c r="P59" s="426">
        <f t="shared" ref="P59:P70" si="6">IF($V$72&gt;0,0,ROUND(C59*O59,2))</f>
        <v>0</v>
      </c>
      <c r="Q59" s="412"/>
      <c r="T59" s="427" t="e">
        <f>ROUND(C59*(F59+I59+J59+M59)*(1+('IDENTIFICACIÓN TRABAJADOR'!$N$46+'IDENTIFICACIÓN TRABAJADOR'!$R$46)/('IDENTIFICACIÓN TRABAJADOR'!$E$39-'IDENTIFICACIÓN TRABAJADOR'!$N$46-'IDENTIFICACIÓN TRABAJADOR'!$R$46)),2)</f>
        <v>#VALUE!</v>
      </c>
      <c r="U59" s="412"/>
      <c r="V59" s="412"/>
      <c r="X59" s="580" t="s">
        <v>270</v>
      </c>
      <c r="Y59" s="421">
        <f>IFERROR(IF(OR(DATE($B$57,MONTH(DATEVALUE(X59&amp;"1")),1)&lt;DATE(YEAR(EXPEDIENTE!$I$25),MONTH(EXPEDIENTE!$I$25),1),DATE($B$57,MONTH(DATEVALUE(X59&amp;"1")),1)&gt;DATE(YEAR(EXPEDIENTE!$I$27),MONTH(EXPEDIENTE!$I$27)+1,1)-1),0,ROUND('% DEDICACIÓN TRABAJADOR'!G43,4)),0)</f>
        <v>0</v>
      </c>
      <c r="Z59" s="424">
        <f>'GASTOS EJER. 3'!AW20+'GASTOS EJER. 3'!BM20-'GASTOS EJER. 3'!CM20-'GASTOS EJER. 3'!CP20</f>
        <v>0</v>
      </c>
      <c r="AA59" s="259" t="str">
        <f>IF('GASTOS EJER. 3'!CT20="","",'GASTOS EJER. 3'!CT20)</f>
        <v/>
      </c>
      <c r="AB59" s="423">
        <f>IF(AA59&lt;=EXPEDIENTE!$I$29,Z59,0)</f>
        <v>0</v>
      </c>
      <c r="AC59" s="424">
        <f>'GASTOS EJER. 3'!CP20</f>
        <v>0</v>
      </c>
      <c r="AD59" s="259" t="str">
        <f>IF('GASTOS EJER. 3'!CW20="","",'GASTOS EJER. 3'!CW20)</f>
        <v/>
      </c>
      <c r="AE59" s="423">
        <f>IF(AD59&lt;=EXPEDIENTE!$I$29,AC59,0)</f>
        <v>0</v>
      </c>
      <c r="AF59" s="425">
        <f>AUXILIAR!DQ56</f>
        <v>0</v>
      </c>
      <c r="AG59" s="424">
        <f>AUXILIAR!HZ55</f>
        <v>0</v>
      </c>
      <c r="AH59" s="259" t="str">
        <f>IF('GASTOS EJER. 3'!BF52="","",'GASTOS EJER. 3'!BF52)</f>
        <v/>
      </c>
      <c r="AI59" s="423">
        <f>IF(AH59&lt;=EXPEDIENTE!$I$29,AG59,0)</f>
        <v>0</v>
      </c>
      <c r="AJ59" s="426">
        <f>IF($AS$66=0,0,IF(AND($AS$68&gt;$AS$66,$AS$64=1100%),MIN(AUXILIAR!$P$17,ROUND($AS$66/$AS$68*(AB59+AE59+AF59+AI59)*('IDENTIFICACIÓN TRABAJADOR'!$N$46+'IDENTIFICACIÓN TRABAJADOR'!$R$46)/('IDENTIFICACIÓN TRABAJADOR'!$E$39-'IDENTIFICACIÓN TRABAJADOR'!$N$46-'IDENTIFICACIÓN TRABAJADOR'!$R$46),2)),MIN(AUXILIAR!$P$17,ROUND((AB59+AE59+AF59+AI59)*('IDENTIFICACIÓN TRABAJADOR'!$N$46+'IDENTIFICACIÓN TRABAJADOR'!$R$46)/('IDENTIFICACIÓN TRABAJADOR'!$E$39-'IDENTIFICACIÓN TRABAJADOR'!$N$46-'IDENTIFICACIÓN TRABAJADOR'!$R$46),2))))</f>
        <v>0</v>
      </c>
      <c r="AK59" s="425">
        <f>IF($AS$66=0,0,IF(AND($AS$68&gt;$AS$66,$AS$64=1100%),MIN(AUXILIAR!$P$17,ROUND($AS$66/$AS$68*(AB59+AE59+AF59+AI59)*(1+('IDENTIFICACIÓN TRABAJADOR'!$N$46+'IDENTIFICACIÓN TRABAJADOR'!$R$46)/('IDENTIFICACIÓN TRABAJADOR'!$E$39-'IDENTIFICACIÓN TRABAJADOR'!$N$46-'IDENTIFICACIÓN TRABAJADOR'!$R$46)),2)),MIN(AUXILIAR!$P$17,ROUND((AB59+AE59+AF59+AI59)*(1+('IDENTIFICACIÓN TRABAJADOR'!$N$46+'IDENTIFICACIÓN TRABAJADOR'!$R$46)/('IDENTIFICACIÓN TRABAJADOR'!$E$39-'IDENTIFICACIÓN TRABAJADOR'!$N$46-'IDENTIFICACIÓN TRABAJADOR'!$R$46)),2))))</f>
        <v>0</v>
      </c>
      <c r="AL59" s="569">
        <f>IF($AS$72&gt;0,0,ROUND(Y59*AK59,2))</f>
        <v>0</v>
      </c>
      <c r="AM59" s="572">
        <f>P59</f>
        <v>0</v>
      </c>
      <c r="AN59" s="412"/>
      <c r="AQ59" s="427" t="e">
        <f>ROUND(Y59*(AB59+AE59+AF59+AI59)*(1+('IDENTIFICACIÓN TRABAJADOR'!$N$46+'IDENTIFICACIÓN TRABAJADOR'!$R$46)/('IDENTIFICACIÓN TRABAJADOR'!$E$39-'IDENTIFICACIÓN TRABAJADOR'!$N$46-'IDENTIFICACIÓN TRABAJADOR'!$R$46)),2)</f>
        <v>#VALUE!</v>
      </c>
      <c r="AR59" s="412"/>
      <c r="AS59" s="412"/>
    </row>
    <row r="60" spans="2:45" ht="15" customHeight="1" x14ac:dyDescent="0.25">
      <c r="B60" s="428" t="s">
        <v>271</v>
      </c>
      <c r="C60" s="429">
        <f>IFERROR(IF(OR(DATE($B$57,MONTH(DATEVALUE(B60&amp;"1")),1)&lt;DATE(YEAR(EXPEDIENTE!$I$25),MONTH(EXPEDIENTE!$I$25),1),DATE($B$57,MONTH(DATEVALUE(B60&amp;"1")),1)&gt;DATE(YEAR(EXPEDIENTE!$I$27),MONTH(EXPEDIENTE!$I$27)+1,1)-1),0,ROUND('% DEDICACIÓN TRABAJADOR'!H43,4)),0)</f>
        <v>0</v>
      </c>
      <c r="D60" s="432">
        <f>'GASTOS EJER. 3'!F21+'GASTOS EJER. 3'!L21-'GASTOS EJER. 3'!X21-'GASTOS EJER. 3'!Y21</f>
        <v>0</v>
      </c>
      <c r="E60" s="189" t="str">
        <f>IF('GASTOS EJER. 3'!AA21="","",'GASTOS EJER. 3'!AA21)</f>
        <v/>
      </c>
      <c r="F60" s="431">
        <f>IF(E60&lt;=EXPEDIENTE!$I$29,D60,0)</f>
        <v>0</v>
      </c>
      <c r="G60" s="432">
        <f>'GASTOS EJER. 3'!Y21</f>
        <v>0</v>
      </c>
      <c r="H60" s="189" t="str">
        <f>IF('GASTOS EJER. 3'!AB21="","",'GASTOS EJER. 3'!AB21)</f>
        <v/>
      </c>
      <c r="I60" s="431">
        <f>IF(H60&lt;=EXPEDIENTE!$I$29,G60,0)</f>
        <v>0</v>
      </c>
      <c r="J60" s="433">
        <f>AUXILIAR!BX57</f>
        <v>0</v>
      </c>
      <c r="K60" s="432">
        <f>AUXILIAR!FU56</f>
        <v>0</v>
      </c>
      <c r="L60" s="189" t="str">
        <f>IF('GASTOS EJER. 3'!I53="","",'GASTOS EJER. 3'!I53)</f>
        <v/>
      </c>
      <c r="M60" s="431">
        <f>IF(L60&lt;=EXPEDIENTE!$I$29,K60,0)</f>
        <v>0</v>
      </c>
      <c r="N60" s="434">
        <f>IF($V$66=0,0,IF(AND($V$68&gt;$V$66,$V$64=1100%),MIN(AUXILIAR!$P$17,ROUND($V$66/$V$68*(F60+I60+J60+M60)*('IDENTIFICACIÓN TRABAJADOR'!$N$46+'IDENTIFICACIÓN TRABAJADOR'!$R$46)/('IDENTIFICACIÓN TRABAJADOR'!$E$39-'IDENTIFICACIÓN TRABAJADOR'!$N$46-'IDENTIFICACIÓN TRABAJADOR'!$R$46),2)),MIN(AUXILIAR!$P$17,ROUND((F60+I60+J60+M60)*('IDENTIFICACIÓN TRABAJADOR'!$N$46+'IDENTIFICACIÓN TRABAJADOR'!$R$46)/('IDENTIFICACIÓN TRABAJADOR'!$E$39-'IDENTIFICACIÓN TRABAJADOR'!$N$46-'IDENTIFICACIÓN TRABAJADOR'!$R$46),2))))</f>
        <v>0</v>
      </c>
      <c r="O60" s="433">
        <f>IF($V$66=0,0,IF(AND($V$68&gt;$V$66,$V$64=1100%),MIN(AUXILIAR!$P$17,ROUND($V$66/$V$68*(F60+I60+J60+M60)*(1+('IDENTIFICACIÓN TRABAJADOR'!$N$46+'IDENTIFICACIÓN TRABAJADOR'!$R$46)/('IDENTIFICACIÓN TRABAJADOR'!$E$39-'IDENTIFICACIÓN TRABAJADOR'!$N$46-'IDENTIFICACIÓN TRABAJADOR'!$R$46)),2)),MIN(AUXILIAR!$P$17,ROUND((F60+I60+J60+M60)*(1+('IDENTIFICACIÓN TRABAJADOR'!$N$46+'IDENTIFICACIÓN TRABAJADOR'!$R$46)/('IDENTIFICACIÓN TRABAJADOR'!$E$39-'IDENTIFICACIÓN TRABAJADOR'!$N$46-'IDENTIFICACIÓN TRABAJADOR'!$R$46)),2))))</f>
        <v>0</v>
      </c>
      <c r="P60" s="434">
        <f t="shared" si="6"/>
        <v>0</v>
      </c>
      <c r="Q60" s="412"/>
      <c r="T60" s="427" t="e">
        <f>ROUND(C60*(F60+I60+J60+M60)*(1+('IDENTIFICACIÓN TRABAJADOR'!$N$46+'IDENTIFICACIÓN TRABAJADOR'!$R$46)/('IDENTIFICACIÓN TRABAJADOR'!$E$39-'IDENTIFICACIÓN TRABAJADOR'!$N$46-'IDENTIFICACIÓN TRABAJADOR'!$R$46)),2)</f>
        <v>#VALUE!</v>
      </c>
      <c r="U60" s="412"/>
      <c r="V60" s="412"/>
      <c r="X60" s="581" t="s">
        <v>271</v>
      </c>
      <c r="Y60" s="429">
        <f>IFERROR(IF(OR(DATE($B$57,MONTH(DATEVALUE(X60&amp;"1")),1)&lt;DATE(YEAR(EXPEDIENTE!$I$25),MONTH(EXPEDIENTE!$I$25),1),DATE($B$57,MONTH(DATEVALUE(X60&amp;"1")),1)&gt;DATE(YEAR(EXPEDIENTE!$I$27),MONTH(EXPEDIENTE!$I$27)+1,1)-1),0,ROUND('% DEDICACIÓN TRABAJADOR'!H43,4)),0)</f>
        <v>0</v>
      </c>
      <c r="Z60" s="432">
        <f>'GASTOS EJER. 3'!AW21+'GASTOS EJER. 3'!BM21-'GASTOS EJER. 3'!CM21-'GASTOS EJER. 3'!CP21</f>
        <v>0</v>
      </c>
      <c r="AA60" s="189" t="str">
        <f>IF('GASTOS EJER. 3'!CT21="","",'GASTOS EJER. 3'!CT21)</f>
        <v/>
      </c>
      <c r="AB60" s="431">
        <f>IF(AA60&lt;=EXPEDIENTE!$I$29,Z60,0)</f>
        <v>0</v>
      </c>
      <c r="AC60" s="432">
        <f>'GASTOS EJER. 3'!CP21</f>
        <v>0</v>
      </c>
      <c r="AD60" s="189" t="str">
        <f>IF('GASTOS EJER. 3'!CW21="","",'GASTOS EJER. 3'!CW21)</f>
        <v/>
      </c>
      <c r="AE60" s="431">
        <f>IF(AD60&lt;=EXPEDIENTE!$I$29,AC60,0)</f>
        <v>0</v>
      </c>
      <c r="AF60" s="433">
        <f>AUXILIAR!DQ57</f>
        <v>0</v>
      </c>
      <c r="AG60" s="432">
        <f>AUXILIAR!HZ56</f>
        <v>0</v>
      </c>
      <c r="AH60" s="189" t="str">
        <f>IF('GASTOS EJER. 3'!BF53="","",'GASTOS EJER. 3'!BF53)</f>
        <v/>
      </c>
      <c r="AI60" s="431">
        <f>IF(AH60&lt;=EXPEDIENTE!$I$29,AG60,0)</f>
        <v>0</v>
      </c>
      <c r="AJ60" s="434">
        <f>IF($AS$66=0,0,IF(AND($AS$68&gt;$AS$66,$AS$64=1100%),MIN(AUXILIAR!$P$17,ROUND($AS$66/$AS$68*(AB60+AE60+AF60+AI60)*('IDENTIFICACIÓN TRABAJADOR'!$N$46+'IDENTIFICACIÓN TRABAJADOR'!$R$46)/('IDENTIFICACIÓN TRABAJADOR'!$E$39-'IDENTIFICACIÓN TRABAJADOR'!$N$46-'IDENTIFICACIÓN TRABAJADOR'!$R$46),2)),MIN(AUXILIAR!$P$17,ROUND((AB60+AE60+AF60+AI60)*('IDENTIFICACIÓN TRABAJADOR'!$N$46+'IDENTIFICACIÓN TRABAJADOR'!$R$46)/('IDENTIFICACIÓN TRABAJADOR'!$E$39-'IDENTIFICACIÓN TRABAJADOR'!$N$46-'IDENTIFICACIÓN TRABAJADOR'!$R$46),2))))</f>
        <v>0</v>
      </c>
      <c r="AK60" s="433">
        <f>IF($AS$66=0,0,IF(AND($AS$68&gt;$AS$66,$AS$64=1100%),MIN(AUXILIAR!$P$17,ROUND($AS$66/$AS$68*(AB60+AE60+AF60+AI60)*(1+('IDENTIFICACIÓN TRABAJADOR'!$N$46+'IDENTIFICACIÓN TRABAJADOR'!$R$46)/('IDENTIFICACIÓN TRABAJADOR'!$E$39-'IDENTIFICACIÓN TRABAJADOR'!$N$46-'IDENTIFICACIÓN TRABAJADOR'!$R$46)),2)),MIN(AUXILIAR!$P$17,ROUND((AB60+AE60+AF60+AI60)*(1+('IDENTIFICACIÓN TRABAJADOR'!$N$46+'IDENTIFICACIÓN TRABAJADOR'!$R$46)/('IDENTIFICACIÓN TRABAJADOR'!$E$39-'IDENTIFICACIÓN TRABAJADOR'!$N$46-'IDENTIFICACIÓN TRABAJADOR'!$R$46)),2))))</f>
        <v>0</v>
      </c>
      <c r="AL60" s="570">
        <f t="shared" ref="AL60:AL70" si="7">IF($AS$72&gt;0,0,ROUND(Y60*AK60,2))</f>
        <v>0</v>
      </c>
      <c r="AM60" s="573">
        <f t="shared" ref="AM60:AM70" si="8">P60</f>
        <v>0</v>
      </c>
      <c r="AN60" s="412"/>
      <c r="AQ60" s="427" t="e">
        <f>ROUND(Y60*(AB60+AE60+AF60+AI60)*(1+('IDENTIFICACIÓN TRABAJADOR'!$N$46+'IDENTIFICACIÓN TRABAJADOR'!$R$46)/('IDENTIFICACIÓN TRABAJADOR'!$E$39-'IDENTIFICACIÓN TRABAJADOR'!$N$46-'IDENTIFICACIÓN TRABAJADOR'!$R$46)),2)</f>
        <v>#VALUE!</v>
      </c>
      <c r="AR60" s="412"/>
      <c r="AS60" s="412"/>
    </row>
    <row r="61" spans="2:45" ht="15" customHeight="1" x14ac:dyDescent="0.25">
      <c r="B61" s="428" t="s">
        <v>272</v>
      </c>
      <c r="C61" s="429">
        <f>IFERROR(IF(OR(DATE($B$57,MONTH(DATEVALUE(B61&amp;"1")),1)&lt;DATE(YEAR(EXPEDIENTE!$I$25),MONTH(EXPEDIENTE!$I$25),1),DATE($B$57,MONTH(DATEVALUE(B61&amp;"1")),1)&gt;DATE(YEAR(EXPEDIENTE!$I$27),MONTH(EXPEDIENTE!$I$27)+1,1)-1),0,ROUND('% DEDICACIÓN TRABAJADOR'!I43,4)),0)</f>
        <v>0</v>
      </c>
      <c r="D61" s="432">
        <f>'GASTOS EJER. 3'!F22+'GASTOS EJER. 3'!L22-'GASTOS EJER. 3'!X22-'GASTOS EJER. 3'!Y22</f>
        <v>0</v>
      </c>
      <c r="E61" s="189" t="str">
        <f>IF('GASTOS EJER. 3'!AA22="","",'GASTOS EJER. 3'!AA22)</f>
        <v/>
      </c>
      <c r="F61" s="431">
        <f>IF(E61&lt;=EXPEDIENTE!$I$29,D61,0)</f>
        <v>0</v>
      </c>
      <c r="G61" s="432">
        <f>'GASTOS EJER. 3'!Y22</f>
        <v>0</v>
      </c>
      <c r="H61" s="189" t="str">
        <f>IF('GASTOS EJER. 3'!AB22="","",'GASTOS EJER. 3'!AB22)</f>
        <v/>
      </c>
      <c r="I61" s="431">
        <f>IF(H61&lt;=EXPEDIENTE!$I$29,G61,0)</f>
        <v>0</v>
      </c>
      <c r="J61" s="433">
        <f>AUXILIAR!BX58</f>
        <v>0</v>
      </c>
      <c r="K61" s="432">
        <f>AUXILIAR!FU57</f>
        <v>0</v>
      </c>
      <c r="L61" s="189" t="str">
        <f>IF('GASTOS EJER. 3'!I54="","",'GASTOS EJER. 3'!I54)</f>
        <v/>
      </c>
      <c r="M61" s="431">
        <f>IF(L61&lt;=EXPEDIENTE!$I$29,K61,0)</f>
        <v>0</v>
      </c>
      <c r="N61" s="434">
        <f>IF($V$66=0,0,IF(AND($V$68&gt;$V$66,$V$64=1100%),MIN(AUXILIAR!$P$17,ROUND($V$66/$V$68*(F61+I61+J61+M61)*('IDENTIFICACIÓN TRABAJADOR'!$N$46+'IDENTIFICACIÓN TRABAJADOR'!$R$46)/('IDENTIFICACIÓN TRABAJADOR'!$E$39-'IDENTIFICACIÓN TRABAJADOR'!$N$46-'IDENTIFICACIÓN TRABAJADOR'!$R$46),2)),MIN(AUXILIAR!$P$17,ROUND((F61+I61+J61+M61)*('IDENTIFICACIÓN TRABAJADOR'!$N$46+'IDENTIFICACIÓN TRABAJADOR'!$R$46)/('IDENTIFICACIÓN TRABAJADOR'!$E$39-'IDENTIFICACIÓN TRABAJADOR'!$N$46-'IDENTIFICACIÓN TRABAJADOR'!$R$46),2))))</f>
        <v>0</v>
      </c>
      <c r="O61" s="433">
        <f>IF($V$66=0,0,IF(AND($V$68&gt;$V$66,$V$64=1100%),MIN(AUXILIAR!$P$17,ROUND($V$66/$V$68*(F61+I61+J61+M61)*(1+('IDENTIFICACIÓN TRABAJADOR'!$N$46+'IDENTIFICACIÓN TRABAJADOR'!$R$46)/('IDENTIFICACIÓN TRABAJADOR'!$E$39-'IDENTIFICACIÓN TRABAJADOR'!$N$46-'IDENTIFICACIÓN TRABAJADOR'!$R$46)),2)),MIN(AUXILIAR!$P$17,ROUND((F61+I61+J61+M61)*(1+('IDENTIFICACIÓN TRABAJADOR'!$N$46+'IDENTIFICACIÓN TRABAJADOR'!$R$46)/('IDENTIFICACIÓN TRABAJADOR'!$E$39-'IDENTIFICACIÓN TRABAJADOR'!$N$46-'IDENTIFICACIÓN TRABAJADOR'!$R$46)),2))))</f>
        <v>0</v>
      </c>
      <c r="P61" s="434">
        <f t="shared" si="6"/>
        <v>0</v>
      </c>
      <c r="Q61" s="412"/>
      <c r="T61" s="427" t="e">
        <f>ROUND(C61*(F61+I61+J61+M61)*(1+('IDENTIFICACIÓN TRABAJADOR'!$N$46+'IDENTIFICACIÓN TRABAJADOR'!$R$46)/('IDENTIFICACIÓN TRABAJADOR'!$E$39-'IDENTIFICACIÓN TRABAJADOR'!$N$46-'IDENTIFICACIÓN TRABAJADOR'!$R$46)),2)</f>
        <v>#VALUE!</v>
      </c>
      <c r="U61" s="412"/>
      <c r="V61" s="412"/>
      <c r="X61" s="581" t="s">
        <v>272</v>
      </c>
      <c r="Y61" s="429">
        <f>IFERROR(IF(OR(DATE($B$57,MONTH(DATEVALUE(X61&amp;"1")),1)&lt;DATE(YEAR(EXPEDIENTE!$I$25),MONTH(EXPEDIENTE!$I$25),1),DATE($B$57,MONTH(DATEVALUE(X61&amp;"1")),1)&gt;DATE(YEAR(EXPEDIENTE!$I$27),MONTH(EXPEDIENTE!$I$27)+1,1)-1),0,ROUND('% DEDICACIÓN TRABAJADOR'!I43,4)),0)</f>
        <v>0</v>
      </c>
      <c r="Z61" s="432">
        <f>'GASTOS EJER. 3'!AW22+'GASTOS EJER. 3'!BM22-'GASTOS EJER. 3'!CM22-'GASTOS EJER. 3'!CP22</f>
        <v>0</v>
      </c>
      <c r="AA61" s="189" t="str">
        <f>IF('GASTOS EJER. 3'!CT22="","",'GASTOS EJER. 3'!CT22)</f>
        <v/>
      </c>
      <c r="AB61" s="431">
        <f>IF(AA61&lt;=EXPEDIENTE!$I$29,Z61,0)</f>
        <v>0</v>
      </c>
      <c r="AC61" s="432">
        <f>'GASTOS EJER. 3'!CP22</f>
        <v>0</v>
      </c>
      <c r="AD61" s="189" t="str">
        <f>IF('GASTOS EJER. 3'!CW22="","",'GASTOS EJER. 3'!CW22)</f>
        <v/>
      </c>
      <c r="AE61" s="431">
        <f>IF(AD61&lt;=EXPEDIENTE!$I$29,AC61,0)</f>
        <v>0</v>
      </c>
      <c r="AF61" s="433">
        <f>AUXILIAR!DQ58</f>
        <v>0</v>
      </c>
      <c r="AG61" s="432">
        <f>AUXILIAR!HZ57</f>
        <v>0</v>
      </c>
      <c r="AH61" s="189" t="str">
        <f>IF('GASTOS EJER. 3'!BF54="","",'GASTOS EJER. 3'!BF54)</f>
        <v/>
      </c>
      <c r="AI61" s="431">
        <f>IF(AH61&lt;=EXPEDIENTE!$I$29,AG61,0)</f>
        <v>0</v>
      </c>
      <c r="AJ61" s="434">
        <f>IF($AS$66=0,0,IF(AND($AS$68&gt;$AS$66,$AS$64=1100%),MIN(AUXILIAR!$P$17,ROUND($AS$66/$AS$68*(AB61+AE61+AF61+AI61)*('IDENTIFICACIÓN TRABAJADOR'!$N$46+'IDENTIFICACIÓN TRABAJADOR'!$R$46)/('IDENTIFICACIÓN TRABAJADOR'!$E$39-'IDENTIFICACIÓN TRABAJADOR'!$N$46-'IDENTIFICACIÓN TRABAJADOR'!$R$46),2)),MIN(AUXILIAR!$P$17,ROUND((AB61+AE61+AF61+AI61)*('IDENTIFICACIÓN TRABAJADOR'!$N$46+'IDENTIFICACIÓN TRABAJADOR'!$R$46)/('IDENTIFICACIÓN TRABAJADOR'!$E$39-'IDENTIFICACIÓN TRABAJADOR'!$N$46-'IDENTIFICACIÓN TRABAJADOR'!$R$46),2))))</f>
        <v>0</v>
      </c>
      <c r="AK61" s="433">
        <f>IF($AS$66=0,0,IF(AND($AS$68&gt;$AS$66,$AS$64=1100%),MIN(AUXILIAR!$P$17,ROUND($AS$66/$AS$68*(AB61+AE61+AF61+AI61)*(1+('IDENTIFICACIÓN TRABAJADOR'!$N$46+'IDENTIFICACIÓN TRABAJADOR'!$R$46)/('IDENTIFICACIÓN TRABAJADOR'!$E$39-'IDENTIFICACIÓN TRABAJADOR'!$N$46-'IDENTIFICACIÓN TRABAJADOR'!$R$46)),2)),MIN(AUXILIAR!$P$17,ROUND((AB61+AE61+AF61+AI61)*(1+('IDENTIFICACIÓN TRABAJADOR'!$N$46+'IDENTIFICACIÓN TRABAJADOR'!$R$46)/('IDENTIFICACIÓN TRABAJADOR'!$E$39-'IDENTIFICACIÓN TRABAJADOR'!$N$46-'IDENTIFICACIÓN TRABAJADOR'!$R$46)),2))))</f>
        <v>0</v>
      </c>
      <c r="AL61" s="570">
        <f t="shared" si="7"/>
        <v>0</v>
      </c>
      <c r="AM61" s="573">
        <f t="shared" si="8"/>
        <v>0</v>
      </c>
      <c r="AN61" s="412"/>
      <c r="AQ61" s="427" t="e">
        <f>ROUND(Y61*(AB61+AE61+AF61+AI61)*(1+('IDENTIFICACIÓN TRABAJADOR'!$N$46+'IDENTIFICACIÓN TRABAJADOR'!$R$46)/('IDENTIFICACIÓN TRABAJADOR'!$E$39-'IDENTIFICACIÓN TRABAJADOR'!$N$46-'IDENTIFICACIÓN TRABAJADOR'!$R$46)),2)</f>
        <v>#VALUE!</v>
      </c>
      <c r="AR61" s="412"/>
      <c r="AS61" s="412"/>
    </row>
    <row r="62" spans="2:45" ht="15" customHeight="1" x14ac:dyDescent="0.25">
      <c r="B62" s="428" t="s">
        <v>273</v>
      </c>
      <c r="C62" s="429">
        <f>IFERROR(IF(OR(DATE($B$57,MONTH(DATEVALUE(B62&amp;"1")),1)&lt;DATE(YEAR(EXPEDIENTE!$I$25),MONTH(EXPEDIENTE!$I$25),1),DATE($B$57,MONTH(DATEVALUE(B62&amp;"1")),1)&gt;DATE(YEAR(EXPEDIENTE!$I$27),MONTH(EXPEDIENTE!$I$27)+1,1)-1),0,ROUND('% DEDICACIÓN TRABAJADOR'!J43,4)),0)</f>
        <v>0</v>
      </c>
      <c r="D62" s="432">
        <f>'GASTOS EJER. 3'!F23+'GASTOS EJER. 3'!L23-'GASTOS EJER. 3'!X23-'GASTOS EJER. 3'!Y23</f>
        <v>0</v>
      </c>
      <c r="E62" s="189" t="str">
        <f>IF('GASTOS EJER. 3'!AA23="","",'GASTOS EJER. 3'!AA23)</f>
        <v/>
      </c>
      <c r="F62" s="431">
        <f>IF(E62&lt;=EXPEDIENTE!$I$29,D62,0)</f>
        <v>0</v>
      </c>
      <c r="G62" s="432">
        <f>'GASTOS EJER. 3'!Y23</f>
        <v>0</v>
      </c>
      <c r="H62" s="189" t="str">
        <f>IF('GASTOS EJER. 3'!AB23="","",'GASTOS EJER. 3'!AB23)</f>
        <v/>
      </c>
      <c r="I62" s="431">
        <f>IF(H62&lt;=EXPEDIENTE!$I$29,G62,0)</f>
        <v>0</v>
      </c>
      <c r="J62" s="433">
        <f>AUXILIAR!BX59</f>
        <v>0</v>
      </c>
      <c r="K62" s="432">
        <f>AUXILIAR!FU58</f>
        <v>0</v>
      </c>
      <c r="L62" s="189" t="str">
        <f>IF('GASTOS EJER. 3'!I55="","",'GASTOS EJER. 3'!I55)</f>
        <v/>
      </c>
      <c r="M62" s="431">
        <f>IF(L62&lt;=EXPEDIENTE!$I$29,K62,0)</f>
        <v>0</v>
      </c>
      <c r="N62" s="434">
        <f>IF($V$66=0,0,IF(AND($V$68&gt;$V$66,$V$64=1100%),MIN(AUXILIAR!$P$17,ROUND($V$66/$V$68*(F62+I62+J62+M62)*('IDENTIFICACIÓN TRABAJADOR'!$N$46+'IDENTIFICACIÓN TRABAJADOR'!$R$46)/('IDENTIFICACIÓN TRABAJADOR'!$E$39-'IDENTIFICACIÓN TRABAJADOR'!$N$46-'IDENTIFICACIÓN TRABAJADOR'!$R$46),2)),MIN(AUXILIAR!$P$17,ROUND((F62+I62+J62+M62)*('IDENTIFICACIÓN TRABAJADOR'!$N$46+'IDENTIFICACIÓN TRABAJADOR'!$R$46)/('IDENTIFICACIÓN TRABAJADOR'!$E$39-'IDENTIFICACIÓN TRABAJADOR'!$N$46-'IDENTIFICACIÓN TRABAJADOR'!$R$46),2))))</f>
        <v>0</v>
      </c>
      <c r="O62" s="433">
        <f>IF($V$66=0,0,IF(AND($V$68&gt;$V$66,$V$64=1100%),MIN(AUXILIAR!$P$17,ROUND($V$66/$V$68*(F62+I62+J62+M62)*(1+('IDENTIFICACIÓN TRABAJADOR'!$N$46+'IDENTIFICACIÓN TRABAJADOR'!$R$46)/('IDENTIFICACIÓN TRABAJADOR'!$E$39-'IDENTIFICACIÓN TRABAJADOR'!$N$46-'IDENTIFICACIÓN TRABAJADOR'!$R$46)),2)),MIN(AUXILIAR!$P$17,ROUND((F62+I62+J62+M62)*(1+('IDENTIFICACIÓN TRABAJADOR'!$N$46+'IDENTIFICACIÓN TRABAJADOR'!$R$46)/('IDENTIFICACIÓN TRABAJADOR'!$E$39-'IDENTIFICACIÓN TRABAJADOR'!$N$46-'IDENTIFICACIÓN TRABAJADOR'!$R$46)),2))))</f>
        <v>0</v>
      </c>
      <c r="P62" s="434">
        <f t="shared" si="6"/>
        <v>0</v>
      </c>
      <c r="Q62" s="412"/>
      <c r="T62" s="427" t="e">
        <f>ROUND(C62*(F62+I62+J62+M62)*(1+('IDENTIFICACIÓN TRABAJADOR'!$N$46+'IDENTIFICACIÓN TRABAJADOR'!$R$46)/('IDENTIFICACIÓN TRABAJADOR'!$E$39-'IDENTIFICACIÓN TRABAJADOR'!$N$46-'IDENTIFICACIÓN TRABAJADOR'!$R$46)),2)</f>
        <v>#VALUE!</v>
      </c>
      <c r="U62" s="412"/>
      <c r="V62" s="412"/>
      <c r="X62" s="581" t="s">
        <v>273</v>
      </c>
      <c r="Y62" s="429">
        <f>IFERROR(IF(OR(DATE($B$57,MONTH(DATEVALUE(X62&amp;"1")),1)&lt;DATE(YEAR(EXPEDIENTE!$I$25),MONTH(EXPEDIENTE!$I$25),1),DATE($B$57,MONTH(DATEVALUE(X62&amp;"1")),1)&gt;DATE(YEAR(EXPEDIENTE!$I$27),MONTH(EXPEDIENTE!$I$27)+1,1)-1),0,ROUND('% DEDICACIÓN TRABAJADOR'!J43,4)),0)</f>
        <v>0</v>
      </c>
      <c r="Z62" s="432">
        <f>'GASTOS EJER. 3'!AW23+'GASTOS EJER. 3'!BM23-'GASTOS EJER. 3'!CM23-'GASTOS EJER. 3'!CP23</f>
        <v>0</v>
      </c>
      <c r="AA62" s="189" t="str">
        <f>IF('GASTOS EJER. 3'!CT23="","",'GASTOS EJER. 3'!CT23)</f>
        <v/>
      </c>
      <c r="AB62" s="431">
        <f>IF(AA62&lt;=EXPEDIENTE!$I$29,Z62,0)</f>
        <v>0</v>
      </c>
      <c r="AC62" s="432">
        <f>'GASTOS EJER. 3'!CP23</f>
        <v>0</v>
      </c>
      <c r="AD62" s="189" t="str">
        <f>IF('GASTOS EJER. 3'!CW23="","",'GASTOS EJER. 3'!CW23)</f>
        <v/>
      </c>
      <c r="AE62" s="431">
        <f>IF(AD62&lt;=EXPEDIENTE!$I$29,AC62,0)</f>
        <v>0</v>
      </c>
      <c r="AF62" s="433">
        <f>AUXILIAR!DQ59</f>
        <v>0</v>
      </c>
      <c r="AG62" s="432">
        <f>AUXILIAR!HZ58</f>
        <v>0</v>
      </c>
      <c r="AH62" s="189" t="str">
        <f>IF('GASTOS EJER. 3'!BF55="","",'GASTOS EJER. 3'!BF55)</f>
        <v/>
      </c>
      <c r="AI62" s="431">
        <f>IF(AH62&lt;=EXPEDIENTE!$I$29,AG62,0)</f>
        <v>0</v>
      </c>
      <c r="AJ62" s="434">
        <f>IF($AS$66=0,0,IF(AND($AS$68&gt;$AS$66,$AS$64=1100%),MIN(AUXILIAR!$P$17,ROUND($AS$66/$AS$68*(AB62+AE62+AF62+AI62)*('IDENTIFICACIÓN TRABAJADOR'!$N$46+'IDENTIFICACIÓN TRABAJADOR'!$R$46)/('IDENTIFICACIÓN TRABAJADOR'!$E$39-'IDENTIFICACIÓN TRABAJADOR'!$N$46-'IDENTIFICACIÓN TRABAJADOR'!$R$46),2)),MIN(AUXILIAR!$P$17,ROUND((AB62+AE62+AF62+AI62)*('IDENTIFICACIÓN TRABAJADOR'!$N$46+'IDENTIFICACIÓN TRABAJADOR'!$R$46)/('IDENTIFICACIÓN TRABAJADOR'!$E$39-'IDENTIFICACIÓN TRABAJADOR'!$N$46-'IDENTIFICACIÓN TRABAJADOR'!$R$46),2))))</f>
        <v>0</v>
      </c>
      <c r="AK62" s="433">
        <f>IF($AS$66=0,0,IF(AND($AS$68&gt;$AS$66,$AS$64=1100%),MIN(AUXILIAR!$P$17,ROUND($AS$66/$AS$68*(AB62+AE62+AF62+AI62)*(1+('IDENTIFICACIÓN TRABAJADOR'!$N$46+'IDENTIFICACIÓN TRABAJADOR'!$R$46)/('IDENTIFICACIÓN TRABAJADOR'!$E$39-'IDENTIFICACIÓN TRABAJADOR'!$N$46-'IDENTIFICACIÓN TRABAJADOR'!$R$46)),2)),MIN(AUXILIAR!$P$17,ROUND((AB62+AE62+AF62+AI62)*(1+('IDENTIFICACIÓN TRABAJADOR'!$N$46+'IDENTIFICACIÓN TRABAJADOR'!$R$46)/('IDENTIFICACIÓN TRABAJADOR'!$E$39-'IDENTIFICACIÓN TRABAJADOR'!$N$46-'IDENTIFICACIÓN TRABAJADOR'!$R$46)),2))))</f>
        <v>0</v>
      </c>
      <c r="AL62" s="570">
        <f t="shared" si="7"/>
        <v>0</v>
      </c>
      <c r="AM62" s="573">
        <f t="shared" si="8"/>
        <v>0</v>
      </c>
      <c r="AN62" s="412"/>
      <c r="AQ62" s="427" t="e">
        <f>ROUND(Y62*(AB62+AE62+AF62+AI62)*(1+('IDENTIFICACIÓN TRABAJADOR'!$N$46+'IDENTIFICACIÓN TRABAJADOR'!$R$46)/('IDENTIFICACIÓN TRABAJADOR'!$E$39-'IDENTIFICACIÓN TRABAJADOR'!$N$46-'IDENTIFICACIÓN TRABAJADOR'!$R$46)),2)</f>
        <v>#VALUE!</v>
      </c>
      <c r="AR62" s="412"/>
      <c r="AS62" s="412"/>
    </row>
    <row r="63" spans="2:45" ht="15" customHeight="1" x14ac:dyDescent="0.25">
      <c r="B63" s="428" t="s">
        <v>274</v>
      </c>
      <c r="C63" s="429">
        <f>IFERROR(IF(OR(DATE($B$57,MONTH(DATEVALUE(B63&amp;"1")),1)&lt;DATE(YEAR(EXPEDIENTE!$I$25),MONTH(EXPEDIENTE!$I$25),1),DATE($B$57,MONTH(DATEVALUE(B63&amp;"1")),1)&gt;DATE(YEAR(EXPEDIENTE!$I$27),MONTH(EXPEDIENTE!$I$27)+1,1)-1),0,ROUND('% DEDICACIÓN TRABAJADOR'!K43,4)),0)</f>
        <v>0</v>
      </c>
      <c r="D63" s="432">
        <f>'GASTOS EJER. 3'!F24+'GASTOS EJER. 3'!L24-'GASTOS EJER. 3'!X24-'GASTOS EJER. 3'!Y24</f>
        <v>0</v>
      </c>
      <c r="E63" s="189" t="str">
        <f>IF('GASTOS EJER. 3'!AA24="","",'GASTOS EJER. 3'!AA24)</f>
        <v/>
      </c>
      <c r="F63" s="431">
        <f>IF(E63&lt;=EXPEDIENTE!$I$29,D63,0)</f>
        <v>0</v>
      </c>
      <c r="G63" s="432">
        <f>'GASTOS EJER. 3'!Y24</f>
        <v>0</v>
      </c>
      <c r="H63" s="189" t="str">
        <f>IF('GASTOS EJER. 3'!AB24="","",'GASTOS EJER. 3'!AB24)</f>
        <v/>
      </c>
      <c r="I63" s="431">
        <f>IF(H63&lt;=EXPEDIENTE!$I$29,G63,0)</f>
        <v>0</v>
      </c>
      <c r="J63" s="433">
        <f>AUXILIAR!BX60</f>
        <v>0</v>
      </c>
      <c r="K63" s="432">
        <f>AUXILIAR!FU59</f>
        <v>0</v>
      </c>
      <c r="L63" s="189" t="str">
        <f>IF('GASTOS EJER. 3'!I56="","",'GASTOS EJER. 3'!I56)</f>
        <v/>
      </c>
      <c r="M63" s="431">
        <f>IF(L63&lt;=EXPEDIENTE!$I$29,K63,0)</f>
        <v>0</v>
      </c>
      <c r="N63" s="434">
        <f>IF($V$66=0,0,IF(AND($V$68&gt;$V$66,$V$64=1100%),MIN(AUXILIAR!$P$17,ROUND($V$66/$V$68*(F63+I63+J63+M63)*('IDENTIFICACIÓN TRABAJADOR'!$N$46+'IDENTIFICACIÓN TRABAJADOR'!$R$46)/('IDENTIFICACIÓN TRABAJADOR'!$E$39-'IDENTIFICACIÓN TRABAJADOR'!$N$46-'IDENTIFICACIÓN TRABAJADOR'!$R$46),2)),MIN(AUXILIAR!$P$17,ROUND((F63+I63+J63+M63)*('IDENTIFICACIÓN TRABAJADOR'!$N$46+'IDENTIFICACIÓN TRABAJADOR'!$R$46)/('IDENTIFICACIÓN TRABAJADOR'!$E$39-'IDENTIFICACIÓN TRABAJADOR'!$N$46-'IDENTIFICACIÓN TRABAJADOR'!$R$46),2))))</f>
        <v>0</v>
      </c>
      <c r="O63" s="433">
        <f>IF($V$66=0,0,IF(AND($V$68&gt;$V$66,$V$64=1100%),MIN(AUXILIAR!$P$17,ROUND($V$66/$V$68*(F63+I63+J63+M63)*(1+('IDENTIFICACIÓN TRABAJADOR'!$N$46+'IDENTIFICACIÓN TRABAJADOR'!$R$46)/('IDENTIFICACIÓN TRABAJADOR'!$E$39-'IDENTIFICACIÓN TRABAJADOR'!$N$46-'IDENTIFICACIÓN TRABAJADOR'!$R$46)),2)),MIN(AUXILIAR!$P$17,ROUND((F63+I63+J63+M63)*(1+('IDENTIFICACIÓN TRABAJADOR'!$N$46+'IDENTIFICACIÓN TRABAJADOR'!$R$46)/('IDENTIFICACIÓN TRABAJADOR'!$E$39-'IDENTIFICACIÓN TRABAJADOR'!$N$46-'IDENTIFICACIÓN TRABAJADOR'!$R$46)),2))))</f>
        <v>0</v>
      </c>
      <c r="P63" s="434">
        <f t="shared" si="6"/>
        <v>0</v>
      </c>
      <c r="Q63" s="412"/>
      <c r="T63" s="427" t="e">
        <f>ROUND(C63*(F63+I63+J63+M63)*(1+('IDENTIFICACIÓN TRABAJADOR'!$N$46+'IDENTIFICACIÓN TRABAJADOR'!$R$46)/('IDENTIFICACIÓN TRABAJADOR'!$E$39-'IDENTIFICACIÓN TRABAJADOR'!$N$46-'IDENTIFICACIÓN TRABAJADOR'!$R$46)),2)</f>
        <v>#VALUE!</v>
      </c>
      <c r="U63" s="412"/>
      <c r="V63" s="84" t="s">
        <v>323</v>
      </c>
      <c r="X63" s="581" t="s">
        <v>274</v>
      </c>
      <c r="Y63" s="429">
        <f>IFERROR(IF(OR(DATE($B$57,MONTH(DATEVALUE(X63&amp;"1")),1)&lt;DATE(YEAR(EXPEDIENTE!$I$25),MONTH(EXPEDIENTE!$I$25),1),DATE($B$57,MONTH(DATEVALUE(X63&amp;"1")),1)&gt;DATE(YEAR(EXPEDIENTE!$I$27),MONTH(EXPEDIENTE!$I$27)+1,1)-1),0,ROUND('% DEDICACIÓN TRABAJADOR'!K43,4)),0)</f>
        <v>0</v>
      </c>
      <c r="Z63" s="432">
        <f>'GASTOS EJER. 3'!AW24+'GASTOS EJER. 3'!BM24-'GASTOS EJER. 3'!CM24-'GASTOS EJER. 3'!CP24</f>
        <v>0</v>
      </c>
      <c r="AA63" s="189" t="str">
        <f>IF('GASTOS EJER. 3'!CT24="","",'GASTOS EJER. 3'!CT24)</f>
        <v/>
      </c>
      <c r="AB63" s="431">
        <f>IF(AA63&lt;=EXPEDIENTE!$I$29,Z63,0)</f>
        <v>0</v>
      </c>
      <c r="AC63" s="432">
        <f>'GASTOS EJER. 3'!CP24</f>
        <v>0</v>
      </c>
      <c r="AD63" s="189" t="str">
        <f>IF('GASTOS EJER. 3'!CW24="","",'GASTOS EJER. 3'!CW24)</f>
        <v/>
      </c>
      <c r="AE63" s="431">
        <f>IF(AD63&lt;=EXPEDIENTE!$I$29,AC63,0)</f>
        <v>0</v>
      </c>
      <c r="AF63" s="433">
        <f>AUXILIAR!DQ60</f>
        <v>0</v>
      </c>
      <c r="AG63" s="432">
        <f>AUXILIAR!HZ59</f>
        <v>0</v>
      </c>
      <c r="AH63" s="189" t="str">
        <f>IF('GASTOS EJER. 3'!BF56="","",'GASTOS EJER. 3'!BF56)</f>
        <v/>
      </c>
      <c r="AI63" s="431">
        <f>IF(AH63&lt;=EXPEDIENTE!$I$29,AG63,0)</f>
        <v>0</v>
      </c>
      <c r="AJ63" s="434">
        <f>IF($AS$66=0,0,IF(AND($AS$68&gt;$AS$66,$AS$64=1100%),MIN(AUXILIAR!$P$17,ROUND($AS$66/$AS$68*(AB63+AE63+AF63+AI63)*('IDENTIFICACIÓN TRABAJADOR'!$N$46+'IDENTIFICACIÓN TRABAJADOR'!$R$46)/('IDENTIFICACIÓN TRABAJADOR'!$E$39-'IDENTIFICACIÓN TRABAJADOR'!$N$46-'IDENTIFICACIÓN TRABAJADOR'!$R$46),2)),MIN(AUXILIAR!$P$17,ROUND((AB63+AE63+AF63+AI63)*('IDENTIFICACIÓN TRABAJADOR'!$N$46+'IDENTIFICACIÓN TRABAJADOR'!$R$46)/('IDENTIFICACIÓN TRABAJADOR'!$E$39-'IDENTIFICACIÓN TRABAJADOR'!$N$46-'IDENTIFICACIÓN TRABAJADOR'!$R$46),2))))</f>
        <v>0</v>
      </c>
      <c r="AK63" s="433">
        <f>IF($AS$66=0,0,IF(AND($AS$68&gt;$AS$66,$AS$64=1100%),MIN(AUXILIAR!$P$17,ROUND($AS$66/$AS$68*(AB63+AE63+AF63+AI63)*(1+('IDENTIFICACIÓN TRABAJADOR'!$N$46+'IDENTIFICACIÓN TRABAJADOR'!$R$46)/('IDENTIFICACIÓN TRABAJADOR'!$E$39-'IDENTIFICACIÓN TRABAJADOR'!$N$46-'IDENTIFICACIÓN TRABAJADOR'!$R$46)),2)),MIN(AUXILIAR!$P$17,ROUND((AB63+AE63+AF63+AI63)*(1+('IDENTIFICACIÓN TRABAJADOR'!$N$46+'IDENTIFICACIÓN TRABAJADOR'!$R$46)/('IDENTIFICACIÓN TRABAJADOR'!$E$39-'IDENTIFICACIÓN TRABAJADOR'!$N$46-'IDENTIFICACIÓN TRABAJADOR'!$R$46)),2))))</f>
        <v>0</v>
      </c>
      <c r="AL63" s="570">
        <f t="shared" si="7"/>
        <v>0</v>
      </c>
      <c r="AM63" s="573">
        <f t="shared" si="8"/>
        <v>0</v>
      </c>
      <c r="AN63" s="412"/>
      <c r="AQ63" s="427" t="e">
        <f>ROUND(Y63*(AB63+AE63+AF63+AI63)*(1+('IDENTIFICACIÓN TRABAJADOR'!$N$46+'IDENTIFICACIÓN TRABAJADOR'!$R$46)/('IDENTIFICACIÓN TRABAJADOR'!$E$39-'IDENTIFICACIÓN TRABAJADOR'!$N$46-'IDENTIFICACIÓN TRABAJADOR'!$R$46)),2)</f>
        <v>#VALUE!</v>
      </c>
      <c r="AR63" s="412"/>
      <c r="AS63" s="84" t="s">
        <v>323</v>
      </c>
    </row>
    <row r="64" spans="2:45" ht="15" customHeight="1" x14ac:dyDescent="0.25">
      <c r="B64" s="428" t="s">
        <v>275</v>
      </c>
      <c r="C64" s="429">
        <f>IFERROR(IF(OR(DATE($B$57,MONTH(DATEVALUE(B64&amp;"1")),1)&lt;DATE(YEAR(EXPEDIENTE!$I$25),MONTH(EXPEDIENTE!$I$25),1),DATE($B$57,MONTH(DATEVALUE(B64&amp;"1")),1)&gt;DATE(YEAR(EXPEDIENTE!$I$27),MONTH(EXPEDIENTE!$I$27)+1,1)-1),0,ROUND('% DEDICACIÓN TRABAJADOR'!L43,4)),0)</f>
        <v>0</v>
      </c>
      <c r="D64" s="432">
        <f>'GASTOS EJER. 3'!F25+'GASTOS EJER. 3'!L25-'GASTOS EJER. 3'!X25-'GASTOS EJER. 3'!Y25</f>
        <v>0</v>
      </c>
      <c r="E64" s="189" t="str">
        <f>IF('GASTOS EJER. 3'!AA25="","",'GASTOS EJER. 3'!AA25)</f>
        <v/>
      </c>
      <c r="F64" s="431">
        <f>IF(E64&lt;=EXPEDIENTE!$I$29,D64,0)</f>
        <v>0</v>
      </c>
      <c r="G64" s="432">
        <f>'GASTOS EJER. 3'!Y25</f>
        <v>0</v>
      </c>
      <c r="H64" s="189" t="str">
        <f>IF('GASTOS EJER. 3'!AB25="","",'GASTOS EJER. 3'!AB25)</f>
        <v/>
      </c>
      <c r="I64" s="431">
        <f>IF(H64&lt;=EXPEDIENTE!$I$29,G64,0)</f>
        <v>0</v>
      </c>
      <c r="J64" s="433">
        <f>AUXILIAR!BX61</f>
        <v>0</v>
      </c>
      <c r="K64" s="432">
        <f>AUXILIAR!FU60</f>
        <v>0</v>
      </c>
      <c r="L64" s="189" t="str">
        <f>IF('GASTOS EJER. 3'!I57="","",'GASTOS EJER. 3'!I57)</f>
        <v/>
      </c>
      <c r="M64" s="431">
        <f>IF(L64&lt;=EXPEDIENTE!$I$29,K64,0)</f>
        <v>0</v>
      </c>
      <c r="N64" s="434">
        <f>IF($V$66=0,0,IF(AND($V$68&gt;$V$66,$V$64=1100%),MIN(AUXILIAR!$P$17,ROUND($V$66/$V$68*(F64+I64+J64+M64)*('IDENTIFICACIÓN TRABAJADOR'!$N$46+'IDENTIFICACIÓN TRABAJADOR'!$R$46)/('IDENTIFICACIÓN TRABAJADOR'!$E$39-'IDENTIFICACIÓN TRABAJADOR'!$N$46-'IDENTIFICACIÓN TRABAJADOR'!$R$46),2)),MIN(AUXILIAR!$P$17,ROUND((F64+I64+J64+M64)*('IDENTIFICACIÓN TRABAJADOR'!$N$46+'IDENTIFICACIÓN TRABAJADOR'!$R$46)/('IDENTIFICACIÓN TRABAJADOR'!$E$39-'IDENTIFICACIÓN TRABAJADOR'!$N$46-'IDENTIFICACIÓN TRABAJADOR'!$R$46),2))))</f>
        <v>0</v>
      </c>
      <c r="O64" s="433">
        <f>IF($V$66=0,0,IF(AND($V$68&gt;$V$66,$V$64=1100%),MIN(AUXILIAR!$P$17,ROUND($V$66/$V$68*(F64+I64+J64+M64)*(1+('IDENTIFICACIÓN TRABAJADOR'!$N$46+'IDENTIFICACIÓN TRABAJADOR'!$R$46)/('IDENTIFICACIÓN TRABAJADOR'!$E$39-'IDENTIFICACIÓN TRABAJADOR'!$N$46-'IDENTIFICACIÓN TRABAJADOR'!$R$46)),2)),MIN(AUXILIAR!$P$17,ROUND((F64+I64+J64+M64)*(1+('IDENTIFICACIÓN TRABAJADOR'!$N$46+'IDENTIFICACIÓN TRABAJADOR'!$R$46)/('IDENTIFICACIÓN TRABAJADOR'!$E$39-'IDENTIFICACIÓN TRABAJADOR'!$N$46-'IDENTIFICACIÓN TRABAJADOR'!$R$46)),2))))</f>
        <v>0</v>
      </c>
      <c r="P64" s="434">
        <f t="shared" si="6"/>
        <v>0</v>
      </c>
      <c r="Q64" s="412"/>
      <c r="T64" s="427" t="e">
        <f>ROUND(C64*(F64+I64+J64+M64)*(1+('IDENTIFICACIÓN TRABAJADOR'!$N$46+'IDENTIFICACIÓN TRABAJADOR'!$R$46)/('IDENTIFICACIÓN TRABAJADOR'!$E$39-'IDENTIFICACIÓN TRABAJADOR'!$N$46-'IDENTIFICACIÓN TRABAJADOR'!$R$46)),2)</f>
        <v>#VALUE!</v>
      </c>
      <c r="U64" s="305"/>
      <c r="V64" s="435">
        <f>SUM('% DEDICACIÓN TRABAJADOR'!$G$43:$R$43)</f>
        <v>0</v>
      </c>
      <c r="X64" s="581" t="s">
        <v>275</v>
      </c>
      <c r="Y64" s="429">
        <f>IFERROR(IF(OR(DATE($B$57,MONTH(DATEVALUE(X64&amp;"1")),1)&lt;DATE(YEAR(EXPEDIENTE!$I$25),MONTH(EXPEDIENTE!$I$25),1),DATE($B$57,MONTH(DATEVALUE(X64&amp;"1")),1)&gt;DATE(YEAR(EXPEDIENTE!$I$27),MONTH(EXPEDIENTE!$I$27)+1,1)-1),0,ROUND('% DEDICACIÓN TRABAJADOR'!L43,4)),0)</f>
        <v>0</v>
      </c>
      <c r="Z64" s="432">
        <f>'GASTOS EJER. 3'!AW25+'GASTOS EJER. 3'!BM25-'GASTOS EJER. 3'!CM25-'GASTOS EJER. 3'!CP25</f>
        <v>0</v>
      </c>
      <c r="AA64" s="189" t="str">
        <f>IF('GASTOS EJER. 3'!CT25="","",'GASTOS EJER. 3'!CT25)</f>
        <v/>
      </c>
      <c r="AB64" s="431">
        <f>IF(AA64&lt;=EXPEDIENTE!$I$29,Z64,0)</f>
        <v>0</v>
      </c>
      <c r="AC64" s="432">
        <f>'GASTOS EJER. 3'!CP25</f>
        <v>0</v>
      </c>
      <c r="AD64" s="189" t="str">
        <f>IF('GASTOS EJER. 3'!CW25="","",'GASTOS EJER. 3'!CW25)</f>
        <v/>
      </c>
      <c r="AE64" s="431">
        <f>IF(AD64&lt;=EXPEDIENTE!$I$29,AC64,0)</f>
        <v>0</v>
      </c>
      <c r="AF64" s="433">
        <f>AUXILIAR!DQ61</f>
        <v>0</v>
      </c>
      <c r="AG64" s="432">
        <f>AUXILIAR!HZ60</f>
        <v>0</v>
      </c>
      <c r="AH64" s="189" t="str">
        <f>IF('GASTOS EJER. 3'!BF57="","",'GASTOS EJER. 3'!BF57)</f>
        <v/>
      </c>
      <c r="AI64" s="431">
        <f>IF(AH64&lt;=EXPEDIENTE!$I$29,AG64,0)</f>
        <v>0</v>
      </c>
      <c r="AJ64" s="434">
        <f>IF($AS$66=0,0,IF(AND($AS$68&gt;$AS$66,$AS$64=1100%),MIN(AUXILIAR!$P$17,ROUND($AS$66/$AS$68*(AB64+AE64+AF64+AI64)*('IDENTIFICACIÓN TRABAJADOR'!$N$46+'IDENTIFICACIÓN TRABAJADOR'!$R$46)/('IDENTIFICACIÓN TRABAJADOR'!$E$39-'IDENTIFICACIÓN TRABAJADOR'!$N$46-'IDENTIFICACIÓN TRABAJADOR'!$R$46),2)),MIN(AUXILIAR!$P$17,ROUND((AB64+AE64+AF64+AI64)*('IDENTIFICACIÓN TRABAJADOR'!$N$46+'IDENTIFICACIÓN TRABAJADOR'!$R$46)/('IDENTIFICACIÓN TRABAJADOR'!$E$39-'IDENTIFICACIÓN TRABAJADOR'!$N$46-'IDENTIFICACIÓN TRABAJADOR'!$R$46),2))))</f>
        <v>0</v>
      </c>
      <c r="AK64" s="433">
        <f>IF($AS$66=0,0,IF(AND($AS$68&gt;$AS$66,$AS$64=1100%),MIN(AUXILIAR!$P$17,ROUND($AS$66/$AS$68*(AB64+AE64+AF64+AI64)*(1+('IDENTIFICACIÓN TRABAJADOR'!$N$46+'IDENTIFICACIÓN TRABAJADOR'!$R$46)/('IDENTIFICACIÓN TRABAJADOR'!$E$39-'IDENTIFICACIÓN TRABAJADOR'!$N$46-'IDENTIFICACIÓN TRABAJADOR'!$R$46)),2)),MIN(AUXILIAR!$P$17,ROUND((AB64+AE64+AF64+AI64)*(1+('IDENTIFICACIÓN TRABAJADOR'!$N$46+'IDENTIFICACIÓN TRABAJADOR'!$R$46)/('IDENTIFICACIÓN TRABAJADOR'!$E$39-'IDENTIFICACIÓN TRABAJADOR'!$N$46-'IDENTIFICACIÓN TRABAJADOR'!$R$46)),2))))</f>
        <v>0</v>
      </c>
      <c r="AL64" s="570">
        <f t="shared" si="7"/>
        <v>0</v>
      </c>
      <c r="AM64" s="573">
        <f t="shared" si="8"/>
        <v>0</v>
      </c>
      <c r="AN64" s="412"/>
      <c r="AQ64" s="427" t="e">
        <f>ROUND(Y64*(AB64+AE64+AF64+AI64)*(1+('IDENTIFICACIÓN TRABAJADOR'!$N$46+'IDENTIFICACIÓN TRABAJADOR'!$R$46)/('IDENTIFICACIÓN TRABAJADOR'!$E$39-'IDENTIFICACIÓN TRABAJADOR'!$N$46-'IDENTIFICACIÓN TRABAJADOR'!$R$46)),2)</f>
        <v>#VALUE!</v>
      </c>
      <c r="AR64" s="305"/>
      <c r="AS64" s="435">
        <f>SUM('% DEDICACIÓN TRABAJADOR'!$G$43:$R$43)</f>
        <v>0</v>
      </c>
    </row>
    <row r="65" spans="2:45" ht="15" customHeight="1" x14ac:dyDescent="0.25">
      <c r="B65" s="428" t="s">
        <v>276</v>
      </c>
      <c r="C65" s="429">
        <f>IFERROR(IF(OR(DATE($B$57,MONTH(DATEVALUE(B65&amp;"1")),1)&lt;DATE(YEAR(EXPEDIENTE!$I$25),MONTH(EXPEDIENTE!$I$25),1),DATE($B$57,MONTH(DATEVALUE(B65&amp;"1")),1)&gt;DATE(YEAR(EXPEDIENTE!$I$27),MONTH(EXPEDIENTE!$I$27)+1,1)-1),0,ROUND('% DEDICACIÓN TRABAJADOR'!M43,4)),0)</f>
        <v>0</v>
      </c>
      <c r="D65" s="432">
        <f>'GASTOS EJER. 3'!F26+'GASTOS EJER. 3'!L26-'GASTOS EJER. 3'!X26-'GASTOS EJER. 3'!Y26</f>
        <v>0</v>
      </c>
      <c r="E65" s="189" t="str">
        <f>IF('GASTOS EJER. 3'!AA26="","",'GASTOS EJER. 3'!AA26)</f>
        <v/>
      </c>
      <c r="F65" s="431">
        <f>IF(E65&lt;=EXPEDIENTE!$I$29,D65,0)</f>
        <v>0</v>
      </c>
      <c r="G65" s="432">
        <f>'GASTOS EJER. 3'!Y26</f>
        <v>0</v>
      </c>
      <c r="H65" s="189" t="str">
        <f>IF('GASTOS EJER. 3'!AB26="","",'GASTOS EJER. 3'!AB26)</f>
        <v/>
      </c>
      <c r="I65" s="431">
        <f>IF(H65&lt;=EXPEDIENTE!$I$29,G65,0)</f>
        <v>0</v>
      </c>
      <c r="J65" s="433">
        <f>AUXILIAR!BX62</f>
        <v>0</v>
      </c>
      <c r="K65" s="432">
        <f>AUXILIAR!FU61</f>
        <v>0</v>
      </c>
      <c r="L65" s="189" t="str">
        <f>IF('GASTOS EJER. 3'!I58="","",'GASTOS EJER. 3'!I58)</f>
        <v/>
      </c>
      <c r="M65" s="431">
        <f>IF(L65&lt;=EXPEDIENTE!$I$29,K65,0)</f>
        <v>0</v>
      </c>
      <c r="N65" s="434">
        <f>IF($V$66=0,0,IF(AND($V$68&gt;$V$66,$V$64=1100%),MIN(AUXILIAR!$P$17,ROUND($V$66/$V$68*(F65+I65+J65+M65)*('IDENTIFICACIÓN TRABAJADOR'!$N$46+'IDENTIFICACIÓN TRABAJADOR'!$R$46)/('IDENTIFICACIÓN TRABAJADOR'!$E$39-'IDENTIFICACIÓN TRABAJADOR'!$N$46-'IDENTIFICACIÓN TRABAJADOR'!$R$46),2)),MIN(AUXILIAR!$P$17,ROUND((F65+I65+J65+M65)*('IDENTIFICACIÓN TRABAJADOR'!$N$46+'IDENTIFICACIÓN TRABAJADOR'!$R$46)/('IDENTIFICACIÓN TRABAJADOR'!$E$39-'IDENTIFICACIÓN TRABAJADOR'!$N$46-'IDENTIFICACIÓN TRABAJADOR'!$R$46),2))))</f>
        <v>0</v>
      </c>
      <c r="O65" s="433">
        <f>IF($V$66=0,0,IF(AND($V$68&gt;$V$66,$V$64=1100%),MIN(AUXILIAR!$P$17,ROUND($V$66/$V$68*(F65+I65+J65+M65)*(1+('IDENTIFICACIÓN TRABAJADOR'!$N$46+'IDENTIFICACIÓN TRABAJADOR'!$R$46)/('IDENTIFICACIÓN TRABAJADOR'!$E$39-'IDENTIFICACIÓN TRABAJADOR'!$N$46-'IDENTIFICACIÓN TRABAJADOR'!$R$46)),2)),MIN(AUXILIAR!$P$17,ROUND((F65+I65+J65+M65)*(1+('IDENTIFICACIÓN TRABAJADOR'!$N$46+'IDENTIFICACIÓN TRABAJADOR'!$R$46)/('IDENTIFICACIÓN TRABAJADOR'!$E$39-'IDENTIFICACIÓN TRABAJADOR'!$N$46-'IDENTIFICACIÓN TRABAJADOR'!$R$46)),2))))</f>
        <v>0</v>
      </c>
      <c r="P65" s="434">
        <f t="shared" si="6"/>
        <v>0</v>
      </c>
      <c r="Q65" s="412"/>
      <c r="T65" s="427" t="e">
        <f>ROUND(C65*(F65+I65+J65+M65)*(1+('IDENTIFICACIÓN TRABAJADOR'!$N$46+'IDENTIFICACIÓN TRABAJADOR'!$R$46)/('IDENTIFICACIÓN TRABAJADOR'!$E$39-'IDENTIFICACIÓN TRABAJADOR'!$N$46-'IDENTIFICACIÓN TRABAJADOR'!$R$46)),2)</f>
        <v>#VALUE!</v>
      </c>
      <c r="U65" s="305"/>
      <c r="V65" s="84" t="s">
        <v>324</v>
      </c>
      <c r="X65" s="581" t="s">
        <v>276</v>
      </c>
      <c r="Y65" s="429">
        <f>IFERROR(IF(OR(DATE($B$57,MONTH(DATEVALUE(X65&amp;"1")),1)&lt;DATE(YEAR(EXPEDIENTE!$I$25),MONTH(EXPEDIENTE!$I$25),1),DATE($B$57,MONTH(DATEVALUE(X65&amp;"1")),1)&gt;DATE(YEAR(EXPEDIENTE!$I$27),MONTH(EXPEDIENTE!$I$27)+1,1)-1),0,ROUND('% DEDICACIÓN TRABAJADOR'!M43,4)),0)</f>
        <v>0</v>
      </c>
      <c r="Z65" s="432">
        <f>'GASTOS EJER. 3'!AW26+'GASTOS EJER. 3'!BM26-'GASTOS EJER. 3'!CM26-'GASTOS EJER. 3'!CP26</f>
        <v>0</v>
      </c>
      <c r="AA65" s="189" t="str">
        <f>IF('GASTOS EJER. 3'!CT26="","",'GASTOS EJER. 3'!CT26)</f>
        <v/>
      </c>
      <c r="AB65" s="431">
        <f>IF(AA65&lt;=EXPEDIENTE!$I$29,Z65,0)</f>
        <v>0</v>
      </c>
      <c r="AC65" s="432">
        <f>'GASTOS EJER. 3'!CP26</f>
        <v>0</v>
      </c>
      <c r="AD65" s="189" t="str">
        <f>IF('GASTOS EJER. 3'!CW26="","",'GASTOS EJER. 3'!CW26)</f>
        <v/>
      </c>
      <c r="AE65" s="431">
        <f>IF(AD65&lt;=EXPEDIENTE!$I$29,AC65,0)</f>
        <v>0</v>
      </c>
      <c r="AF65" s="433">
        <f>AUXILIAR!DQ62</f>
        <v>0</v>
      </c>
      <c r="AG65" s="432">
        <f>AUXILIAR!HZ61</f>
        <v>0</v>
      </c>
      <c r="AH65" s="189" t="str">
        <f>IF('GASTOS EJER. 3'!BF58="","",'GASTOS EJER. 3'!BF58)</f>
        <v/>
      </c>
      <c r="AI65" s="431">
        <f>IF(AH65&lt;=EXPEDIENTE!$I$29,AG65,0)</f>
        <v>0</v>
      </c>
      <c r="AJ65" s="434">
        <f>IF($AS$66=0,0,IF(AND($AS$68&gt;$AS$66,$AS$64=1100%),MIN(AUXILIAR!$P$17,ROUND($AS$66/$AS$68*(AB65+AE65+AF65+AI65)*('IDENTIFICACIÓN TRABAJADOR'!$N$46+'IDENTIFICACIÓN TRABAJADOR'!$R$46)/('IDENTIFICACIÓN TRABAJADOR'!$E$39-'IDENTIFICACIÓN TRABAJADOR'!$N$46-'IDENTIFICACIÓN TRABAJADOR'!$R$46),2)),MIN(AUXILIAR!$P$17,ROUND((AB65+AE65+AF65+AI65)*('IDENTIFICACIÓN TRABAJADOR'!$N$46+'IDENTIFICACIÓN TRABAJADOR'!$R$46)/('IDENTIFICACIÓN TRABAJADOR'!$E$39-'IDENTIFICACIÓN TRABAJADOR'!$N$46-'IDENTIFICACIÓN TRABAJADOR'!$R$46),2))))</f>
        <v>0</v>
      </c>
      <c r="AK65" s="433">
        <f>IF($AS$66=0,0,IF(AND($AS$68&gt;$AS$66,$AS$64=1100%),MIN(AUXILIAR!$P$17,ROUND($AS$66/$AS$68*(AB65+AE65+AF65+AI65)*(1+('IDENTIFICACIÓN TRABAJADOR'!$N$46+'IDENTIFICACIÓN TRABAJADOR'!$R$46)/('IDENTIFICACIÓN TRABAJADOR'!$E$39-'IDENTIFICACIÓN TRABAJADOR'!$N$46-'IDENTIFICACIÓN TRABAJADOR'!$R$46)),2)),MIN(AUXILIAR!$P$17,ROUND((AB65+AE65+AF65+AI65)*(1+('IDENTIFICACIÓN TRABAJADOR'!$N$46+'IDENTIFICACIÓN TRABAJADOR'!$R$46)/('IDENTIFICACIÓN TRABAJADOR'!$E$39-'IDENTIFICACIÓN TRABAJADOR'!$N$46-'IDENTIFICACIÓN TRABAJADOR'!$R$46)),2))))</f>
        <v>0</v>
      </c>
      <c r="AL65" s="570">
        <f t="shared" si="7"/>
        <v>0</v>
      </c>
      <c r="AM65" s="573">
        <f t="shared" si="8"/>
        <v>0</v>
      </c>
      <c r="AN65" s="412"/>
      <c r="AQ65" s="427" t="e">
        <f>ROUND(Y65*(AB65+AE65+AF65+AI65)*(1+('IDENTIFICACIÓN TRABAJADOR'!$N$46+'IDENTIFICACIÓN TRABAJADOR'!$R$46)/('IDENTIFICACIÓN TRABAJADOR'!$E$39-'IDENTIFICACIÓN TRABAJADOR'!$N$46-'IDENTIFICACIÓN TRABAJADOR'!$R$46)),2)</f>
        <v>#VALUE!</v>
      </c>
      <c r="AR65" s="305"/>
      <c r="AS65" s="84" t="s">
        <v>324</v>
      </c>
    </row>
    <row r="66" spans="2:45" ht="15" customHeight="1" x14ac:dyDescent="0.25">
      <c r="B66" s="428" t="s">
        <v>277</v>
      </c>
      <c r="C66" s="429">
        <f>IFERROR(IF(OR(DATE($B$57,MONTH(DATEVALUE(B66&amp;"1")),1)&lt;DATE(YEAR(EXPEDIENTE!$I$25),MONTH(EXPEDIENTE!$I$25),1),DATE($B$57,MONTH(DATEVALUE(B66&amp;"1")),1)&gt;DATE(YEAR(EXPEDIENTE!$I$27),MONTH(EXPEDIENTE!$I$27)+1,1)-1),0,ROUND('% DEDICACIÓN TRABAJADOR'!N43,4)),0)</f>
        <v>0</v>
      </c>
      <c r="D66" s="432">
        <f>'GASTOS EJER. 3'!F27+'GASTOS EJER. 3'!L27-'GASTOS EJER. 3'!X27-'GASTOS EJER. 3'!Y27</f>
        <v>0</v>
      </c>
      <c r="E66" s="189" t="str">
        <f>IF('GASTOS EJER. 3'!AA27="","",'GASTOS EJER. 3'!AA27)</f>
        <v/>
      </c>
      <c r="F66" s="431">
        <f>IF(E66&lt;=EXPEDIENTE!$I$29,D66,0)</f>
        <v>0</v>
      </c>
      <c r="G66" s="432">
        <f>'GASTOS EJER. 3'!Y27</f>
        <v>0</v>
      </c>
      <c r="H66" s="189" t="str">
        <f>IF('GASTOS EJER. 3'!AB27="","",'GASTOS EJER. 3'!AB27)</f>
        <v/>
      </c>
      <c r="I66" s="431">
        <f>IF(H66&lt;=EXPEDIENTE!$I$29,G66,0)</f>
        <v>0</v>
      </c>
      <c r="J66" s="433">
        <f>AUXILIAR!BX63</f>
        <v>0</v>
      </c>
      <c r="K66" s="432">
        <f>AUXILIAR!FU62</f>
        <v>0</v>
      </c>
      <c r="L66" s="189" t="str">
        <f>IF('GASTOS EJER. 3'!I59="","",'GASTOS EJER. 3'!I59)</f>
        <v/>
      </c>
      <c r="M66" s="431">
        <f>IF(L66&lt;=EXPEDIENTE!$I$29,K66,0)</f>
        <v>0</v>
      </c>
      <c r="N66" s="434">
        <f>IF($V$66=0,0,IF(AND($V$68&gt;$V$66,$V$64=1100%),MIN(AUXILIAR!$P$17,ROUND($V$66/$V$68*(F66+I66+J66+M66)*('IDENTIFICACIÓN TRABAJADOR'!$N$46+'IDENTIFICACIÓN TRABAJADOR'!$R$46)/('IDENTIFICACIÓN TRABAJADOR'!$E$39-'IDENTIFICACIÓN TRABAJADOR'!$N$46-'IDENTIFICACIÓN TRABAJADOR'!$R$46),2)),MIN(AUXILIAR!$P$17,ROUND((F66+I66+J66+M66)*('IDENTIFICACIÓN TRABAJADOR'!$N$46+'IDENTIFICACIÓN TRABAJADOR'!$R$46)/('IDENTIFICACIÓN TRABAJADOR'!$E$39-'IDENTIFICACIÓN TRABAJADOR'!$N$46-'IDENTIFICACIÓN TRABAJADOR'!$R$46),2))))</f>
        <v>0</v>
      </c>
      <c r="O66" s="433">
        <f>IF($V$66=0,0,IF(AND($V$68&gt;$V$66,$V$64=1100%),MIN(AUXILIAR!$P$17,ROUND($V$66/$V$68*(F66+I66+J66+M66)*(1+('IDENTIFICACIÓN TRABAJADOR'!$N$46+'IDENTIFICACIÓN TRABAJADOR'!$R$46)/('IDENTIFICACIÓN TRABAJADOR'!$E$39-'IDENTIFICACIÓN TRABAJADOR'!$N$46-'IDENTIFICACIÓN TRABAJADOR'!$R$46)),2)),MIN(AUXILIAR!$P$17,ROUND((F66+I66+J66+M66)*(1+('IDENTIFICACIÓN TRABAJADOR'!$N$46+'IDENTIFICACIÓN TRABAJADOR'!$R$46)/('IDENTIFICACIÓN TRABAJADOR'!$E$39-'IDENTIFICACIÓN TRABAJADOR'!$N$46-'IDENTIFICACIÓN TRABAJADOR'!$R$46)),2))))</f>
        <v>0</v>
      </c>
      <c r="P66" s="434">
        <f t="shared" si="6"/>
        <v>0</v>
      </c>
      <c r="Q66" s="412"/>
      <c r="T66" s="427" t="e">
        <f>ROUND(C66*(F66+I66+J66+M66)*(1+('IDENTIFICACIÓN TRABAJADOR'!$N$46+'IDENTIFICACIÓN TRABAJADOR'!$R$46)/('IDENTIFICACIÓN TRABAJADOR'!$E$39-'IDENTIFICACIÓN TRABAJADOR'!$N$46-'IDENTIFICACIÓN TRABAJADOR'!$R$46)),2)</f>
        <v>#VALUE!</v>
      </c>
      <c r="U66" s="305"/>
      <c r="V66" s="436">
        <f>SUM(F59:F70)+SUM(I59:I70)+SUM(J59:J70)+SUM(M59:M70)</f>
        <v>0</v>
      </c>
      <c r="X66" s="581" t="s">
        <v>277</v>
      </c>
      <c r="Y66" s="429">
        <f>IFERROR(IF(OR(DATE($B$57,MONTH(DATEVALUE(X66&amp;"1")),1)&lt;DATE(YEAR(EXPEDIENTE!$I$25),MONTH(EXPEDIENTE!$I$25),1),DATE($B$57,MONTH(DATEVALUE(X66&amp;"1")),1)&gt;DATE(YEAR(EXPEDIENTE!$I$27),MONTH(EXPEDIENTE!$I$27)+1,1)-1),0,ROUND('% DEDICACIÓN TRABAJADOR'!N43,4)),0)</f>
        <v>0</v>
      </c>
      <c r="Z66" s="432">
        <f>'GASTOS EJER. 3'!AW27+'GASTOS EJER. 3'!BM27-'GASTOS EJER. 3'!CM27-'GASTOS EJER. 3'!CP27</f>
        <v>0</v>
      </c>
      <c r="AA66" s="189" t="str">
        <f>IF('GASTOS EJER. 3'!CT27="","",'GASTOS EJER. 3'!CT27)</f>
        <v/>
      </c>
      <c r="AB66" s="431">
        <f>IF(AA66&lt;=EXPEDIENTE!$I$29,Z66,0)</f>
        <v>0</v>
      </c>
      <c r="AC66" s="432">
        <f>'GASTOS EJER. 3'!CP27</f>
        <v>0</v>
      </c>
      <c r="AD66" s="189" t="str">
        <f>IF('GASTOS EJER. 3'!CW27="","",'GASTOS EJER. 3'!CW27)</f>
        <v/>
      </c>
      <c r="AE66" s="431">
        <f>IF(AD66&lt;=EXPEDIENTE!$I$29,AC66,0)</f>
        <v>0</v>
      </c>
      <c r="AF66" s="433">
        <f>AUXILIAR!DQ63</f>
        <v>0</v>
      </c>
      <c r="AG66" s="432">
        <f>AUXILIAR!HZ62</f>
        <v>0</v>
      </c>
      <c r="AH66" s="189" t="str">
        <f>IF('GASTOS EJER. 3'!BF59="","",'GASTOS EJER. 3'!BF59)</f>
        <v/>
      </c>
      <c r="AI66" s="431">
        <f>IF(AH66&lt;=EXPEDIENTE!$I$29,AG66,0)</f>
        <v>0</v>
      </c>
      <c r="AJ66" s="434">
        <f>IF($AS$66=0,0,IF(AND($AS$68&gt;$AS$66,$AS$64=1100%),MIN(AUXILIAR!$P$17,ROUND($AS$66/$AS$68*(AB66+AE66+AF66+AI66)*('IDENTIFICACIÓN TRABAJADOR'!$N$46+'IDENTIFICACIÓN TRABAJADOR'!$R$46)/('IDENTIFICACIÓN TRABAJADOR'!$E$39-'IDENTIFICACIÓN TRABAJADOR'!$N$46-'IDENTIFICACIÓN TRABAJADOR'!$R$46),2)),MIN(AUXILIAR!$P$17,ROUND((AB66+AE66+AF66+AI66)*('IDENTIFICACIÓN TRABAJADOR'!$N$46+'IDENTIFICACIÓN TRABAJADOR'!$R$46)/('IDENTIFICACIÓN TRABAJADOR'!$E$39-'IDENTIFICACIÓN TRABAJADOR'!$N$46-'IDENTIFICACIÓN TRABAJADOR'!$R$46),2))))</f>
        <v>0</v>
      </c>
      <c r="AK66" s="433">
        <f>IF($AS$66=0,0,IF(AND($AS$68&gt;$AS$66,$AS$64=1100%),MIN(AUXILIAR!$P$17,ROUND($AS$66/$AS$68*(AB66+AE66+AF66+AI66)*(1+('IDENTIFICACIÓN TRABAJADOR'!$N$46+'IDENTIFICACIÓN TRABAJADOR'!$R$46)/('IDENTIFICACIÓN TRABAJADOR'!$E$39-'IDENTIFICACIÓN TRABAJADOR'!$N$46-'IDENTIFICACIÓN TRABAJADOR'!$R$46)),2)),MIN(AUXILIAR!$P$17,ROUND((AB66+AE66+AF66+AI66)*(1+('IDENTIFICACIÓN TRABAJADOR'!$N$46+'IDENTIFICACIÓN TRABAJADOR'!$R$46)/('IDENTIFICACIÓN TRABAJADOR'!$E$39-'IDENTIFICACIÓN TRABAJADOR'!$N$46-'IDENTIFICACIÓN TRABAJADOR'!$R$46)),2))))</f>
        <v>0</v>
      </c>
      <c r="AL66" s="570">
        <f t="shared" si="7"/>
        <v>0</v>
      </c>
      <c r="AM66" s="573">
        <f t="shared" si="8"/>
        <v>0</v>
      </c>
      <c r="AN66" s="412"/>
      <c r="AQ66" s="427" t="e">
        <f>ROUND(Y66*(AB66+AE66+AF66+AI66)*(1+('IDENTIFICACIÓN TRABAJADOR'!$N$46+'IDENTIFICACIÓN TRABAJADOR'!$R$46)/('IDENTIFICACIÓN TRABAJADOR'!$E$39-'IDENTIFICACIÓN TRABAJADOR'!$N$46-'IDENTIFICACIÓN TRABAJADOR'!$R$46)),2)</f>
        <v>#VALUE!</v>
      </c>
      <c r="AR66" s="305"/>
      <c r="AS66" s="436">
        <f>SUM(AB59:AB70)+SUM(AE59:AE70)+SUM(AF59:AF70)+SUM(AI59:AI70)</f>
        <v>0</v>
      </c>
    </row>
    <row r="67" spans="2:45" ht="15" customHeight="1" x14ac:dyDescent="0.25">
      <c r="B67" s="428" t="s">
        <v>278</v>
      </c>
      <c r="C67" s="429">
        <f>IFERROR(IF(OR(DATE($B$57,MONTH(DATEVALUE(B67&amp;"1")),1)&lt;DATE(YEAR(EXPEDIENTE!$I$25),MONTH(EXPEDIENTE!$I$25),1),DATE($B$57,MONTH(DATEVALUE(B67&amp;"1")),1)&gt;DATE(YEAR(EXPEDIENTE!$I$27),MONTH(EXPEDIENTE!$I$27)+1,1)-1),0,ROUND('% DEDICACIÓN TRABAJADOR'!O43,4)),0)</f>
        <v>0</v>
      </c>
      <c r="D67" s="432">
        <f>'GASTOS EJER. 3'!F28+'GASTOS EJER. 3'!L28-'GASTOS EJER. 3'!X28-'GASTOS EJER. 3'!Y28</f>
        <v>0</v>
      </c>
      <c r="E67" s="189" t="str">
        <f>IF('GASTOS EJER. 3'!AA28="","",'GASTOS EJER. 3'!AA28)</f>
        <v/>
      </c>
      <c r="F67" s="431">
        <f>IF(E67&lt;=EXPEDIENTE!$I$29,D67,0)</f>
        <v>0</v>
      </c>
      <c r="G67" s="432">
        <f>'GASTOS EJER. 3'!Y28</f>
        <v>0</v>
      </c>
      <c r="H67" s="189" t="str">
        <f>IF('GASTOS EJER. 3'!AB28="","",'GASTOS EJER. 3'!AB28)</f>
        <v/>
      </c>
      <c r="I67" s="431">
        <f>IF(H67&lt;=EXPEDIENTE!$I$29,G67,0)</f>
        <v>0</v>
      </c>
      <c r="J67" s="433">
        <f>AUXILIAR!BX64</f>
        <v>0</v>
      </c>
      <c r="K67" s="432">
        <f>AUXILIAR!FU63</f>
        <v>0</v>
      </c>
      <c r="L67" s="189" t="str">
        <f>IF('GASTOS EJER. 3'!I60="","",'GASTOS EJER. 3'!I60)</f>
        <v/>
      </c>
      <c r="M67" s="431">
        <f>IF(L67&lt;=EXPEDIENTE!$I$29,K67,0)</f>
        <v>0</v>
      </c>
      <c r="N67" s="434">
        <f>IF($V$66=0,0,IF(AND($V$68&gt;$V$66,$V$64=1100%),MIN(AUXILIAR!$P$17,ROUND($V$66/$V$68*(F67+I67+J67+M67)*('IDENTIFICACIÓN TRABAJADOR'!$N$46+'IDENTIFICACIÓN TRABAJADOR'!$R$46)/('IDENTIFICACIÓN TRABAJADOR'!$E$39-'IDENTIFICACIÓN TRABAJADOR'!$N$46-'IDENTIFICACIÓN TRABAJADOR'!$R$46),2)),MIN(AUXILIAR!$P$17,ROUND((F67+I67+J67+M67)*('IDENTIFICACIÓN TRABAJADOR'!$N$46+'IDENTIFICACIÓN TRABAJADOR'!$R$46)/('IDENTIFICACIÓN TRABAJADOR'!$E$39-'IDENTIFICACIÓN TRABAJADOR'!$N$46-'IDENTIFICACIÓN TRABAJADOR'!$R$46),2))))</f>
        <v>0</v>
      </c>
      <c r="O67" s="433">
        <f>IF($V$66=0,0,IF(AND($V$68&gt;$V$66,$V$64=1100%),MIN(AUXILIAR!$P$17,ROUND($V$66/$V$68*(F67+I67+J67+M67)*(1+('IDENTIFICACIÓN TRABAJADOR'!$N$46+'IDENTIFICACIÓN TRABAJADOR'!$R$46)/('IDENTIFICACIÓN TRABAJADOR'!$E$39-'IDENTIFICACIÓN TRABAJADOR'!$N$46-'IDENTIFICACIÓN TRABAJADOR'!$R$46)),2)),MIN(AUXILIAR!$P$17,ROUND((F67+I67+J67+M67)*(1+('IDENTIFICACIÓN TRABAJADOR'!$N$46+'IDENTIFICACIÓN TRABAJADOR'!$R$46)/('IDENTIFICACIÓN TRABAJADOR'!$E$39-'IDENTIFICACIÓN TRABAJADOR'!$N$46-'IDENTIFICACIÓN TRABAJADOR'!$R$46)),2))))</f>
        <v>0</v>
      </c>
      <c r="P67" s="434">
        <f t="shared" si="6"/>
        <v>0</v>
      </c>
      <c r="Q67" s="412"/>
      <c r="T67" s="427" t="e">
        <f>ROUND(C67*(F67+I67+J67+M67)*(1+('IDENTIFICACIÓN TRABAJADOR'!$N$46+'IDENTIFICACIÓN TRABAJADOR'!$R$46)/('IDENTIFICACIÓN TRABAJADOR'!$E$39-'IDENTIFICACIÓN TRABAJADOR'!$N$46-'IDENTIFICACIÓN TRABAJADOR'!$R$46)),2)</f>
        <v>#VALUE!</v>
      </c>
      <c r="U67" s="305"/>
      <c r="V67" s="84" t="s">
        <v>325</v>
      </c>
      <c r="X67" s="581" t="s">
        <v>278</v>
      </c>
      <c r="Y67" s="429">
        <f>IFERROR(IF(OR(DATE($B$57,MONTH(DATEVALUE(X67&amp;"1")),1)&lt;DATE(YEAR(EXPEDIENTE!$I$25),MONTH(EXPEDIENTE!$I$25),1),DATE($B$57,MONTH(DATEVALUE(X67&amp;"1")),1)&gt;DATE(YEAR(EXPEDIENTE!$I$27),MONTH(EXPEDIENTE!$I$27)+1,1)-1),0,ROUND('% DEDICACIÓN TRABAJADOR'!O43,4)),0)</f>
        <v>0</v>
      </c>
      <c r="Z67" s="432">
        <f>'GASTOS EJER. 3'!AW28+'GASTOS EJER. 3'!BM28-'GASTOS EJER. 3'!CM28-'GASTOS EJER. 3'!CP28</f>
        <v>0</v>
      </c>
      <c r="AA67" s="189" t="str">
        <f>IF('GASTOS EJER. 3'!CT28="","",'GASTOS EJER. 3'!CT28)</f>
        <v/>
      </c>
      <c r="AB67" s="431">
        <f>IF(AA67&lt;=EXPEDIENTE!$I$29,Z67,0)</f>
        <v>0</v>
      </c>
      <c r="AC67" s="432">
        <f>'GASTOS EJER. 3'!CP28</f>
        <v>0</v>
      </c>
      <c r="AD67" s="189" t="str">
        <f>IF('GASTOS EJER. 3'!CW28="","",'GASTOS EJER. 3'!CW28)</f>
        <v/>
      </c>
      <c r="AE67" s="431">
        <f>IF(AD67&lt;=EXPEDIENTE!$I$29,AC67,0)</f>
        <v>0</v>
      </c>
      <c r="AF67" s="433">
        <f>AUXILIAR!DQ64</f>
        <v>0</v>
      </c>
      <c r="AG67" s="432">
        <f>AUXILIAR!HZ63</f>
        <v>0</v>
      </c>
      <c r="AH67" s="189" t="str">
        <f>IF('GASTOS EJER. 3'!BF60="","",'GASTOS EJER. 3'!BF60)</f>
        <v/>
      </c>
      <c r="AI67" s="431">
        <f>IF(AH67&lt;=EXPEDIENTE!$I$29,AG67,0)</f>
        <v>0</v>
      </c>
      <c r="AJ67" s="434">
        <f>IF($AS$66=0,0,IF(AND($AS$68&gt;$AS$66,$AS$64=1100%),MIN(AUXILIAR!$P$17,ROUND($AS$66/$AS$68*(AB67+AE67+AF67+AI67)*('IDENTIFICACIÓN TRABAJADOR'!$N$46+'IDENTIFICACIÓN TRABAJADOR'!$R$46)/('IDENTIFICACIÓN TRABAJADOR'!$E$39-'IDENTIFICACIÓN TRABAJADOR'!$N$46-'IDENTIFICACIÓN TRABAJADOR'!$R$46),2)),MIN(AUXILIAR!$P$17,ROUND((AB67+AE67+AF67+AI67)*('IDENTIFICACIÓN TRABAJADOR'!$N$46+'IDENTIFICACIÓN TRABAJADOR'!$R$46)/('IDENTIFICACIÓN TRABAJADOR'!$E$39-'IDENTIFICACIÓN TRABAJADOR'!$N$46-'IDENTIFICACIÓN TRABAJADOR'!$R$46),2))))</f>
        <v>0</v>
      </c>
      <c r="AK67" s="433">
        <f>IF($AS$66=0,0,IF(AND($AS$68&gt;$AS$66,$AS$64=1100%),MIN(AUXILIAR!$P$17,ROUND($AS$66/$AS$68*(AB67+AE67+AF67+AI67)*(1+('IDENTIFICACIÓN TRABAJADOR'!$N$46+'IDENTIFICACIÓN TRABAJADOR'!$R$46)/('IDENTIFICACIÓN TRABAJADOR'!$E$39-'IDENTIFICACIÓN TRABAJADOR'!$N$46-'IDENTIFICACIÓN TRABAJADOR'!$R$46)),2)),MIN(AUXILIAR!$P$17,ROUND((AB67+AE67+AF67+AI67)*(1+('IDENTIFICACIÓN TRABAJADOR'!$N$46+'IDENTIFICACIÓN TRABAJADOR'!$R$46)/('IDENTIFICACIÓN TRABAJADOR'!$E$39-'IDENTIFICACIÓN TRABAJADOR'!$N$46-'IDENTIFICACIÓN TRABAJADOR'!$R$46)),2))))</f>
        <v>0</v>
      </c>
      <c r="AL67" s="570">
        <f t="shared" si="7"/>
        <v>0</v>
      </c>
      <c r="AM67" s="573">
        <f t="shared" si="8"/>
        <v>0</v>
      </c>
      <c r="AN67" s="412"/>
      <c r="AQ67" s="427" t="e">
        <f>ROUND(Y67*(AB67+AE67+AF67+AI67)*(1+('IDENTIFICACIÓN TRABAJADOR'!$N$46+'IDENTIFICACIÓN TRABAJADOR'!$R$46)/('IDENTIFICACIÓN TRABAJADOR'!$E$39-'IDENTIFICACIÓN TRABAJADOR'!$N$46-'IDENTIFICACIÓN TRABAJADOR'!$R$46)),2)</f>
        <v>#VALUE!</v>
      </c>
      <c r="AR67" s="305"/>
      <c r="AS67" s="84" t="s">
        <v>325</v>
      </c>
    </row>
    <row r="68" spans="2:45" ht="15" customHeight="1" x14ac:dyDescent="0.25">
      <c r="B68" s="428" t="s">
        <v>279</v>
      </c>
      <c r="C68" s="429">
        <f>IFERROR(IF(OR(DATE($B$57,MONTH(DATEVALUE(B68&amp;"1")),1)&lt;DATE(YEAR(EXPEDIENTE!$I$25),MONTH(EXPEDIENTE!$I$25),1),DATE($B$57,MONTH(DATEVALUE(B68&amp;"1")),1)&gt;DATE(YEAR(EXPEDIENTE!$I$27),MONTH(EXPEDIENTE!$I$27)+1,1)-1),0,ROUND('% DEDICACIÓN TRABAJADOR'!P43,4)),0)</f>
        <v>0</v>
      </c>
      <c r="D68" s="432">
        <f>'GASTOS EJER. 3'!F29+'GASTOS EJER. 3'!L29-'GASTOS EJER. 3'!X29-'GASTOS EJER. 3'!Y29</f>
        <v>0</v>
      </c>
      <c r="E68" s="189" t="str">
        <f>IF('GASTOS EJER. 3'!AA29="","",'GASTOS EJER. 3'!AA29)</f>
        <v/>
      </c>
      <c r="F68" s="431">
        <f>IF(E68&lt;=EXPEDIENTE!$I$29,D68,0)</f>
        <v>0</v>
      </c>
      <c r="G68" s="432">
        <f>'GASTOS EJER. 3'!Y29</f>
        <v>0</v>
      </c>
      <c r="H68" s="189" t="str">
        <f>IF('GASTOS EJER. 3'!AB29="","",'GASTOS EJER. 3'!AB29)</f>
        <v/>
      </c>
      <c r="I68" s="431">
        <f>IF(H68&lt;=EXPEDIENTE!$I$29,G68,0)</f>
        <v>0</v>
      </c>
      <c r="J68" s="433">
        <f>AUXILIAR!BX65</f>
        <v>0</v>
      </c>
      <c r="K68" s="432">
        <f>AUXILIAR!FU64</f>
        <v>0</v>
      </c>
      <c r="L68" s="189" t="str">
        <f>IF('GASTOS EJER. 3'!I61="","",'GASTOS EJER. 3'!I61)</f>
        <v/>
      </c>
      <c r="M68" s="431">
        <f>IF(L68&lt;=EXPEDIENTE!$I$29,K68,0)</f>
        <v>0</v>
      </c>
      <c r="N68" s="434">
        <f>IF($V$66=0,0,IF(AND($V$68&gt;$V$66,$V$64=1100%),MIN(AUXILIAR!$P$17,ROUND($V$66/$V$68*(F68+I68+J68+M68)*('IDENTIFICACIÓN TRABAJADOR'!$N$46+'IDENTIFICACIÓN TRABAJADOR'!$R$46)/('IDENTIFICACIÓN TRABAJADOR'!$E$39-'IDENTIFICACIÓN TRABAJADOR'!$N$46-'IDENTIFICACIÓN TRABAJADOR'!$R$46),2)),MIN(AUXILIAR!$P$17,ROUND((F68+I68+J68+M68)*('IDENTIFICACIÓN TRABAJADOR'!$N$46+'IDENTIFICACIÓN TRABAJADOR'!$R$46)/('IDENTIFICACIÓN TRABAJADOR'!$E$39-'IDENTIFICACIÓN TRABAJADOR'!$N$46-'IDENTIFICACIÓN TRABAJADOR'!$R$46),2))))</f>
        <v>0</v>
      </c>
      <c r="O68" s="433">
        <f>IF($V$66=0,0,IF(AND($V$68&gt;$V$66,$V$64=1100%),MIN(AUXILIAR!$P$17,ROUND($V$66/$V$68*(F68+I68+J68+M68)*(1+('IDENTIFICACIÓN TRABAJADOR'!$N$46+'IDENTIFICACIÓN TRABAJADOR'!$R$46)/('IDENTIFICACIÓN TRABAJADOR'!$E$39-'IDENTIFICACIÓN TRABAJADOR'!$N$46-'IDENTIFICACIÓN TRABAJADOR'!$R$46)),2)),MIN(AUXILIAR!$P$17,ROUND((F68+I68+J68+M68)*(1+('IDENTIFICACIÓN TRABAJADOR'!$N$46+'IDENTIFICACIÓN TRABAJADOR'!$R$46)/('IDENTIFICACIÓN TRABAJADOR'!$E$39-'IDENTIFICACIÓN TRABAJADOR'!$N$46-'IDENTIFICACIÓN TRABAJADOR'!$R$46)),2))))</f>
        <v>0</v>
      </c>
      <c r="P68" s="434">
        <f t="shared" si="6"/>
        <v>0</v>
      </c>
      <c r="Q68" s="412"/>
      <c r="T68" s="427" t="e">
        <f>ROUND(C68*(F68+I68+J68+M68)*(1+('IDENTIFICACIÓN TRABAJADOR'!$N$46+'IDENTIFICACIÓN TRABAJADOR'!$R$46)/('IDENTIFICACIÓN TRABAJADOR'!$E$39-'IDENTIFICACIÓN TRABAJADOR'!$N$46-'IDENTIFICACIÓN TRABAJADOR'!$R$46)),2)</f>
        <v>#VALUE!</v>
      </c>
      <c r="U68" s="305"/>
      <c r="V68" s="436" t="e">
        <f>SUM(T59:T70)</f>
        <v>#VALUE!</v>
      </c>
      <c r="X68" s="581" t="s">
        <v>279</v>
      </c>
      <c r="Y68" s="429">
        <f>IFERROR(IF(OR(DATE($B$57,MONTH(DATEVALUE(X68&amp;"1")),1)&lt;DATE(YEAR(EXPEDIENTE!$I$25),MONTH(EXPEDIENTE!$I$25),1),DATE($B$57,MONTH(DATEVALUE(X68&amp;"1")),1)&gt;DATE(YEAR(EXPEDIENTE!$I$27),MONTH(EXPEDIENTE!$I$27)+1,1)-1),0,ROUND('% DEDICACIÓN TRABAJADOR'!P43,4)),0)</f>
        <v>0</v>
      </c>
      <c r="Z68" s="432">
        <f>'GASTOS EJER. 3'!AW29+'GASTOS EJER. 3'!BM29-'GASTOS EJER. 3'!CM29-'GASTOS EJER. 3'!CP29</f>
        <v>0</v>
      </c>
      <c r="AA68" s="189" t="str">
        <f>IF('GASTOS EJER. 3'!CT29="","",'GASTOS EJER. 3'!CT29)</f>
        <v/>
      </c>
      <c r="AB68" s="431">
        <f>IF(AA68&lt;=EXPEDIENTE!$I$29,Z68,0)</f>
        <v>0</v>
      </c>
      <c r="AC68" s="432">
        <f>'GASTOS EJER. 3'!CP29</f>
        <v>0</v>
      </c>
      <c r="AD68" s="189" t="str">
        <f>IF('GASTOS EJER. 3'!CW29="","",'GASTOS EJER. 3'!CW29)</f>
        <v/>
      </c>
      <c r="AE68" s="431">
        <f>IF(AD68&lt;=EXPEDIENTE!$I$29,AC68,0)</f>
        <v>0</v>
      </c>
      <c r="AF68" s="433">
        <f>AUXILIAR!DQ65</f>
        <v>0</v>
      </c>
      <c r="AG68" s="432">
        <f>AUXILIAR!HZ64</f>
        <v>0</v>
      </c>
      <c r="AH68" s="189" t="str">
        <f>IF('GASTOS EJER. 3'!BF61="","",'GASTOS EJER. 3'!BF61)</f>
        <v/>
      </c>
      <c r="AI68" s="431">
        <f>IF(AH68&lt;=EXPEDIENTE!$I$29,AG68,0)</f>
        <v>0</v>
      </c>
      <c r="AJ68" s="434">
        <f>IF($AS$66=0,0,IF(AND($AS$68&gt;$AS$66,$AS$64=1100%),MIN(AUXILIAR!$P$17,ROUND($AS$66/$AS$68*(AB68+AE68+AF68+AI68)*('IDENTIFICACIÓN TRABAJADOR'!$N$46+'IDENTIFICACIÓN TRABAJADOR'!$R$46)/('IDENTIFICACIÓN TRABAJADOR'!$E$39-'IDENTIFICACIÓN TRABAJADOR'!$N$46-'IDENTIFICACIÓN TRABAJADOR'!$R$46),2)),MIN(AUXILIAR!$P$17,ROUND((AB68+AE68+AF68+AI68)*('IDENTIFICACIÓN TRABAJADOR'!$N$46+'IDENTIFICACIÓN TRABAJADOR'!$R$46)/('IDENTIFICACIÓN TRABAJADOR'!$E$39-'IDENTIFICACIÓN TRABAJADOR'!$N$46-'IDENTIFICACIÓN TRABAJADOR'!$R$46),2))))</f>
        <v>0</v>
      </c>
      <c r="AK68" s="433">
        <f>IF($AS$66=0,0,IF(AND($AS$68&gt;$AS$66,$AS$64=1100%),MIN(AUXILIAR!$P$17,ROUND($AS$66/$AS$68*(AB68+AE68+AF68+AI68)*(1+('IDENTIFICACIÓN TRABAJADOR'!$N$46+'IDENTIFICACIÓN TRABAJADOR'!$R$46)/('IDENTIFICACIÓN TRABAJADOR'!$E$39-'IDENTIFICACIÓN TRABAJADOR'!$N$46-'IDENTIFICACIÓN TRABAJADOR'!$R$46)),2)),MIN(AUXILIAR!$P$17,ROUND((AB68+AE68+AF68+AI68)*(1+('IDENTIFICACIÓN TRABAJADOR'!$N$46+'IDENTIFICACIÓN TRABAJADOR'!$R$46)/('IDENTIFICACIÓN TRABAJADOR'!$E$39-'IDENTIFICACIÓN TRABAJADOR'!$N$46-'IDENTIFICACIÓN TRABAJADOR'!$R$46)),2))))</f>
        <v>0</v>
      </c>
      <c r="AL68" s="570">
        <f t="shared" si="7"/>
        <v>0</v>
      </c>
      <c r="AM68" s="573">
        <f t="shared" si="8"/>
        <v>0</v>
      </c>
      <c r="AN68" s="412"/>
      <c r="AQ68" s="427" t="e">
        <f>ROUND(Y68*(AB68+AE68+AF68+AI68)*(1+('IDENTIFICACIÓN TRABAJADOR'!$N$46+'IDENTIFICACIÓN TRABAJADOR'!$R$46)/('IDENTIFICACIÓN TRABAJADOR'!$E$39-'IDENTIFICACIÓN TRABAJADOR'!$N$46-'IDENTIFICACIÓN TRABAJADOR'!$R$46)),2)</f>
        <v>#VALUE!</v>
      </c>
      <c r="AR68" s="305"/>
      <c r="AS68" s="436" t="e">
        <f>SUM(AQ59:AQ70)</f>
        <v>#VALUE!</v>
      </c>
    </row>
    <row r="69" spans="2:45" ht="15" customHeight="1" x14ac:dyDescent="0.25">
      <c r="B69" s="428" t="s">
        <v>280</v>
      </c>
      <c r="C69" s="429">
        <f>IFERROR(IF(OR(DATE($B$57,MONTH(DATEVALUE(B69&amp;"1")),1)&lt;DATE(YEAR(EXPEDIENTE!$I$25),MONTH(EXPEDIENTE!$I$25),1),DATE($B$57,MONTH(DATEVALUE(B69&amp;"1")),1)&gt;DATE(YEAR(EXPEDIENTE!$I$27),MONTH(EXPEDIENTE!$I$27)+1,1)-1),0,ROUND('% DEDICACIÓN TRABAJADOR'!Q43,4)),0)</f>
        <v>0</v>
      </c>
      <c r="D69" s="432">
        <f>'GASTOS EJER. 3'!F30+'GASTOS EJER. 3'!L30-'GASTOS EJER. 3'!X30-'GASTOS EJER. 3'!Y30</f>
        <v>0</v>
      </c>
      <c r="E69" s="189" t="str">
        <f>IF('GASTOS EJER. 3'!AA30="","",'GASTOS EJER. 3'!AA30)</f>
        <v/>
      </c>
      <c r="F69" s="431">
        <f>IF(E69&lt;=EXPEDIENTE!$I$29,D69,0)</f>
        <v>0</v>
      </c>
      <c r="G69" s="432">
        <f>'GASTOS EJER. 3'!Y30</f>
        <v>0</v>
      </c>
      <c r="H69" s="189" t="str">
        <f>IF('GASTOS EJER. 3'!AB30="","",'GASTOS EJER. 3'!AB30)</f>
        <v/>
      </c>
      <c r="I69" s="431">
        <f>IF(H69&lt;=EXPEDIENTE!$I$29,G69,0)</f>
        <v>0</v>
      </c>
      <c r="J69" s="433">
        <f>AUXILIAR!BX66</f>
        <v>0</v>
      </c>
      <c r="K69" s="432">
        <f>AUXILIAR!FU65</f>
        <v>0</v>
      </c>
      <c r="L69" s="189" t="str">
        <f>IF('GASTOS EJER. 3'!I62="","",'GASTOS EJER. 3'!I62)</f>
        <v/>
      </c>
      <c r="M69" s="431">
        <f>IF(L69&lt;=EXPEDIENTE!$I$29,K69,0)</f>
        <v>0</v>
      </c>
      <c r="N69" s="434">
        <f>IF($V$66=0,0,IF(AND($V$68&gt;$V$66,$V$64=1100%),MIN(AUXILIAR!$P$17,ROUND($V$66/$V$68*(F69+I69+J69+M69)*('IDENTIFICACIÓN TRABAJADOR'!$N$46+'IDENTIFICACIÓN TRABAJADOR'!$R$46)/('IDENTIFICACIÓN TRABAJADOR'!$E$39-'IDENTIFICACIÓN TRABAJADOR'!$N$46-'IDENTIFICACIÓN TRABAJADOR'!$R$46),2)),MIN(AUXILIAR!$P$17,ROUND((F69+I69+J69+M69)*('IDENTIFICACIÓN TRABAJADOR'!$N$46+'IDENTIFICACIÓN TRABAJADOR'!$R$46)/('IDENTIFICACIÓN TRABAJADOR'!$E$39-'IDENTIFICACIÓN TRABAJADOR'!$N$46-'IDENTIFICACIÓN TRABAJADOR'!$R$46),2))))</f>
        <v>0</v>
      </c>
      <c r="O69" s="433">
        <f>IF($V$66=0,0,IF(AND($V$68&gt;$V$66,$V$64=1100%),MIN(AUXILIAR!$P$17,ROUND($V$66/$V$68*(F69+I69+J69+M69)*(1+('IDENTIFICACIÓN TRABAJADOR'!$N$46+'IDENTIFICACIÓN TRABAJADOR'!$R$46)/('IDENTIFICACIÓN TRABAJADOR'!$E$39-'IDENTIFICACIÓN TRABAJADOR'!$N$46-'IDENTIFICACIÓN TRABAJADOR'!$R$46)),2)),MIN(AUXILIAR!$P$17,ROUND((F69+I69+J69+M69)*(1+('IDENTIFICACIÓN TRABAJADOR'!$N$46+'IDENTIFICACIÓN TRABAJADOR'!$R$46)/('IDENTIFICACIÓN TRABAJADOR'!$E$39-'IDENTIFICACIÓN TRABAJADOR'!$N$46-'IDENTIFICACIÓN TRABAJADOR'!$R$46)),2))))</f>
        <v>0</v>
      </c>
      <c r="P69" s="434">
        <f t="shared" si="6"/>
        <v>0</v>
      </c>
      <c r="Q69" s="412"/>
      <c r="T69" s="427" t="e">
        <f>ROUND(C69*(F69+I69+J69+M69)*(1+('IDENTIFICACIÓN TRABAJADOR'!$N$46+'IDENTIFICACIÓN TRABAJADOR'!$R$46)/('IDENTIFICACIÓN TRABAJADOR'!$E$39-'IDENTIFICACIÓN TRABAJADOR'!$N$46-'IDENTIFICACIÓN TRABAJADOR'!$R$46)),2)</f>
        <v>#VALUE!</v>
      </c>
      <c r="U69" s="305"/>
      <c r="V69" s="84" t="s">
        <v>326</v>
      </c>
      <c r="X69" s="581" t="s">
        <v>280</v>
      </c>
      <c r="Y69" s="429">
        <f>IFERROR(IF(OR(DATE($B$57,MONTH(DATEVALUE(X69&amp;"1")),1)&lt;DATE(YEAR(EXPEDIENTE!$I$25),MONTH(EXPEDIENTE!$I$25),1),DATE($B$57,MONTH(DATEVALUE(X69&amp;"1")),1)&gt;DATE(YEAR(EXPEDIENTE!$I$27),MONTH(EXPEDIENTE!$I$27)+1,1)-1),0,ROUND('% DEDICACIÓN TRABAJADOR'!Q43,4)),0)</f>
        <v>0</v>
      </c>
      <c r="Z69" s="432">
        <f>'GASTOS EJER. 3'!AW30+'GASTOS EJER. 3'!BM30-'GASTOS EJER. 3'!CM30-'GASTOS EJER. 3'!CP30</f>
        <v>0</v>
      </c>
      <c r="AA69" s="189" t="str">
        <f>IF('GASTOS EJER. 3'!CT30="","",'GASTOS EJER. 3'!CT30)</f>
        <v/>
      </c>
      <c r="AB69" s="431">
        <f>IF(AA69&lt;=EXPEDIENTE!$I$29,Z69,0)</f>
        <v>0</v>
      </c>
      <c r="AC69" s="432">
        <f>'GASTOS EJER. 3'!CP30</f>
        <v>0</v>
      </c>
      <c r="AD69" s="189" t="str">
        <f>IF('GASTOS EJER. 3'!CW30="","",'GASTOS EJER. 3'!CW30)</f>
        <v/>
      </c>
      <c r="AE69" s="431">
        <f>IF(AD69&lt;=EXPEDIENTE!$I$29,AC69,0)</f>
        <v>0</v>
      </c>
      <c r="AF69" s="433">
        <f>AUXILIAR!DQ66</f>
        <v>0</v>
      </c>
      <c r="AG69" s="432">
        <f>AUXILIAR!HZ65</f>
        <v>0</v>
      </c>
      <c r="AH69" s="189" t="str">
        <f>IF('GASTOS EJER. 3'!BF62="","",'GASTOS EJER. 3'!BF62)</f>
        <v/>
      </c>
      <c r="AI69" s="431">
        <f>IF(AH69&lt;=EXPEDIENTE!$I$29,AG69,0)</f>
        <v>0</v>
      </c>
      <c r="AJ69" s="434">
        <f>IF($AS$66=0,0,IF(AND($AS$68&gt;$AS$66,$AS$64=1100%),MIN(AUXILIAR!$P$17,ROUND($AS$66/$AS$68*(AB69+AE69+AF69+AI69)*('IDENTIFICACIÓN TRABAJADOR'!$N$46+'IDENTIFICACIÓN TRABAJADOR'!$R$46)/('IDENTIFICACIÓN TRABAJADOR'!$E$39-'IDENTIFICACIÓN TRABAJADOR'!$N$46-'IDENTIFICACIÓN TRABAJADOR'!$R$46),2)),MIN(AUXILIAR!$P$17,ROUND((AB69+AE69+AF69+AI69)*('IDENTIFICACIÓN TRABAJADOR'!$N$46+'IDENTIFICACIÓN TRABAJADOR'!$R$46)/('IDENTIFICACIÓN TRABAJADOR'!$E$39-'IDENTIFICACIÓN TRABAJADOR'!$N$46-'IDENTIFICACIÓN TRABAJADOR'!$R$46),2))))</f>
        <v>0</v>
      </c>
      <c r="AK69" s="433">
        <f>IF($AS$66=0,0,IF(AND($AS$68&gt;$AS$66,$AS$64=1100%),MIN(AUXILIAR!$P$17,ROUND($AS$66/$AS$68*(AB69+AE69+AF69+AI69)*(1+('IDENTIFICACIÓN TRABAJADOR'!$N$46+'IDENTIFICACIÓN TRABAJADOR'!$R$46)/('IDENTIFICACIÓN TRABAJADOR'!$E$39-'IDENTIFICACIÓN TRABAJADOR'!$N$46-'IDENTIFICACIÓN TRABAJADOR'!$R$46)),2)),MIN(AUXILIAR!$P$17,ROUND((AB69+AE69+AF69+AI69)*(1+('IDENTIFICACIÓN TRABAJADOR'!$N$46+'IDENTIFICACIÓN TRABAJADOR'!$R$46)/('IDENTIFICACIÓN TRABAJADOR'!$E$39-'IDENTIFICACIÓN TRABAJADOR'!$N$46-'IDENTIFICACIÓN TRABAJADOR'!$R$46)),2))))</f>
        <v>0</v>
      </c>
      <c r="AL69" s="570">
        <f t="shared" si="7"/>
        <v>0</v>
      </c>
      <c r="AM69" s="573">
        <f t="shared" si="8"/>
        <v>0</v>
      </c>
      <c r="AN69" s="412"/>
      <c r="AQ69" s="427" t="e">
        <f>ROUND(Y69*(AB69+AE69+AF69+AI69)*(1+('IDENTIFICACIÓN TRABAJADOR'!$N$46+'IDENTIFICACIÓN TRABAJADOR'!$R$46)/('IDENTIFICACIÓN TRABAJADOR'!$E$39-'IDENTIFICACIÓN TRABAJADOR'!$N$46-'IDENTIFICACIÓN TRABAJADOR'!$R$46)),2)</f>
        <v>#VALUE!</v>
      </c>
      <c r="AR69" s="305"/>
      <c r="AS69" s="84" t="s">
        <v>326</v>
      </c>
    </row>
    <row r="70" spans="2:45" ht="15" customHeight="1" thickBot="1" x14ac:dyDescent="0.3">
      <c r="B70" s="437" t="s">
        <v>281</v>
      </c>
      <c r="C70" s="438">
        <f>IFERROR(IF(OR(DATE($B$57,MONTH(DATEVALUE(B70&amp;"1")),1)&lt;DATE(YEAR(EXPEDIENTE!$I$25),MONTH(EXPEDIENTE!$I$25),1),DATE($B$57,MONTH(DATEVALUE(B70&amp;"1")),1)&gt;DATE(YEAR(EXPEDIENTE!$I$27),MONTH(EXPEDIENTE!$I$27)+1,1)-1),0,ROUND('% DEDICACIÓN TRABAJADOR'!R43,4)),0)</f>
        <v>0</v>
      </c>
      <c r="D70" s="441">
        <f>'GASTOS EJER. 3'!F31+'GASTOS EJER. 3'!L31-'GASTOS EJER. 3'!X31-'GASTOS EJER. 3'!Y31</f>
        <v>0</v>
      </c>
      <c r="E70" s="237" t="str">
        <f>IF('GASTOS EJER. 3'!AA31="","",'GASTOS EJER. 3'!AA31)</f>
        <v/>
      </c>
      <c r="F70" s="440">
        <f>IF(E70&lt;=EXPEDIENTE!$I$29,D70,0)</f>
        <v>0</v>
      </c>
      <c r="G70" s="441">
        <f>'GASTOS EJER. 3'!Y31</f>
        <v>0</v>
      </c>
      <c r="H70" s="237" t="str">
        <f>IF('GASTOS EJER. 3'!AB31="","",'GASTOS EJER. 3'!AB31)</f>
        <v/>
      </c>
      <c r="I70" s="440">
        <f>IF(H70&lt;=EXPEDIENTE!$I$29,G70,0)</f>
        <v>0</v>
      </c>
      <c r="J70" s="442">
        <f>AUXILIAR!BX67</f>
        <v>0</v>
      </c>
      <c r="K70" s="441">
        <f>AUXILIAR!FU66</f>
        <v>0</v>
      </c>
      <c r="L70" s="237" t="str">
        <f>IF('GASTOS EJER. 3'!I63="","",'GASTOS EJER. 3'!I63)</f>
        <v/>
      </c>
      <c r="M70" s="440">
        <f>IF(L70&lt;=EXPEDIENTE!$I$29,K70,0)</f>
        <v>0</v>
      </c>
      <c r="N70" s="443">
        <f>IF($V$66=0,0,IF(AND($V$68&gt;$V$66,$V$64=1100%),MIN(AUXILIAR!$P$17,ROUND($V$66/$V$68*(F70+I70+J70+M70)*('IDENTIFICACIÓN TRABAJADOR'!$N$46+'IDENTIFICACIÓN TRABAJADOR'!$R$46)/('IDENTIFICACIÓN TRABAJADOR'!$E$39-'IDENTIFICACIÓN TRABAJADOR'!$N$46-'IDENTIFICACIÓN TRABAJADOR'!$R$46),2)),MIN(AUXILIAR!$P$17,ROUND((F70+I70+J70+M70)*('IDENTIFICACIÓN TRABAJADOR'!$N$46+'IDENTIFICACIÓN TRABAJADOR'!$R$46)/('IDENTIFICACIÓN TRABAJADOR'!$E$39-'IDENTIFICACIÓN TRABAJADOR'!$N$46-'IDENTIFICACIÓN TRABAJADOR'!$R$46),2))))</f>
        <v>0</v>
      </c>
      <c r="O70" s="442">
        <f>IF($V$66=0,0,IF(AND($V$68&gt;$V$66,$V$64=1100%),MIN(AUXILIAR!$P$17,ROUND($V$66/$V$68*(F70+I70+J70+M70)*(1+('IDENTIFICACIÓN TRABAJADOR'!$N$46+'IDENTIFICACIÓN TRABAJADOR'!$R$46)/('IDENTIFICACIÓN TRABAJADOR'!$E$39-'IDENTIFICACIÓN TRABAJADOR'!$N$46-'IDENTIFICACIÓN TRABAJADOR'!$R$46)),2)),MIN(AUXILIAR!$P$17,ROUND((F70+I70+J70+M70)*(1+('IDENTIFICACIÓN TRABAJADOR'!$N$46+'IDENTIFICACIÓN TRABAJADOR'!$R$46)/('IDENTIFICACIÓN TRABAJADOR'!$E$39-'IDENTIFICACIÓN TRABAJADOR'!$N$46-'IDENTIFICACIÓN TRABAJADOR'!$R$46)),2))))</f>
        <v>0</v>
      </c>
      <c r="P70" s="443">
        <f t="shared" si="6"/>
        <v>0</v>
      </c>
      <c r="Q70" s="412"/>
      <c r="T70" s="427" t="e">
        <f>ROUND(C70*(F70+I70+J70+M70)*(1+('IDENTIFICACIÓN TRABAJADOR'!$N$46+'IDENTIFICACIÓN TRABAJADOR'!$R$46)/('IDENTIFICACIÓN TRABAJADOR'!$E$39-'IDENTIFICACIÓN TRABAJADOR'!$N$46-'IDENTIFICACIÓN TRABAJADOR'!$R$46)),2)</f>
        <v>#VALUE!</v>
      </c>
      <c r="U70" s="305"/>
      <c r="V70" s="84" t="e">
        <f>IF(V68=0,"",V66/V68)</f>
        <v>#VALUE!</v>
      </c>
      <c r="X70" s="582" t="s">
        <v>281</v>
      </c>
      <c r="Y70" s="438">
        <f>IFERROR(IF(OR(DATE($B$57,MONTH(DATEVALUE(X70&amp;"1")),1)&lt;DATE(YEAR(EXPEDIENTE!$I$25),MONTH(EXPEDIENTE!$I$25),1),DATE($B$57,MONTH(DATEVALUE(X70&amp;"1")),1)&gt;DATE(YEAR(EXPEDIENTE!$I$27),MONTH(EXPEDIENTE!$I$27)+1,1)-1),0,ROUND('% DEDICACIÓN TRABAJADOR'!R43,4)),0)</f>
        <v>0</v>
      </c>
      <c r="Z70" s="441">
        <f>'GASTOS EJER. 3'!AW31+'GASTOS EJER. 3'!BM31-'GASTOS EJER. 3'!CM31-'GASTOS EJER. 3'!CP31</f>
        <v>0</v>
      </c>
      <c r="AA70" s="237" t="str">
        <f>IF('GASTOS EJER. 3'!CT31="","",'GASTOS EJER. 3'!CT31)</f>
        <v/>
      </c>
      <c r="AB70" s="440">
        <f>IF(AA70&lt;=EXPEDIENTE!$I$29,Z70,0)</f>
        <v>0</v>
      </c>
      <c r="AC70" s="441">
        <f>'GASTOS EJER. 3'!CP31</f>
        <v>0</v>
      </c>
      <c r="AD70" s="237" t="str">
        <f>IF('GASTOS EJER. 3'!CW31="","",'GASTOS EJER. 3'!CW31)</f>
        <v/>
      </c>
      <c r="AE70" s="440">
        <f>IF(AD70&lt;=EXPEDIENTE!$I$29,AC70,0)</f>
        <v>0</v>
      </c>
      <c r="AF70" s="442">
        <f>AUXILIAR!DQ67</f>
        <v>0</v>
      </c>
      <c r="AG70" s="441">
        <f>AUXILIAR!HZ66</f>
        <v>0</v>
      </c>
      <c r="AH70" s="237" t="str">
        <f>IF('GASTOS EJER. 3'!BF63="","",'GASTOS EJER. 3'!BF63)</f>
        <v/>
      </c>
      <c r="AI70" s="440">
        <f>IF(AH70&lt;=EXPEDIENTE!$I$29,AG70,0)</f>
        <v>0</v>
      </c>
      <c r="AJ70" s="443">
        <f>IF($AS$66=0,0,IF(AND($AS$68&gt;$AS$66,$AS$64=1100%),MIN(AUXILIAR!$P$17,ROUND($AS$66/$AS$68*(AB70+AE70+AF70+AI70)*('IDENTIFICACIÓN TRABAJADOR'!$N$46+'IDENTIFICACIÓN TRABAJADOR'!$R$46)/('IDENTIFICACIÓN TRABAJADOR'!$E$39-'IDENTIFICACIÓN TRABAJADOR'!$N$46-'IDENTIFICACIÓN TRABAJADOR'!$R$46),2)),MIN(AUXILIAR!$P$17,ROUND((AB70+AE70+AF70+AI70)*('IDENTIFICACIÓN TRABAJADOR'!$N$46+'IDENTIFICACIÓN TRABAJADOR'!$R$46)/('IDENTIFICACIÓN TRABAJADOR'!$E$39-'IDENTIFICACIÓN TRABAJADOR'!$N$46-'IDENTIFICACIÓN TRABAJADOR'!$R$46),2))))</f>
        <v>0</v>
      </c>
      <c r="AK70" s="442">
        <f>IF($AS$66=0,0,IF(AND($AS$68&gt;$AS$66,$AS$64=1100%),MIN(AUXILIAR!$P$17,ROUND($AS$66/$AS$68*(AB70+AE70+AF70+AI70)*(1+('IDENTIFICACIÓN TRABAJADOR'!$N$46+'IDENTIFICACIÓN TRABAJADOR'!$R$46)/('IDENTIFICACIÓN TRABAJADOR'!$E$39-'IDENTIFICACIÓN TRABAJADOR'!$N$46-'IDENTIFICACIÓN TRABAJADOR'!$R$46)),2)),MIN(AUXILIAR!$P$17,ROUND((AB70+AE70+AF70+AI70)*(1+('IDENTIFICACIÓN TRABAJADOR'!$N$46+'IDENTIFICACIÓN TRABAJADOR'!$R$46)/('IDENTIFICACIÓN TRABAJADOR'!$E$39-'IDENTIFICACIÓN TRABAJADOR'!$N$46-'IDENTIFICACIÓN TRABAJADOR'!$R$46)),2))))</f>
        <v>0</v>
      </c>
      <c r="AL70" s="571">
        <f t="shared" si="7"/>
        <v>0</v>
      </c>
      <c r="AM70" s="574">
        <f t="shared" si="8"/>
        <v>0</v>
      </c>
      <c r="AN70" s="412"/>
      <c r="AQ70" s="427" t="e">
        <f>ROUND(Y70*(AB70+AE70+AF70+AI70)*(1+('IDENTIFICACIÓN TRABAJADOR'!$N$46+'IDENTIFICACIÓN TRABAJADOR'!$R$46)/('IDENTIFICACIÓN TRABAJADOR'!$E$39-'IDENTIFICACIÓN TRABAJADOR'!$N$46-'IDENTIFICACIÓN TRABAJADOR'!$R$46)),2)</f>
        <v>#VALUE!</v>
      </c>
      <c r="AR70" s="305"/>
      <c r="AS70" s="84" t="e">
        <f>IF(AS68=0,"",AS66/AS68)</f>
        <v>#VALUE!</v>
      </c>
    </row>
    <row r="71" spans="2:45" ht="15.75" thickBot="1" x14ac:dyDescent="0.3">
      <c r="M71" s="444"/>
      <c r="N71" s="444"/>
      <c r="O71" s="444"/>
      <c r="P71" s="444"/>
      <c r="Q71" s="412"/>
      <c r="U71" s="412"/>
      <c r="V71" s="84" t="s">
        <v>327</v>
      </c>
      <c r="AI71" s="444"/>
      <c r="AJ71" s="444"/>
      <c r="AK71" s="444"/>
      <c r="AL71" s="444"/>
      <c r="AM71" s="444"/>
      <c r="AN71" s="412"/>
      <c r="AR71" s="412"/>
      <c r="AS71" s="84" t="s">
        <v>327</v>
      </c>
    </row>
    <row r="72" spans="2:45" ht="20.100000000000001" customHeight="1" thickBot="1" x14ac:dyDescent="0.3">
      <c r="G72" s="445"/>
      <c r="M72" s="446"/>
      <c r="N72" s="447"/>
      <c r="O72" s="448" t="str">
        <f>CONCATENATE("TOTAL EJERCICIO ",B57)</f>
        <v>TOTAL EJERCICIO 2027</v>
      </c>
      <c r="P72" s="449">
        <f>SUM(P59:P70)</f>
        <v>0</v>
      </c>
      <c r="R72" s="82" t="str">
        <f>IF(V72&gt;0,"EXISTE ALGÚN % DE DEDICACIÓN SUPERIOR AL 100% EN ESTE EJERCICIO","")</f>
        <v/>
      </c>
      <c r="U72" s="412"/>
      <c r="V72" s="84">
        <f>'% DEDICACIÓN TRABAJADOR'!$B$43</f>
        <v>0</v>
      </c>
      <c r="AC72" s="445"/>
      <c r="AI72" s="446"/>
      <c r="AJ72" s="447"/>
      <c r="AK72" s="448" t="str">
        <f>CONCATENATE("TOTAL EJERCICIO ",X57)</f>
        <v>TOTAL EJERCICIO 2027</v>
      </c>
      <c r="AL72" s="576">
        <f>SUM(AL59:AL70)</f>
        <v>0</v>
      </c>
      <c r="AM72" s="577">
        <f>SUM(AM59:AM70)</f>
        <v>0</v>
      </c>
      <c r="AO72" s="82" t="str">
        <f>IF(AS72&gt;0,"EXISTE ALGÚN % DE DEDICACIÓN SUPERIOR AL 100% EN ESTE EJERCICIO","")</f>
        <v/>
      </c>
      <c r="AR72" s="412"/>
      <c r="AS72" s="84">
        <f>'% DEDICACIÓN TRABAJADOR'!$B$43</f>
        <v>0</v>
      </c>
    </row>
    <row r="73" spans="2:45" ht="15" customHeight="1" x14ac:dyDescent="0.25">
      <c r="U73" s="412"/>
      <c r="V73" s="412"/>
      <c r="AR73" s="412"/>
      <c r="AS73" s="412"/>
    </row>
    <row r="74" spans="2:45" ht="15" customHeight="1" x14ac:dyDescent="0.25">
      <c r="U74" s="412"/>
      <c r="V74" s="412"/>
      <c r="AR74" s="412"/>
      <c r="AS74" s="412"/>
    </row>
    <row r="75" spans="2:45" ht="15" customHeight="1" x14ac:dyDescent="0.25">
      <c r="U75" s="412"/>
      <c r="V75" s="412"/>
      <c r="AR75" s="412"/>
      <c r="AS75" s="412"/>
    </row>
    <row r="76" spans="2:45" ht="15" customHeight="1" x14ac:dyDescent="0.25">
      <c r="E76" s="290"/>
      <c r="F76" s="291"/>
      <c r="U76" s="412"/>
      <c r="V76" s="412"/>
      <c r="AA76" s="290"/>
      <c r="AB76" s="291"/>
      <c r="AR76" s="412"/>
      <c r="AS76" s="412"/>
    </row>
    <row r="77" spans="2:45" ht="15" customHeight="1" x14ac:dyDescent="0.25">
      <c r="D77" s="552" t="str">
        <f>D5</f>
        <v/>
      </c>
      <c r="E77" s="413"/>
      <c r="F77" s="84"/>
      <c r="U77" s="412"/>
      <c r="V77" s="412"/>
      <c r="Z77" s="552" t="str">
        <f>Z5</f>
        <v/>
      </c>
      <c r="AA77" s="413"/>
      <c r="AB77" s="84"/>
      <c r="AR77" s="412"/>
      <c r="AS77" s="412"/>
    </row>
    <row r="78" spans="2:45" ht="15" customHeight="1" x14ac:dyDescent="0.25">
      <c r="E78" s="293"/>
      <c r="F78" s="84"/>
      <c r="U78" s="412"/>
      <c r="V78" s="412"/>
      <c r="AA78" s="293"/>
      <c r="AB78" s="84"/>
      <c r="AR78" s="412"/>
      <c r="AS78" s="412"/>
    </row>
    <row r="79" spans="2:45" ht="15" customHeight="1" x14ac:dyDescent="0.25">
      <c r="D79" s="126" t="str">
        <f>D31</f>
        <v>TRABAJADOR:</v>
      </c>
      <c r="E79" s="293"/>
      <c r="F79" s="84"/>
      <c r="T79" s="1069" t="s">
        <v>304</v>
      </c>
      <c r="U79" s="412"/>
      <c r="V79" s="412"/>
      <c r="Z79" s="126" t="str">
        <f>Z31</f>
        <v>TRABAJADOR:</v>
      </c>
      <c r="AA79" s="293"/>
      <c r="AB79" s="84"/>
      <c r="AQ79" s="1069" t="s">
        <v>304</v>
      </c>
      <c r="AR79" s="412"/>
      <c r="AS79" s="412"/>
    </row>
    <row r="80" spans="2:45" ht="15" customHeight="1" thickBot="1" x14ac:dyDescent="0.3">
      <c r="D80" s="294"/>
      <c r="E80" s="293"/>
      <c r="F80" s="84"/>
      <c r="T80" s="1069"/>
      <c r="U80" s="412"/>
      <c r="V80" s="412"/>
      <c r="Z80" s="294"/>
      <c r="AA80" s="293"/>
      <c r="AB80" s="84"/>
      <c r="AQ80" s="1069"/>
      <c r="AR80" s="412"/>
      <c r="AS80" s="412"/>
    </row>
    <row r="81" spans="2:45" s="131" customFormat="1" ht="30" customHeight="1" x14ac:dyDescent="0.25">
      <c r="B81" s="1070">
        <f>$B$9+3</f>
        <v>2028</v>
      </c>
      <c r="C81" s="1052" t="str">
        <f>CONCATENATE("PORCENTAJE
DEDICACIÓN
MENSUAL EJERCICIO ",B81)</f>
        <v>PORCENTAJE
DEDICACIÓN
MENSUAL EJERCICIO 2028</v>
      </c>
      <c r="D81" s="1056" t="s">
        <v>305</v>
      </c>
      <c r="E81" s="1057"/>
      <c r="F81" s="1058"/>
      <c r="G81" s="1072" t="s">
        <v>306</v>
      </c>
      <c r="H81" s="1073"/>
      <c r="I81" s="1074"/>
      <c r="J81" s="414" t="s">
        <v>307</v>
      </c>
      <c r="K81" s="1056" t="s">
        <v>308</v>
      </c>
      <c r="L81" s="1057"/>
      <c r="M81" s="1058"/>
      <c r="N81" s="1075" t="s">
        <v>309</v>
      </c>
      <c r="O81" s="1052" t="s">
        <v>310</v>
      </c>
      <c r="P81" s="1054" t="s">
        <v>311</v>
      </c>
      <c r="S81" s="82"/>
      <c r="T81" s="1069"/>
      <c r="X81" s="1065">
        <f>$B$9+3</f>
        <v>2028</v>
      </c>
      <c r="Y81" s="1067" t="str">
        <f>CONCATENATE("PORCENTAJE
DEDICACIÓN
MENSUAL EJERCICIO ",X81)</f>
        <v>PORCENTAJE
DEDICACIÓN
MENSUAL EJERCICIO 2028</v>
      </c>
      <c r="Z81" s="1062" t="s">
        <v>305</v>
      </c>
      <c r="AA81" s="1063"/>
      <c r="AB81" s="1064"/>
      <c r="AC81" s="1059" t="s">
        <v>306</v>
      </c>
      <c r="AD81" s="1060"/>
      <c r="AE81" s="1061"/>
      <c r="AF81" s="563" t="s">
        <v>307</v>
      </c>
      <c r="AG81" s="1062" t="s">
        <v>308</v>
      </c>
      <c r="AH81" s="1063"/>
      <c r="AI81" s="1064"/>
      <c r="AJ81" s="1048" t="s">
        <v>309</v>
      </c>
      <c r="AK81" s="1067" t="s">
        <v>312</v>
      </c>
      <c r="AL81" s="1077" t="s">
        <v>313</v>
      </c>
      <c r="AM81" s="1054" t="s">
        <v>314</v>
      </c>
      <c r="AP81" s="82"/>
      <c r="AQ81" s="1069"/>
    </row>
    <row r="82" spans="2:45" s="412" customFormat="1" ht="65.099999999999994" customHeight="1" thickBot="1" x14ac:dyDescent="0.3">
      <c r="B82" s="1071"/>
      <c r="C82" s="1053"/>
      <c r="D82" s="415" t="s">
        <v>315</v>
      </c>
      <c r="E82" s="374" t="s">
        <v>200</v>
      </c>
      <c r="F82" s="416" t="s">
        <v>316</v>
      </c>
      <c r="G82" s="417" t="s">
        <v>317</v>
      </c>
      <c r="H82" s="374" t="s">
        <v>318</v>
      </c>
      <c r="I82" s="418" t="s">
        <v>319</v>
      </c>
      <c r="J82" s="419" t="s">
        <v>320</v>
      </c>
      <c r="K82" s="417" t="s">
        <v>321</v>
      </c>
      <c r="L82" s="374" t="s">
        <v>295</v>
      </c>
      <c r="M82" s="418" t="s">
        <v>322</v>
      </c>
      <c r="N82" s="1076"/>
      <c r="O82" s="1053"/>
      <c r="P82" s="1055"/>
      <c r="S82" s="82"/>
      <c r="T82" s="85" t="e">
        <f>(1+('IDENTIFICACIÓN TRABAJADOR'!$T$46+'IDENTIFICACIÓN TRABAJADOR'!$X$46)/('IDENTIFICACIÓN TRABAJADOR'!$E$43-'IDENTIFICACIÓN TRABAJADOR'!$T$46-'IDENTIFICACIÓN TRABAJADOR'!$X$46))</f>
        <v>#VALUE!</v>
      </c>
      <c r="X82" s="1066"/>
      <c r="Y82" s="1068"/>
      <c r="Z82" s="564" t="s">
        <v>315</v>
      </c>
      <c r="AA82" s="555" t="s">
        <v>200</v>
      </c>
      <c r="AB82" s="565" t="s">
        <v>316</v>
      </c>
      <c r="AC82" s="566" t="s">
        <v>317</v>
      </c>
      <c r="AD82" s="555" t="s">
        <v>318</v>
      </c>
      <c r="AE82" s="567" t="s">
        <v>319</v>
      </c>
      <c r="AF82" s="568" t="s">
        <v>320</v>
      </c>
      <c r="AG82" s="566" t="s">
        <v>321</v>
      </c>
      <c r="AH82" s="555" t="s">
        <v>295</v>
      </c>
      <c r="AI82" s="567" t="s">
        <v>322</v>
      </c>
      <c r="AJ82" s="1049"/>
      <c r="AK82" s="1068"/>
      <c r="AL82" s="1078"/>
      <c r="AM82" s="1055"/>
      <c r="AP82" s="82"/>
      <c r="AQ82" s="85" t="e">
        <f>(1+('IDENTIFICACIÓN TRABAJADOR'!$T$46+'IDENTIFICACIÓN TRABAJADOR'!$X$46)/('IDENTIFICACIÓN TRABAJADOR'!$E$43-'IDENTIFICACIÓN TRABAJADOR'!$T$46-'IDENTIFICACIÓN TRABAJADOR'!$X$46))</f>
        <v>#VALUE!</v>
      </c>
    </row>
    <row r="83" spans="2:45" ht="15" customHeight="1" x14ac:dyDescent="0.25">
      <c r="B83" s="420" t="s">
        <v>270</v>
      </c>
      <c r="C83" s="421">
        <f>IFERROR(IF(OR(DATE($B$81,MONTH(DATEVALUE(B83&amp;"1")),1)&lt;DATE(YEAR(EXPEDIENTE!$I$25),MONTH(EXPEDIENTE!$I$25),1),DATE($B$81,MONTH(DATEVALUE(B83&amp;"1")),1)&gt;DATE(YEAR(EXPEDIENTE!$I$27),MONTH(EXPEDIENTE!$I$27)+1,1)-1),0,ROUND('% DEDICACIÓN TRABAJADOR'!G45,4)),0)</f>
        <v>0</v>
      </c>
      <c r="D83" s="424">
        <f>'GASTOS EJER. 4'!F20+'GASTOS EJER. 4'!L20-'GASTOS EJER. 4'!X20-'GASTOS EJER. 4'!Y20</f>
        <v>0</v>
      </c>
      <c r="E83" s="259" t="str">
        <f>IF('GASTOS EJER. 4'!AA20="","",'GASTOS EJER. 4'!AA20)</f>
        <v/>
      </c>
      <c r="F83" s="423">
        <f>IF(E83&lt;=EXPEDIENTE!$I$29,D83,0)</f>
        <v>0</v>
      </c>
      <c r="G83" s="424">
        <f>'GASTOS EJER. 4'!Y20</f>
        <v>0</v>
      </c>
      <c r="H83" s="259" t="str">
        <f>IF('GASTOS EJER. 4'!AB20="","",'GASTOS EJER. 4'!AB20)</f>
        <v/>
      </c>
      <c r="I83" s="423">
        <f>IF(H83&lt;=EXPEDIENTE!$I$29,G83,0)</f>
        <v>0</v>
      </c>
      <c r="J83" s="425">
        <f>AUXILIAR!BX72</f>
        <v>0</v>
      </c>
      <c r="K83" s="424">
        <f>AUXILIAR!FU71</f>
        <v>0</v>
      </c>
      <c r="L83" s="259" t="str">
        <f>IF('GASTOS EJER. 4'!I52="","",'GASTOS EJER. 4'!I52)</f>
        <v/>
      </c>
      <c r="M83" s="423">
        <f>IF(L83&lt;=EXPEDIENTE!$I$29,K83,0)</f>
        <v>0</v>
      </c>
      <c r="N83" s="426">
        <f>IF($V$90=0,0,IF(AND($V$92&gt;$V$90,$V$88=1100%),MIN(AUXILIAR!$P$17,ROUND($V$90/$V$92*(F83+I83+J83+M83)*('IDENTIFICACIÓN TRABAJADOR'!$T$46+'IDENTIFICACIÓN TRABAJADOR'!$X$46)/('IDENTIFICACIÓN TRABAJADOR'!$E$43-'IDENTIFICACIÓN TRABAJADOR'!$T$46-'IDENTIFICACIÓN TRABAJADOR'!$X$46),2)),MIN(AUXILIAR!$P$17,ROUND((F83+I83+J83+M83)*('IDENTIFICACIÓN TRABAJADOR'!$T$46+'IDENTIFICACIÓN TRABAJADOR'!$X$46)/('IDENTIFICACIÓN TRABAJADOR'!$E$43-'IDENTIFICACIÓN TRABAJADOR'!$T$46-'IDENTIFICACIÓN TRABAJADOR'!$X$46),2))))</f>
        <v>0</v>
      </c>
      <c r="O83" s="425">
        <f>IF($V$90=0,0,IF(AND($V$92&gt;$V$90,$V$88=1100%),MIN(AUXILIAR!$P$17,ROUND($V$90/$V$92*(F83+I83+J83+M83)*(1+('IDENTIFICACIÓN TRABAJADOR'!$T$46+'IDENTIFICACIÓN TRABAJADOR'!$X$46)/('IDENTIFICACIÓN TRABAJADOR'!$E$43-'IDENTIFICACIÓN TRABAJADOR'!$T$46-'IDENTIFICACIÓN TRABAJADOR'!$X$46)),2)),MIN(AUXILIAR!$P$17,ROUND((F83+I83+J83+M83)*(1+('IDENTIFICACIÓN TRABAJADOR'!$T$46+'IDENTIFICACIÓN TRABAJADOR'!$X$46)/('IDENTIFICACIÓN TRABAJADOR'!$E$43-'IDENTIFICACIÓN TRABAJADOR'!$T$46-'IDENTIFICACIÓN TRABAJADOR'!$X$46)),2))))</f>
        <v>0</v>
      </c>
      <c r="P83" s="426">
        <f t="shared" ref="P83:P94" si="9">IF($V$96&gt;0,0,ROUND(C83*O83,2))</f>
        <v>0</v>
      </c>
      <c r="T83" s="427" t="e">
        <f>ROUND(C83*(F83+I83+J83+M83)*(1+('IDENTIFICACIÓN TRABAJADOR'!$T$46+'IDENTIFICACIÓN TRABAJADOR'!$X$46)/('IDENTIFICACIÓN TRABAJADOR'!$E$43-'IDENTIFICACIÓN TRABAJADOR'!$T$46-'IDENTIFICACIÓN TRABAJADOR'!$X$46)),2)</f>
        <v>#VALUE!</v>
      </c>
      <c r="U83" s="412"/>
      <c r="V83" s="412"/>
      <c r="X83" s="580" t="s">
        <v>270</v>
      </c>
      <c r="Y83" s="421">
        <f>IFERROR(IF(OR(DATE($B$81,MONTH(DATEVALUE(X83&amp;"1")),1)&lt;DATE(YEAR(EXPEDIENTE!$I$25),MONTH(EXPEDIENTE!$I$25),1),DATE($B$81,MONTH(DATEVALUE(X83&amp;"1")),1)&gt;DATE(YEAR(EXPEDIENTE!$I$27),MONTH(EXPEDIENTE!$I$27)+1,1)-1),0,ROUND('% DEDICACIÓN TRABAJADOR'!G45,4)),0)</f>
        <v>0</v>
      </c>
      <c r="Z83" s="424">
        <f>'GASTOS EJER. 4'!AW20+'GASTOS EJER. 4'!BM20-'GASTOS EJER. 4'!CM20-'GASTOS EJER. 4'!CP20</f>
        <v>0</v>
      </c>
      <c r="AA83" s="259" t="str">
        <f>IF('GASTOS EJER. 4'!CT20="","",'GASTOS EJER. 4'!CT20)</f>
        <v/>
      </c>
      <c r="AB83" s="423">
        <f>IF(AA83&lt;=EXPEDIENTE!$I$29,Z83,0)</f>
        <v>0</v>
      </c>
      <c r="AC83" s="424">
        <f>'GASTOS EJER. 4'!CP20</f>
        <v>0</v>
      </c>
      <c r="AD83" s="259" t="str">
        <f>IF('GASTOS EJER. 4'!CW20="","",'GASTOS EJER. 4'!CW20)</f>
        <v/>
      </c>
      <c r="AE83" s="423">
        <f>IF(AD83&lt;=EXPEDIENTE!$I$29,AC83,0)</f>
        <v>0</v>
      </c>
      <c r="AF83" s="425">
        <f>AUXILIAR!DQ72</f>
        <v>0</v>
      </c>
      <c r="AG83" s="424">
        <f>AUXILIAR!HZ71</f>
        <v>0</v>
      </c>
      <c r="AH83" s="259" t="str">
        <f>IF('GASTOS EJER. 4'!BF52="","",'GASTOS EJER. 4'!BF52)</f>
        <v/>
      </c>
      <c r="AI83" s="423">
        <f>IF(AH83&lt;=EXPEDIENTE!$I$29,AG83,0)</f>
        <v>0</v>
      </c>
      <c r="AJ83" s="426">
        <f>IF($AS$90=0,0,IF(AND($AS$92&gt;$AS$90,$AS$88=1100%),MIN(AUXILIAR!$P$17,ROUND($AS$90/$AS$92*(AB83+AE83+AF83+AI83)*('IDENTIFICACIÓN TRABAJADOR'!$T$46+'IDENTIFICACIÓN TRABAJADOR'!$X$46)/('IDENTIFICACIÓN TRABAJADOR'!$E$43-'IDENTIFICACIÓN TRABAJADOR'!$T$46-'IDENTIFICACIÓN TRABAJADOR'!$X$46),2)),MIN(AUXILIAR!$P$17,ROUND((AB83+AE83+AF83+AI83)*('IDENTIFICACIÓN TRABAJADOR'!$T$46+'IDENTIFICACIÓN TRABAJADOR'!$X$46)/('IDENTIFICACIÓN TRABAJADOR'!$E$43-'IDENTIFICACIÓN TRABAJADOR'!$T$46-'IDENTIFICACIÓN TRABAJADOR'!$X$46),2))))</f>
        <v>0</v>
      </c>
      <c r="AK83" s="425">
        <f>IF($AS$90=0,0,IF(AND($AS$92&gt;$AS$90,$AS$88=1100%),MIN(AUXILIAR!$P$17,ROUND($AS$90/$AS$92*(AB83+AE83+AF83+AI83)*(1+('IDENTIFICACIÓN TRABAJADOR'!$T$46+'IDENTIFICACIÓN TRABAJADOR'!$X$46)/('IDENTIFICACIÓN TRABAJADOR'!$E$43-'IDENTIFICACIÓN TRABAJADOR'!$T$46-'IDENTIFICACIÓN TRABAJADOR'!$X$46)),2)),MIN(AUXILIAR!$P$17,ROUND((AB83+AE83+AF83+AI83)*(1+('IDENTIFICACIÓN TRABAJADOR'!$T$46+'IDENTIFICACIÓN TRABAJADOR'!$X$46)/('IDENTIFICACIÓN TRABAJADOR'!$E$43-'IDENTIFICACIÓN TRABAJADOR'!$T$46-'IDENTIFICACIÓN TRABAJADOR'!$X$46)),2))))</f>
        <v>0</v>
      </c>
      <c r="AL83" s="569">
        <f>IF($AS$96&gt;0,0,ROUND(Y83*AK83,2))</f>
        <v>0</v>
      </c>
      <c r="AM83" s="572">
        <f>P83</f>
        <v>0</v>
      </c>
      <c r="AQ83" s="427" t="e">
        <f>ROUND(Y83*(AB83+AE83+AF83+AI83)*(1+('IDENTIFICACIÓN TRABAJADOR'!$T$46+'IDENTIFICACIÓN TRABAJADOR'!$X$46)/('IDENTIFICACIÓN TRABAJADOR'!$E$43-'IDENTIFICACIÓN TRABAJADOR'!$T$46-'IDENTIFICACIÓN TRABAJADOR'!$X$46)),2)</f>
        <v>#VALUE!</v>
      </c>
      <c r="AR83" s="412"/>
      <c r="AS83" s="412"/>
    </row>
    <row r="84" spans="2:45" ht="15" customHeight="1" x14ac:dyDescent="0.25">
      <c r="B84" s="428" t="s">
        <v>271</v>
      </c>
      <c r="C84" s="429">
        <f>IFERROR(IF(OR(DATE($B$81,MONTH(DATEVALUE(B84&amp;"1")),1)&lt;DATE(YEAR(EXPEDIENTE!$I$25),MONTH(EXPEDIENTE!$I$25),1),DATE($B$81,MONTH(DATEVALUE(B84&amp;"1")),1)&gt;DATE(YEAR(EXPEDIENTE!$I$27),MONTH(EXPEDIENTE!$I$27)+1,1)-1),0,ROUND('% DEDICACIÓN TRABAJADOR'!H45,4)),0)</f>
        <v>0</v>
      </c>
      <c r="D84" s="432">
        <f>'GASTOS EJER. 4'!F21+'GASTOS EJER. 4'!L21-'GASTOS EJER. 4'!X21-'GASTOS EJER. 4'!Y21</f>
        <v>0</v>
      </c>
      <c r="E84" s="189" t="str">
        <f>IF('GASTOS EJER. 4'!AA21="","",'GASTOS EJER. 4'!AA21)</f>
        <v/>
      </c>
      <c r="F84" s="431">
        <f>IF(E84&lt;=EXPEDIENTE!$I$29,D84,0)</f>
        <v>0</v>
      </c>
      <c r="G84" s="432">
        <f>'GASTOS EJER. 4'!Y21</f>
        <v>0</v>
      </c>
      <c r="H84" s="189" t="str">
        <f>IF('GASTOS EJER. 4'!AB21="","",'GASTOS EJER. 4'!AB21)</f>
        <v/>
      </c>
      <c r="I84" s="431">
        <f>IF(H84&lt;=EXPEDIENTE!$I$29,G84,0)</f>
        <v>0</v>
      </c>
      <c r="J84" s="433">
        <f>AUXILIAR!BX73</f>
        <v>0</v>
      </c>
      <c r="K84" s="432">
        <f>AUXILIAR!FU72</f>
        <v>0</v>
      </c>
      <c r="L84" s="189" t="str">
        <f>IF('GASTOS EJER. 4'!I53="","",'GASTOS EJER. 4'!I53)</f>
        <v/>
      </c>
      <c r="M84" s="431">
        <f>IF(L84&lt;=EXPEDIENTE!$I$29,K84,0)</f>
        <v>0</v>
      </c>
      <c r="N84" s="434">
        <f>IF($V$90=0,0,IF(AND($V$92&gt;$V$90,$V$88=1100%),MIN(AUXILIAR!$P$17,ROUND($V$90/$V$92*(F84+I84+J84+M84)*('IDENTIFICACIÓN TRABAJADOR'!$T$46+'IDENTIFICACIÓN TRABAJADOR'!$X$46)/('IDENTIFICACIÓN TRABAJADOR'!$E$43-'IDENTIFICACIÓN TRABAJADOR'!$T$46-'IDENTIFICACIÓN TRABAJADOR'!$X$46),2)),MIN(AUXILIAR!$P$17,ROUND((F84+I84+J84+M84)*('IDENTIFICACIÓN TRABAJADOR'!$T$46+'IDENTIFICACIÓN TRABAJADOR'!$X$46)/('IDENTIFICACIÓN TRABAJADOR'!$E$43-'IDENTIFICACIÓN TRABAJADOR'!$T$46-'IDENTIFICACIÓN TRABAJADOR'!$X$46),2))))</f>
        <v>0</v>
      </c>
      <c r="O84" s="433">
        <f>IF($V$90=0,0,IF(AND($V$92&gt;$V$90,$V$88=1100%),MIN(AUXILIAR!$P$17,ROUND($V$90/$V$92*(F84+I84+J84+M84)*(1+('IDENTIFICACIÓN TRABAJADOR'!$T$46+'IDENTIFICACIÓN TRABAJADOR'!$X$46)/('IDENTIFICACIÓN TRABAJADOR'!$E$43-'IDENTIFICACIÓN TRABAJADOR'!$T$46-'IDENTIFICACIÓN TRABAJADOR'!$X$46)),2)),MIN(AUXILIAR!$P$17,ROUND((F84+I84+J84+M84)*(1+('IDENTIFICACIÓN TRABAJADOR'!$T$46+'IDENTIFICACIÓN TRABAJADOR'!$X$46)/('IDENTIFICACIÓN TRABAJADOR'!$E$43-'IDENTIFICACIÓN TRABAJADOR'!$T$46-'IDENTIFICACIÓN TRABAJADOR'!$X$46)),2))))</f>
        <v>0</v>
      </c>
      <c r="P84" s="434">
        <f t="shared" si="9"/>
        <v>0</v>
      </c>
      <c r="T84" s="427" t="e">
        <f>ROUND(C84*(F84+I84+J84+M84)*(1+('IDENTIFICACIÓN TRABAJADOR'!$T$46+'IDENTIFICACIÓN TRABAJADOR'!$X$46)/('IDENTIFICACIÓN TRABAJADOR'!$E$43-'IDENTIFICACIÓN TRABAJADOR'!$T$46-'IDENTIFICACIÓN TRABAJADOR'!$X$46)),2)</f>
        <v>#VALUE!</v>
      </c>
      <c r="U84" s="412"/>
      <c r="V84" s="412"/>
      <c r="X84" s="581" t="s">
        <v>271</v>
      </c>
      <c r="Y84" s="429">
        <f>IFERROR(IF(OR(DATE($B$81,MONTH(DATEVALUE(X84&amp;"1")),1)&lt;DATE(YEAR(EXPEDIENTE!$I$25),MONTH(EXPEDIENTE!$I$25),1),DATE($B$81,MONTH(DATEVALUE(X84&amp;"1")),1)&gt;DATE(YEAR(EXPEDIENTE!$I$27),MONTH(EXPEDIENTE!$I$27)+1,1)-1),0,ROUND('% DEDICACIÓN TRABAJADOR'!H45,4)),0)</f>
        <v>0</v>
      </c>
      <c r="Z84" s="432">
        <f>'GASTOS EJER. 4'!AW21+'GASTOS EJER. 4'!BM21-'GASTOS EJER. 4'!CM21-'GASTOS EJER. 4'!CP21</f>
        <v>0</v>
      </c>
      <c r="AA84" s="189" t="str">
        <f>IF('GASTOS EJER. 4'!CT21="","",'GASTOS EJER. 4'!CT21)</f>
        <v/>
      </c>
      <c r="AB84" s="431">
        <f>IF(AA84&lt;=EXPEDIENTE!$I$29,Z84,0)</f>
        <v>0</v>
      </c>
      <c r="AC84" s="432">
        <f>'GASTOS EJER. 4'!CP21</f>
        <v>0</v>
      </c>
      <c r="AD84" s="189" t="str">
        <f>IF('GASTOS EJER. 4'!CW21="","",'GASTOS EJER. 4'!CW21)</f>
        <v/>
      </c>
      <c r="AE84" s="431">
        <f>IF(AD84&lt;=EXPEDIENTE!$I$29,AC84,0)</f>
        <v>0</v>
      </c>
      <c r="AF84" s="433">
        <f>AUXILIAR!DQ73</f>
        <v>0</v>
      </c>
      <c r="AG84" s="432">
        <f>AUXILIAR!HZ72</f>
        <v>0</v>
      </c>
      <c r="AH84" s="189" t="str">
        <f>IF('GASTOS EJER. 4'!BF53="","",'GASTOS EJER. 4'!BF53)</f>
        <v/>
      </c>
      <c r="AI84" s="431">
        <f>IF(AH84&lt;=EXPEDIENTE!$I$29,AG84,0)</f>
        <v>0</v>
      </c>
      <c r="AJ84" s="434">
        <f>IF($AS$90=0,0,IF(AND($AS$92&gt;$AS$90,$AS$88=1100%),MIN(AUXILIAR!$P$17,ROUND($AS$90/$AS$92*(AB84+AE84+AF84+AI84)*('IDENTIFICACIÓN TRABAJADOR'!$T$46+'IDENTIFICACIÓN TRABAJADOR'!$X$46)/('IDENTIFICACIÓN TRABAJADOR'!$E$43-'IDENTIFICACIÓN TRABAJADOR'!$T$46-'IDENTIFICACIÓN TRABAJADOR'!$X$46),2)),MIN(AUXILIAR!$P$17,ROUND((AB84+AE84+AF84+AI84)*('IDENTIFICACIÓN TRABAJADOR'!$T$46+'IDENTIFICACIÓN TRABAJADOR'!$X$46)/('IDENTIFICACIÓN TRABAJADOR'!$E$43-'IDENTIFICACIÓN TRABAJADOR'!$T$46-'IDENTIFICACIÓN TRABAJADOR'!$X$46),2))))</f>
        <v>0</v>
      </c>
      <c r="AK84" s="433">
        <f>IF($AS$90=0,0,IF(AND($AS$92&gt;$AS$90,$AS$88=1100%),MIN(AUXILIAR!$P$17,ROUND($AS$90/$AS$92*(AB84+AE84+AF84+AI84)*(1+('IDENTIFICACIÓN TRABAJADOR'!$T$46+'IDENTIFICACIÓN TRABAJADOR'!$X$46)/('IDENTIFICACIÓN TRABAJADOR'!$E$43-'IDENTIFICACIÓN TRABAJADOR'!$T$46-'IDENTIFICACIÓN TRABAJADOR'!$X$46)),2)),MIN(AUXILIAR!$P$17,ROUND((AB84+AE84+AF84+AI84)*(1+('IDENTIFICACIÓN TRABAJADOR'!$T$46+'IDENTIFICACIÓN TRABAJADOR'!$X$46)/('IDENTIFICACIÓN TRABAJADOR'!$E$43-'IDENTIFICACIÓN TRABAJADOR'!$T$46-'IDENTIFICACIÓN TRABAJADOR'!$X$46)),2))))</f>
        <v>0</v>
      </c>
      <c r="AL84" s="570">
        <f t="shared" ref="AL84:AL94" si="10">IF($AS$96&gt;0,0,ROUND(Y84*AK84,2))</f>
        <v>0</v>
      </c>
      <c r="AM84" s="573">
        <f t="shared" ref="AM84:AM94" si="11">P84</f>
        <v>0</v>
      </c>
      <c r="AQ84" s="427" t="e">
        <f>ROUND(Y84*(AB84+AE84+AF84+AI84)*(1+('IDENTIFICACIÓN TRABAJADOR'!$T$46+'IDENTIFICACIÓN TRABAJADOR'!$X$46)/('IDENTIFICACIÓN TRABAJADOR'!$E$43-'IDENTIFICACIÓN TRABAJADOR'!$T$46-'IDENTIFICACIÓN TRABAJADOR'!$X$46)),2)</f>
        <v>#VALUE!</v>
      </c>
      <c r="AR84" s="412"/>
      <c r="AS84" s="412"/>
    </row>
    <row r="85" spans="2:45" ht="15" customHeight="1" x14ac:dyDescent="0.25">
      <c r="B85" s="428" t="s">
        <v>272</v>
      </c>
      <c r="C85" s="429">
        <f>IFERROR(IF(OR(DATE($B$81,MONTH(DATEVALUE(B85&amp;"1")),1)&lt;DATE(YEAR(EXPEDIENTE!$I$25),MONTH(EXPEDIENTE!$I$25),1),DATE($B$81,MONTH(DATEVALUE(B85&amp;"1")),1)&gt;DATE(YEAR(EXPEDIENTE!$I$27),MONTH(EXPEDIENTE!$I$27)+1,1)-1),0,ROUND('% DEDICACIÓN TRABAJADOR'!I45,4)),0)</f>
        <v>0</v>
      </c>
      <c r="D85" s="432">
        <f>'GASTOS EJER. 4'!F22+'GASTOS EJER. 4'!L22-'GASTOS EJER. 4'!X22-'GASTOS EJER. 4'!Y22</f>
        <v>0</v>
      </c>
      <c r="E85" s="189" t="str">
        <f>IF('GASTOS EJER. 4'!AA22="","",'GASTOS EJER. 4'!AA22)</f>
        <v/>
      </c>
      <c r="F85" s="431">
        <f>IF(E85&lt;=EXPEDIENTE!$I$29,D85,0)</f>
        <v>0</v>
      </c>
      <c r="G85" s="432">
        <f>'GASTOS EJER. 4'!Y22</f>
        <v>0</v>
      </c>
      <c r="H85" s="189" t="str">
        <f>IF('GASTOS EJER. 4'!AB22="","",'GASTOS EJER. 4'!AB22)</f>
        <v/>
      </c>
      <c r="I85" s="431">
        <f>IF(H85&lt;=EXPEDIENTE!$I$29,G85,0)</f>
        <v>0</v>
      </c>
      <c r="J85" s="433">
        <f>AUXILIAR!BX74</f>
        <v>0</v>
      </c>
      <c r="K85" s="432">
        <f>AUXILIAR!FU73</f>
        <v>0</v>
      </c>
      <c r="L85" s="189" t="str">
        <f>IF('GASTOS EJER. 4'!I54="","",'GASTOS EJER. 4'!I54)</f>
        <v/>
      </c>
      <c r="M85" s="431">
        <f>IF(L85&lt;=EXPEDIENTE!$I$29,K85,0)</f>
        <v>0</v>
      </c>
      <c r="N85" s="434">
        <f>IF($V$90=0,0,IF(AND($V$92&gt;$V$90,$V$88=1100%),MIN(AUXILIAR!$P$17,ROUND($V$90/$V$92*(F85+I85+J85+M85)*('IDENTIFICACIÓN TRABAJADOR'!$T$46+'IDENTIFICACIÓN TRABAJADOR'!$X$46)/('IDENTIFICACIÓN TRABAJADOR'!$E$43-'IDENTIFICACIÓN TRABAJADOR'!$T$46-'IDENTIFICACIÓN TRABAJADOR'!$X$46),2)),MIN(AUXILIAR!$P$17,ROUND((F85+I85+J85+M85)*('IDENTIFICACIÓN TRABAJADOR'!$T$46+'IDENTIFICACIÓN TRABAJADOR'!$X$46)/('IDENTIFICACIÓN TRABAJADOR'!$E$43-'IDENTIFICACIÓN TRABAJADOR'!$T$46-'IDENTIFICACIÓN TRABAJADOR'!$X$46),2))))</f>
        <v>0</v>
      </c>
      <c r="O85" s="433">
        <f>IF($V$90=0,0,IF(AND($V$92&gt;$V$90,$V$88=1100%),MIN(AUXILIAR!$P$17,ROUND($V$90/$V$92*(F85+I85+J85+M85)*(1+('IDENTIFICACIÓN TRABAJADOR'!$T$46+'IDENTIFICACIÓN TRABAJADOR'!$X$46)/('IDENTIFICACIÓN TRABAJADOR'!$E$43-'IDENTIFICACIÓN TRABAJADOR'!$T$46-'IDENTIFICACIÓN TRABAJADOR'!$X$46)),2)),MIN(AUXILIAR!$P$17,ROUND((F85+I85+J85+M85)*(1+('IDENTIFICACIÓN TRABAJADOR'!$T$46+'IDENTIFICACIÓN TRABAJADOR'!$X$46)/('IDENTIFICACIÓN TRABAJADOR'!$E$43-'IDENTIFICACIÓN TRABAJADOR'!$T$46-'IDENTIFICACIÓN TRABAJADOR'!$X$46)),2))))</f>
        <v>0</v>
      </c>
      <c r="P85" s="434">
        <f t="shared" si="9"/>
        <v>0</v>
      </c>
      <c r="T85" s="427" t="e">
        <f>ROUND(C85*(F85+I85+J85+M85)*(1+('IDENTIFICACIÓN TRABAJADOR'!$T$46+'IDENTIFICACIÓN TRABAJADOR'!$X$46)/('IDENTIFICACIÓN TRABAJADOR'!$E$43-'IDENTIFICACIÓN TRABAJADOR'!$T$46-'IDENTIFICACIÓN TRABAJADOR'!$X$46)),2)</f>
        <v>#VALUE!</v>
      </c>
      <c r="U85" s="412"/>
      <c r="V85" s="412"/>
      <c r="X85" s="581" t="s">
        <v>272</v>
      </c>
      <c r="Y85" s="429">
        <f>IFERROR(IF(OR(DATE($B$81,MONTH(DATEVALUE(X85&amp;"1")),1)&lt;DATE(YEAR(EXPEDIENTE!$I$25),MONTH(EXPEDIENTE!$I$25),1),DATE($B$81,MONTH(DATEVALUE(X85&amp;"1")),1)&gt;DATE(YEAR(EXPEDIENTE!$I$27),MONTH(EXPEDIENTE!$I$27)+1,1)-1),0,ROUND('% DEDICACIÓN TRABAJADOR'!I45,4)),0)</f>
        <v>0</v>
      </c>
      <c r="Z85" s="432">
        <f>'GASTOS EJER. 4'!AW22+'GASTOS EJER. 4'!BM22-'GASTOS EJER. 4'!CM22-'GASTOS EJER. 4'!CP22</f>
        <v>0</v>
      </c>
      <c r="AA85" s="189" t="str">
        <f>IF('GASTOS EJER. 4'!CT22="","",'GASTOS EJER. 4'!CT22)</f>
        <v/>
      </c>
      <c r="AB85" s="431">
        <f>IF(AA85&lt;=EXPEDIENTE!$I$29,Z85,0)</f>
        <v>0</v>
      </c>
      <c r="AC85" s="432">
        <f>'GASTOS EJER. 4'!CP22</f>
        <v>0</v>
      </c>
      <c r="AD85" s="189" t="str">
        <f>IF('GASTOS EJER. 4'!CW22="","",'GASTOS EJER. 4'!CW22)</f>
        <v/>
      </c>
      <c r="AE85" s="431">
        <f>IF(AD85&lt;=EXPEDIENTE!$I$29,AC85,0)</f>
        <v>0</v>
      </c>
      <c r="AF85" s="433">
        <f>AUXILIAR!DQ74</f>
        <v>0</v>
      </c>
      <c r="AG85" s="432">
        <f>AUXILIAR!HZ73</f>
        <v>0</v>
      </c>
      <c r="AH85" s="189" t="str">
        <f>IF('GASTOS EJER. 4'!BF54="","",'GASTOS EJER. 4'!BF54)</f>
        <v/>
      </c>
      <c r="AI85" s="431">
        <f>IF(AH85&lt;=EXPEDIENTE!$I$29,AG85,0)</f>
        <v>0</v>
      </c>
      <c r="AJ85" s="434">
        <f>IF($AS$90=0,0,IF(AND($AS$92&gt;$AS$90,$AS$88=1100%),MIN(AUXILIAR!$P$17,ROUND($AS$90/$AS$92*(AB85+AE85+AF85+AI85)*('IDENTIFICACIÓN TRABAJADOR'!$T$46+'IDENTIFICACIÓN TRABAJADOR'!$X$46)/('IDENTIFICACIÓN TRABAJADOR'!$E$43-'IDENTIFICACIÓN TRABAJADOR'!$T$46-'IDENTIFICACIÓN TRABAJADOR'!$X$46),2)),MIN(AUXILIAR!$P$17,ROUND((AB85+AE85+AF85+AI85)*('IDENTIFICACIÓN TRABAJADOR'!$T$46+'IDENTIFICACIÓN TRABAJADOR'!$X$46)/('IDENTIFICACIÓN TRABAJADOR'!$E$43-'IDENTIFICACIÓN TRABAJADOR'!$T$46-'IDENTIFICACIÓN TRABAJADOR'!$X$46),2))))</f>
        <v>0</v>
      </c>
      <c r="AK85" s="433">
        <f>IF($AS$90=0,0,IF(AND($AS$92&gt;$AS$90,$AS$88=1100%),MIN(AUXILIAR!$P$17,ROUND($AS$90/$AS$92*(AB85+AE85+AF85+AI85)*(1+('IDENTIFICACIÓN TRABAJADOR'!$T$46+'IDENTIFICACIÓN TRABAJADOR'!$X$46)/('IDENTIFICACIÓN TRABAJADOR'!$E$43-'IDENTIFICACIÓN TRABAJADOR'!$T$46-'IDENTIFICACIÓN TRABAJADOR'!$X$46)),2)),MIN(AUXILIAR!$P$17,ROUND((AB85+AE85+AF85+AI85)*(1+('IDENTIFICACIÓN TRABAJADOR'!$T$46+'IDENTIFICACIÓN TRABAJADOR'!$X$46)/('IDENTIFICACIÓN TRABAJADOR'!$E$43-'IDENTIFICACIÓN TRABAJADOR'!$T$46-'IDENTIFICACIÓN TRABAJADOR'!$X$46)),2))))</f>
        <v>0</v>
      </c>
      <c r="AL85" s="570">
        <f t="shared" si="10"/>
        <v>0</v>
      </c>
      <c r="AM85" s="573">
        <f t="shared" si="11"/>
        <v>0</v>
      </c>
      <c r="AQ85" s="427" t="e">
        <f>ROUND(Y85*(AB85+AE85+AF85+AI85)*(1+('IDENTIFICACIÓN TRABAJADOR'!$T$46+'IDENTIFICACIÓN TRABAJADOR'!$X$46)/('IDENTIFICACIÓN TRABAJADOR'!$E$43-'IDENTIFICACIÓN TRABAJADOR'!$T$46-'IDENTIFICACIÓN TRABAJADOR'!$X$46)),2)</f>
        <v>#VALUE!</v>
      </c>
      <c r="AR85" s="412"/>
      <c r="AS85" s="412"/>
    </row>
    <row r="86" spans="2:45" ht="15" customHeight="1" x14ac:dyDescent="0.25">
      <c r="B86" s="428" t="s">
        <v>273</v>
      </c>
      <c r="C86" s="429">
        <f>IFERROR(IF(OR(DATE($B$81,MONTH(DATEVALUE(B86&amp;"1")),1)&lt;DATE(YEAR(EXPEDIENTE!$I$25),MONTH(EXPEDIENTE!$I$25),1),DATE($B$81,MONTH(DATEVALUE(B86&amp;"1")),1)&gt;DATE(YEAR(EXPEDIENTE!$I$27),MONTH(EXPEDIENTE!$I$27)+1,1)-1),0,ROUND('% DEDICACIÓN TRABAJADOR'!J45,4)),0)</f>
        <v>0</v>
      </c>
      <c r="D86" s="432">
        <f>'GASTOS EJER. 4'!F23+'GASTOS EJER. 4'!L23-'GASTOS EJER. 4'!X23-'GASTOS EJER. 4'!Y23</f>
        <v>0</v>
      </c>
      <c r="E86" s="189" t="str">
        <f>IF('GASTOS EJER. 4'!AA23="","",'GASTOS EJER. 4'!AA23)</f>
        <v/>
      </c>
      <c r="F86" s="431">
        <f>IF(E86&lt;=EXPEDIENTE!$I$29,D86,0)</f>
        <v>0</v>
      </c>
      <c r="G86" s="432">
        <f>'GASTOS EJER. 4'!Y23</f>
        <v>0</v>
      </c>
      <c r="H86" s="189" t="str">
        <f>IF('GASTOS EJER. 4'!AB23="","",'GASTOS EJER. 4'!AB23)</f>
        <v/>
      </c>
      <c r="I86" s="431">
        <f>IF(H86&lt;=EXPEDIENTE!$I$29,G86,0)</f>
        <v>0</v>
      </c>
      <c r="J86" s="433">
        <f>AUXILIAR!BX75</f>
        <v>0</v>
      </c>
      <c r="K86" s="432">
        <f>AUXILIAR!FU74</f>
        <v>0</v>
      </c>
      <c r="L86" s="189" t="str">
        <f>IF('GASTOS EJER. 4'!I55="","",'GASTOS EJER. 4'!I55)</f>
        <v/>
      </c>
      <c r="M86" s="431">
        <f>IF(L86&lt;=EXPEDIENTE!$I$29,K86,0)</f>
        <v>0</v>
      </c>
      <c r="N86" s="434">
        <f>IF($V$90=0,0,IF(AND($V$92&gt;$V$90,$V$88=1100%),MIN(AUXILIAR!$P$17,ROUND($V$90/$V$92*(F86+I86+J86+M86)*('IDENTIFICACIÓN TRABAJADOR'!$T$46+'IDENTIFICACIÓN TRABAJADOR'!$X$46)/('IDENTIFICACIÓN TRABAJADOR'!$E$43-'IDENTIFICACIÓN TRABAJADOR'!$T$46-'IDENTIFICACIÓN TRABAJADOR'!$X$46),2)),MIN(AUXILIAR!$P$17,ROUND((F86+I86+J86+M86)*('IDENTIFICACIÓN TRABAJADOR'!$T$46+'IDENTIFICACIÓN TRABAJADOR'!$X$46)/('IDENTIFICACIÓN TRABAJADOR'!$E$43-'IDENTIFICACIÓN TRABAJADOR'!$T$46-'IDENTIFICACIÓN TRABAJADOR'!$X$46),2))))</f>
        <v>0</v>
      </c>
      <c r="O86" s="433">
        <f>IF($V$90=0,0,IF(AND($V$92&gt;$V$90,$V$88=1100%),MIN(AUXILIAR!$P$17,ROUND($V$90/$V$92*(F86+I86+J86+M86)*(1+('IDENTIFICACIÓN TRABAJADOR'!$T$46+'IDENTIFICACIÓN TRABAJADOR'!$X$46)/('IDENTIFICACIÓN TRABAJADOR'!$E$43-'IDENTIFICACIÓN TRABAJADOR'!$T$46-'IDENTIFICACIÓN TRABAJADOR'!$X$46)),2)),MIN(AUXILIAR!$P$17,ROUND((F86+I86+J86+M86)*(1+('IDENTIFICACIÓN TRABAJADOR'!$T$46+'IDENTIFICACIÓN TRABAJADOR'!$X$46)/('IDENTIFICACIÓN TRABAJADOR'!$E$43-'IDENTIFICACIÓN TRABAJADOR'!$T$46-'IDENTIFICACIÓN TRABAJADOR'!$X$46)),2))))</f>
        <v>0</v>
      </c>
      <c r="P86" s="434">
        <f t="shared" si="9"/>
        <v>0</v>
      </c>
      <c r="T86" s="427" t="e">
        <f>ROUND(C86*(F86+I86+J86+M86)*(1+('IDENTIFICACIÓN TRABAJADOR'!$T$46+'IDENTIFICACIÓN TRABAJADOR'!$X$46)/('IDENTIFICACIÓN TRABAJADOR'!$E$43-'IDENTIFICACIÓN TRABAJADOR'!$T$46-'IDENTIFICACIÓN TRABAJADOR'!$X$46)),2)</f>
        <v>#VALUE!</v>
      </c>
      <c r="U86" s="412"/>
      <c r="V86" s="412"/>
      <c r="X86" s="581" t="s">
        <v>273</v>
      </c>
      <c r="Y86" s="429">
        <f>IFERROR(IF(OR(DATE($B$81,MONTH(DATEVALUE(X86&amp;"1")),1)&lt;DATE(YEAR(EXPEDIENTE!$I$25),MONTH(EXPEDIENTE!$I$25),1),DATE($B$81,MONTH(DATEVALUE(X86&amp;"1")),1)&gt;DATE(YEAR(EXPEDIENTE!$I$27),MONTH(EXPEDIENTE!$I$27)+1,1)-1),0,ROUND('% DEDICACIÓN TRABAJADOR'!J45,4)),0)</f>
        <v>0</v>
      </c>
      <c r="Z86" s="432">
        <f>'GASTOS EJER. 4'!AW23+'GASTOS EJER. 4'!BM23-'GASTOS EJER. 4'!CM23-'GASTOS EJER. 4'!CP23</f>
        <v>0</v>
      </c>
      <c r="AA86" s="189" t="str">
        <f>IF('GASTOS EJER. 4'!CT23="","",'GASTOS EJER. 4'!CT23)</f>
        <v/>
      </c>
      <c r="AB86" s="431">
        <f>IF(AA86&lt;=EXPEDIENTE!$I$29,Z86,0)</f>
        <v>0</v>
      </c>
      <c r="AC86" s="432">
        <f>'GASTOS EJER. 4'!CP23</f>
        <v>0</v>
      </c>
      <c r="AD86" s="189" t="str">
        <f>IF('GASTOS EJER. 4'!CW23="","",'GASTOS EJER. 4'!CW23)</f>
        <v/>
      </c>
      <c r="AE86" s="431">
        <f>IF(AD86&lt;=EXPEDIENTE!$I$29,AC86,0)</f>
        <v>0</v>
      </c>
      <c r="AF86" s="433">
        <f>AUXILIAR!DQ75</f>
        <v>0</v>
      </c>
      <c r="AG86" s="432">
        <f>AUXILIAR!HZ74</f>
        <v>0</v>
      </c>
      <c r="AH86" s="189" t="str">
        <f>IF('GASTOS EJER. 4'!BF55="","",'GASTOS EJER. 4'!BF55)</f>
        <v/>
      </c>
      <c r="AI86" s="431">
        <f>IF(AH86&lt;=EXPEDIENTE!$I$29,AG86,0)</f>
        <v>0</v>
      </c>
      <c r="AJ86" s="434">
        <f>IF($AS$90=0,0,IF(AND($AS$92&gt;$AS$90,$AS$88=1100%),MIN(AUXILIAR!$P$17,ROUND($AS$90/$AS$92*(AB86+AE86+AF86+AI86)*('IDENTIFICACIÓN TRABAJADOR'!$T$46+'IDENTIFICACIÓN TRABAJADOR'!$X$46)/('IDENTIFICACIÓN TRABAJADOR'!$E$43-'IDENTIFICACIÓN TRABAJADOR'!$T$46-'IDENTIFICACIÓN TRABAJADOR'!$X$46),2)),MIN(AUXILIAR!$P$17,ROUND((AB86+AE86+AF86+AI86)*('IDENTIFICACIÓN TRABAJADOR'!$T$46+'IDENTIFICACIÓN TRABAJADOR'!$X$46)/('IDENTIFICACIÓN TRABAJADOR'!$E$43-'IDENTIFICACIÓN TRABAJADOR'!$T$46-'IDENTIFICACIÓN TRABAJADOR'!$X$46),2))))</f>
        <v>0</v>
      </c>
      <c r="AK86" s="433">
        <f>IF($AS$90=0,0,IF(AND($AS$92&gt;$AS$90,$AS$88=1100%),MIN(AUXILIAR!$P$17,ROUND($AS$90/$AS$92*(AB86+AE86+AF86+AI86)*(1+('IDENTIFICACIÓN TRABAJADOR'!$T$46+'IDENTIFICACIÓN TRABAJADOR'!$X$46)/('IDENTIFICACIÓN TRABAJADOR'!$E$43-'IDENTIFICACIÓN TRABAJADOR'!$T$46-'IDENTIFICACIÓN TRABAJADOR'!$X$46)),2)),MIN(AUXILIAR!$P$17,ROUND((AB86+AE86+AF86+AI86)*(1+('IDENTIFICACIÓN TRABAJADOR'!$T$46+'IDENTIFICACIÓN TRABAJADOR'!$X$46)/('IDENTIFICACIÓN TRABAJADOR'!$E$43-'IDENTIFICACIÓN TRABAJADOR'!$T$46-'IDENTIFICACIÓN TRABAJADOR'!$X$46)),2))))</f>
        <v>0</v>
      </c>
      <c r="AL86" s="570">
        <f t="shared" si="10"/>
        <v>0</v>
      </c>
      <c r="AM86" s="573">
        <f t="shared" si="11"/>
        <v>0</v>
      </c>
      <c r="AQ86" s="427" t="e">
        <f>ROUND(Y86*(AB86+AE86+AF86+AI86)*(1+('IDENTIFICACIÓN TRABAJADOR'!$T$46+'IDENTIFICACIÓN TRABAJADOR'!$X$46)/('IDENTIFICACIÓN TRABAJADOR'!$E$43-'IDENTIFICACIÓN TRABAJADOR'!$T$46-'IDENTIFICACIÓN TRABAJADOR'!$X$46)),2)</f>
        <v>#VALUE!</v>
      </c>
      <c r="AR86" s="412"/>
      <c r="AS86" s="412"/>
    </row>
    <row r="87" spans="2:45" ht="15" customHeight="1" x14ac:dyDescent="0.25">
      <c r="B87" s="428" t="s">
        <v>274</v>
      </c>
      <c r="C87" s="429">
        <f>IFERROR(IF(OR(DATE($B$81,MONTH(DATEVALUE(B87&amp;"1")),1)&lt;DATE(YEAR(EXPEDIENTE!$I$25),MONTH(EXPEDIENTE!$I$25),1),DATE($B$81,MONTH(DATEVALUE(B87&amp;"1")),1)&gt;DATE(YEAR(EXPEDIENTE!$I$27),MONTH(EXPEDIENTE!$I$27)+1,1)-1),0,ROUND('% DEDICACIÓN TRABAJADOR'!K45,4)),0)</f>
        <v>0</v>
      </c>
      <c r="D87" s="432">
        <f>'GASTOS EJER. 4'!F24+'GASTOS EJER. 4'!L24-'GASTOS EJER. 4'!X24-'GASTOS EJER. 4'!Y24</f>
        <v>0</v>
      </c>
      <c r="E87" s="189" t="str">
        <f>IF('GASTOS EJER. 4'!AA24="","",'GASTOS EJER. 4'!AA24)</f>
        <v/>
      </c>
      <c r="F87" s="431">
        <f>IF(E87&lt;=EXPEDIENTE!$I$29,D87,0)</f>
        <v>0</v>
      </c>
      <c r="G87" s="432">
        <f>'GASTOS EJER. 4'!Y24</f>
        <v>0</v>
      </c>
      <c r="H87" s="189" t="str">
        <f>IF('GASTOS EJER. 4'!AB24="","",'GASTOS EJER. 4'!AB24)</f>
        <v/>
      </c>
      <c r="I87" s="431">
        <f>IF(H87&lt;=EXPEDIENTE!$I$29,G87,0)</f>
        <v>0</v>
      </c>
      <c r="J87" s="433">
        <f>AUXILIAR!BX76</f>
        <v>0</v>
      </c>
      <c r="K87" s="432">
        <f>AUXILIAR!FU75</f>
        <v>0</v>
      </c>
      <c r="L87" s="189" t="str">
        <f>IF('GASTOS EJER. 4'!I56="","",'GASTOS EJER. 4'!I56)</f>
        <v/>
      </c>
      <c r="M87" s="431">
        <f>IF(L87&lt;=EXPEDIENTE!$I$29,K87,0)</f>
        <v>0</v>
      </c>
      <c r="N87" s="434">
        <f>IF($V$90=0,0,IF(AND($V$92&gt;$V$90,$V$88=1100%),MIN(AUXILIAR!$P$17,ROUND($V$90/$V$92*(F87+I87+J87+M87)*('IDENTIFICACIÓN TRABAJADOR'!$T$46+'IDENTIFICACIÓN TRABAJADOR'!$X$46)/('IDENTIFICACIÓN TRABAJADOR'!$E$43-'IDENTIFICACIÓN TRABAJADOR'!$T$46-'IDENTIFICACIÓN TRABAJADOR'!$X$46),2)),MIN(AUXILIAR!$P$17,ROUND((F87+I87+J87+M87)*('IDENTIFICACIÓN TRABAJADOR'!$T$46+'IDENTIFICACIÓN TRABAJADOR'!$X$46)/('IDENTIFICACIÓN TRABAJADOR'!$E$43-'IDENTIFICACIÓN TRABAJADOR'!$T$46-'IDENTIFICACIÓN TRABAJADOR'!$X$46),2))))</f>
        <v>0</v>
      </c>
      <c r="O87" s="433">
        <f>IF($V$90=0,0,IF(AND($V$92&gt;$V$90,$V$88=1100%),MIN(AUXILIAR!$P$17,ROUND($V$90/$V$92*(F87+I87+J87+M87)*(1+('IDENTIFICACIÓN TRABAJADOR'!$T$46+'IDENTIFICACIÓN TRABAJADOR'!$X$46)/('IDENTIFICACIÓN TRABAJADOR'!$E$43-'IDENTIFICACIÓN TRABAJADOR'!$T$46-'IDENTIFICACIÓN TRABAJADOR'!$X$46)),2)),MIN(AUXILIAR!$P$17,ROUND((F87+I87+J87+M87)*(1+('IDENTIFICACIÓN TRABAJADOR'!$T$46+'IDENTIFICACIÓN TRABAJADOR'!$X$46)/('IDENTIFICACIÓN TRABAJADOR'!$E$43-'IDENTIFICACIÓN TRABAJADOR'!$T$46-'IDENTIFICACIÓN TRABAJADOR'!$X$46)),2))))</f>
        <v>0</v>
      </c>
      <c r="P87" s="434">
        <f t="shared" si="9"/>
        <v>0</v>
      </c>
      <c r="T87" s="427" t="e">
        <f>ROUND(C87*(F87+I87+J87+M87)*(1+('IDENTIFICACIÓN TRABAJADOR'!$T$46+'IDENTIFICACIÓN TRABAJADOR'!$X$46)/('IDENTIFICACIÓN TRABAJADOR'!$E$43-'IDENTIFICACIÓN TRABAJADOR'!$T$46-'IDENTIFICACIÓN TRABAJADOR'!$X$46)),2)</f>
        <v>#VALUE!</v>
      </c>
      <c r="U87" s="412"/>
      <c r="V87" s="84" t="s">
        <v>323</v>
      </c>
      <c r="X87" s="581" t="s">
        <v>274</v>
      </c>
      <c r="Y87" s="429">
        <f>IFERROR(IF(OR(DATE($B$81,MONTH(DATEVALUE(X87&amp;"1")),1)&lt;DATE(YEAR(EXPEDIENTE!$I$25),MONTH(EXPEDIENTE!$I$25),1),DATE($B$81,MONTH(DATEVALUE(X87&amp;"1")),1)&gt;DATE(YEAR(EXPEDIENTE!$I$27),MONTH(EXPEDIENTE!$I$27)+1,1)-1),0,ROUND('% DEDICACIÓN TRABAJADOR'!K45,4)),0)</f>
        <v>0</v>
      </c>
      <c r="Z87" s="432">
        <f>'GASTOS EJER. 4'!AW24+'GASTOS EJER. 4'!BM24-'GASTOS EJER. 4'!CM24-'GASTOS EJER. 4'!CP24</f>
        <v>0</v>
      </c>
      <c r="AA87" s="189" t="str">
        <f>IF('GASTOS EJER. 4'!CT24="","",'GASTOS EJER. 4'!CT24)</f>
        <v/>
      </c>
      <c r="AB87" s="431">
        <f>IF(AA87&lt;=EXPEDIENTE!$I$29,Z87,0)</f>
        <v>0</v>
      </c>
      <c r="AC87" s="432">
        <f>'GASTOS EJER. 4'!CP24</f>
        <v>0</v>
      </c>
      <c r="AD87" s="189" t="str">
        <f>IF('GASTOS EJER. 4'!CW24="","",'GASTOS EJER. 4'!CW24)</f>
        <v/>
      </c>
      <c r="AE87" s="431">
        <f>IF(AD87&lt;=EXPEDIENTE!$I$29,AC87,0)</f>
        <v>0</v>
      </c>
      <c r="AF87" s="433">
        <f>AUXILIAR!DQ76</f>
        <v>0</v>
      </c>
      <c r="AG87" s="432">
        <f>AUXILIAR!HZ75</f>
        <v>0</v>
      </c>
      <c r="AH87" s="189" t="str">
        <f>IF('GASTOS EJER. 4'!BF56="","",'GASTOS EJER. 4'!BF56)</f>
        <v/>
      </c>
      <c r="AI87" s="431">
        <f>IF(AH87&lt;=EXPEDIENTE!$I$29,AG87,0)</f>
        <v>0</v>
      </c>
      <c r="AJ87" s="434">
        <f>IF($AS$90=0,0,IF(AND($AS$92&gt;$AS$90,$AS$88=1100%),MIN(AUXILIAR!$P$17,ROUND($AS$90/$AS$92*(AB87+AE87+AF87+AI87)*('IDENTIFICACIÓN TRABAJADOR'!$T$46+'IDENTIFICACIÓN TRABAJADOR'!$X$46)/('IDENTIFICACIÓN TRABAJADOR'!$E$43-'IDENTIFICACIÓN TRABAJADOR'!$T$46-'IDENTIFICACIÓN TRABAJADOR'!$X$46),2)),MIN(AUXILIAR!$P$17,ROUND((AB87+AE87+AF87+AI87)*('IDENTIFICACIÓN TRABAJADOR'!$T$46+'IDENTIFICACIÓN TRABAJADOR'!$X$46)/('IDENTIFICACIÓN TRABAJADOR'!$E$43-'IDENTIFICACIÓN TRABAJADOR'!$T$46-'IDENTIFICACIÓN TRABAJADOR'!$X$46),2))))</f>
        <v>0</v>
      </c>
      <c r="AK87" s="433">
        <f>IF($AS$90=0,0,IF(AND($AS$92&gt;$AS$90,$AS$88=1100%),MIN(AUXILIAR!$P$17,ROUND($AS$90/$AS$92*(AB87+AE87+AF87+AI87)*(1+('IDENTIFICACIÓN TRABAJADOR'!$T$46+'IDENTIFICACIÓN TRABAJADOR'!$X$46)/('IDENTIFICACIÓN TRABAJADOR'!$E$43-'IDENTIFICACIÓN TRABAJADOR'!$T$46-'IDENTIFICACIÓN TRABAJADOR'!$X$46)),2)),MIN(AUXILIAR!$P$17,ROUND((AB87+AE87+AF87+AI87)*(1+('IDENTIFICACIÓN TRABAJADOR'!$T$46+'IDENTIFICACIÓN TRABAJADOR'!$X$46)/('IDENTIFICACIÓN TRABAJADOR'!$E$43-'IDENTIFICACIÓN TRABAJADOR'!$T$46-'IDENTIFICACIÓN TRABAJADOR'!$X$46)),2))))</f>
        <v>0</v>
      </c>
      <c r="AL87" s="570">
        <f t="shared" si="10"/>
        <v>0</v>
      </c>
      <c r="AM87" s="573">
        <f t="shared" si="11"/>
        <v>0</v>
      </c>
      <c r="AQ87" s="427" t="e">
        <f>ROUND(Y87*(AB87+AE87+AF87+AI87)*(1+('IDENTIFICACIÓN TRABAJADOR'!$T$46+'IDENTIFICACIÓN TRABAJADOR'!$X$46)/('IDENTIFICACIÓN TRABAJADOR'!$E$43-'IDENTIFICACIÓN TRABAJADOR'!$T$46-'IDENTIFICACIÓN TRABAJADOR'!$X$46)),2)</f>
        <v>#VALUE!</v>
      </c>
      <c r="AR87" s="412"/>
      <c r="AS87" s="84" t="s">
        <v>323</v>
      </c>
    </row>
    <row r="88" spans="2:45" ht="15" customHeight="1" x14ac:dyDescent="0.25">
      <c r="B88" s="428" t="s">
        <v>275</v>
      </c>
      <c r="C88" s="429">
        <f>IFERROR(IF(OR(DATE($B$81,MONTH(DATEVALUE(B88&amp;"1")),1)&lt;DATE(YEAR(EXPEDIENTE!$I$25),MONTH(EXPEDIENTE!$I$25),1),DATE($B$81,MONTH(DATEVALUE(B88&amp;"1")),1)&gt;DATE(YEAR(EXPEDIENTE!$I$27),MONTH(EXPEDIENTE!$I$27)+1,1)-1),0,ROUND('% DEDICACIÓN TRABAJADOR'!L45,4)),0)</f>
        <v>0</v>
      </c>
      <c r="D88" s="432">
        <f>'GASTOS EJER. 4'!F25+'GASTOS EJER. 4'!L25-'GASTOS EJER. 4'!X25-'GASTOS EJER. 4'!Y25</f>
        <v>0</v>
      </c>
      <c r="E88" s="189" t="str">
        <f>IF('GASTOS EJER. 4'!AA25="","",'GASTOS EJER. 4'!AA25)</f>
        <v/>
      </c>
      <c r="F88" s="431">
        <f>IF(E88&lt;=EXPEDIENTE!$I$29,D88,0)</f>
        <v>0</v>
      </c>
      <c r="G88" s="432">
        <f>'GASTOS EJER. 4'!Y25</f>
        <v>0</v>
      </c>
      <c r="H88" s="189" t="str">
        <f>IF('GASTOS EJER. 4'!AB25="","",'GASTOS EJER. 4'!AB25)</f>
        <v/>
      </c>
      <c r="I88" s="431">
        <f>IF(H88&lt;=EXPEDIENTE!$I$29,G88,0)</f>
        <v>0</v>
      </c>
      <c r="J88" s="433">
        <f>AUXILIAR!BX77</f>
        <v>0</v>
      </c>
      <c r="K88" s="432">
        <f>AUXILIAR!FU76</f>
        <v>0</v>
      </c>
      <c r="L88" s="189" t="str">
        <f>IF('GASTOS EJER. 4'!I57="","",'GASTOS EJER. 4'!I57)</f>
        <v/>
      </c>
      <c r="M88" s="431">
        <f>IF(L88&lt;=EXPEDIENTE!$I$29,K88,0)</f>
        <v>0</v>
      </c>
      <c r="N88" s="434">
        <f>IF($V$90=0,0,IF(AND($V$92&gt;$V$90,$V$88=1100%),MIN(AUXILIAR!$P$17,ROUND($V$90/$V$92*(F88+I88+J88+M88)*('IDENTIFICACIÓN TRABAJADOR'!$T$46+'IDENTIFICACIÓN TRABAJADOR'!$X$46)/('IDENTIFICACIÓN TRABAJADOR'!$E$43-'IDENTIFICACIÓN TRABAJADOR'!$T$46-'IDENTIFICACIÓN TRABAJADOR'!$X$46),2)),MIN(AUXILIAR!$P$17,ROUND((F88+I88+J88+M88)*('IDENTIFICACIÓN TRABAJADOR'!$T$46+'IDENTIFICACIÓN TRABAJADOR'!$X$46)/('IDENTIFICACIÓN TRABAJADOR'!$E$43-'IDENTIFICACIÓN TRABAJADOR'!$T$46-'IDENTIFICACIÓN TRABAJADOR'!$X$46),2))))</f>
        <v>0</v>
      </c>
      <c r="O88" s="433">
        <f>IF($V$90=0,0,IF(AND($V$92&gt;$V$90,$V$88=1100%),MIN(AUXILIAR!$P$17,ROUND($V$90/$V$92*(F88+I88+J88+M88)*(1+('IDENTIFICACIÓN TRABAJADOR'!$T$46+'IDENTIFICACIÓN TRABAJADOR'!$X$46)/('IDENTIFICACIÓN TRABAJADOR'!$E$43-'IDENTIFICACIÓN TRABAJADOR'!$T$46-'IDENTIFICACIÓN TRABAJADOR'!$X$46)),2)),MIN(AUXILIAR!$P$17,ROUND((F88+I88+J88+M88)*(1+('IDENTIFICACIÓN TRABAJADOR'!$T$46+'IDENTIFICACIÓN TRABAJADOR'!$X$46)/('IDENTIFICACIÓN TRABAJADOR'!$E$43-'IDENTIFICACIÓN TRABAJADOR'!$T$46-'IDENTIFICACIÓN TRABAJADOR'!$X$46)),2))))</f>
        <v>0</v>
      </c>
      <c r="P88" s="434">
        <f t="shared" si="9"/>
        <v>0</v>
      </c>
      <c r="T88" s="427" t="e">
        <f>ROUND(C88*(F88+I88+J88+M88)*(1+('IDENTIFICACIÓN TRABAJADOR'!$T$46+'IDENTIFICACIÓN TRABAJADOR'!$X$46)/('IDENTIFICACIÓN TRABAJADOR'!$E$43-'IDENTIFICACIÓN TRABAJADOR'!$T$46-'IDENTIFICACIÓN TRABAJADOR'!$X$46)),2)</f>
        <v>#VALUE!</v>
      </c>
      <c r="U88" s="305"/>
      <c r="V88" s="435">
        <f>SUM('% DEDICACIÓN TRABAJADOR'!$G$45:$R$45)</f>
        <v>0</v>
      </c>
      <c r="X88" s="581" t="s">
        <v>275</v>
      </c>
      <c r="Y88" s="429">
        <f>IFERROR(IF(OR(DATE($B$81,MONTH(DATEVALUE(X88&amp;"1")),1)&lt;DATE(YEAR(EXPEDIENTE!$I$25),MONTH(EXPEDIENTE!$I$25),1),DATE($B$81,MONTH(DATEVALUE(X88&amp;"1")),1)&gt;DATE(YEAR(EXPEDIENTE!$I$27),MONTH(EXPEDIENTE!$I$27)+1,1)-1),0,ROUND('% DEDICACIÓN TRABAJADOR'!L45,4)),0)</f>
        <v>0</v>
      </c>
      <c r="Z88" s="432">
        <f>'GASTOS EJER. 4'!AW25+'GASTOS EJER. 4'!BM25-'GASTOS EJER. 4'!CM25-'GASTOS EJER. 4'!CP25</f>
        <v>0</v>
      </c>
      <c r="AA88" s="189" t="str">
        <f>IF('GASTOS EJER. 4'!CT25="","",'GASTOS EJER. 4'!CT25)</f>
        <v/>
      </c>
      <c r="AB88" s="431">
        <f>IF(AA88&lt;=EXPEDIENTE!$I$29,Z88,0)</f>
        <v>0</v>
      </c>
      <c r="AC88" s="432">
        <f>'GASTOS EJER. 4'!CP25</f>
        <v>0</v>
      </c>
      <c r="AD88" s="189" t="str">
        <f>IF('GASTOS EJER. 4'!CW25="","",'GASTOS EJER. 4'!CW25)</f>
        <v/>
      </c>
      <c r="AE88" s="431">
        <f>IF(AD88&lt;=EXPEDIENTE!$I$29,AC88,0)</f>
        <v>0</v>
      </c>
      <c r="AF88" s="433">
        <f>AUXILIAR!DQ77</f>
        <v>0</v>
      </c>
      <c r="AG88" s="432">
        <f>AUXILIAR!HZ76</f>
        <v>0</v>
      </c>
      <c r="AH88" s="189" t="str">
        <f>IF('GASTOS EJER. 4'!BF57="","",'GASTOS EJER. 4'!BF57)</f>
        <v/>
      </c>
      <c r="AI88" s="431">
        <f>IF(AH88&lt;=EXPEDIENTE!$I$29,AG88,0)</f>
        <v>0</v>
      </c>
      <c r="AJ88" s="434">
        <f>IF($AS$90=0,0,IF(AND($AS$92&gt;$AS$90,$AS$88=1100%),MIN(AUXILIAR!$P$17,ROUND($AS$90/$AS$92*(AB88+AE88+AF88+AI88)*('IDENTIFICACIÓN TRABAJADOR'!$T$46+'IDENTIFICACIÓN TRABAJADOR'!$X$46)/('IDENTIFICACIÓN TRABAJADOR'!$E$43-'IDENTIFICACIÓN TRABAJADOR'!$T$46-'IDENTIFICACIÓN TRABAJADOR'!$X$46),2)),MIN(AUXILIAR!$P$17,ROUND((AB88+AE88+AF88+AI88)*('IDENTIFICACIÓN TRABAJADOR'!$T$46+'IDENTIFICACIÓN TRABAJADOR'!$X$46)/('IDENTIFICACIÓN TRABAJADOR'!$E$43-'IDENTIFICACIÓN TRABAJADOR'!$T$46-'IDENTIFICACIÓN TRABAJADOR'!$X$46),2))))</f>
        <v>0</v>
      </c>
      <c r="AK88" s="433">
        <f>IF($AS$90=0,0,IF(AND($AS$92&gt;$AS$90,$AS$88=1100%),MIN(AUXILIAR!$P$17,ROUND($AS$90/$AS$92*(AB88+AE88+AF88+AI88)*(1+('IDENTIFICACIÓN TRABAJADOR'!$T$46+'IDENTIFICACIÓN TRABAJADOR'!$X$46)/('IDENTIFICACIÓN TRABAJADOR'!$E$43-'IDENTIFICACIÓN TRABAJADOR'!$T$46-'IDENTIFICACIÓN TRABAJADOR'!$X$46)),2)),MIN(AUXILIAR!$P$17,ROUND((AB88+AE88+AF88+AI88)*(1+('IDENTIFICACIÓN TRABAJADOR'!$T$46+'IDENTIFICACIÓN TRABAJADOR'!$X$46)/('IDENTIFICACIÓN TRABAJADOR'!$E$43-'IDENTIFICACIÓN TRABAJADOR'!$T$46-'IDENTIFICACIÓN TRABAJADOR'!$X$46)),2))))</f>
        <v>0</v>
      </c>
      <c r="AL88" s="570">
        <f t="shared" si="10"/>
        <v>0</v>
      </c>
      <c r="AM88" s="573">
        <f t="shared" si="11"/>
        <v>0</v>
      </c>
      <c r="AQ88" s="427" t="e">
        <f>ROUND(Y88*(AB88+AE88+AF88+AI88)*(1+('IDENTIFICACIÓN TRABAJADOR'!$T$46+'IDENTIFICACIÓN TRABAJADOR'!$X$46)/('IDENTIFICACIÓN TRABAJADOR'!$E$43-'IDENTIFICACIÓN TRABAJADOR'!$T$46-'IDENTIFICACIÓN TRABAJADOR'!$X$46)),2)</f>
        <v>#VALUE!</v>
      </c>
      <c r="AR88" s="305"/>
      <c r="AS88" s="435">
        <f>SUM('% DEDICACIÓN TRABAJADOR'!$G$45:$R$45)</f>
        <v>0</v>
      </c>
    </row>
    <row r="89" spans="2:45" ht="15" customHeight="1" x14ac:dyDescent="0.25">
      <c r="B89" s="428" t="s">
        <v>276</v>
      </c>
      <c r="C89" s="429">
        <f>IFERROR(IF(OR(DATE($B$81,MONTH(DATEVALUE(B89&amp;"1")),1)&lt;DATE(YEAR(EXPEDIENTE!$I$25),MONTH(EXPEDIENTE!$I$25),1),DATE($B$81,MONTH(DATEVALUE(B89&amp;"1")),1)&gt;DATE(YEAR(EXPEDIENTE!$I$27),MONTH(EXPEDIENTE!$I$27)+1,1)-1),0,ROUND('% DEDICACIÓN TRABAJADOR'!M45,4)),0)</f>
        <v>0</v>
      </c>
      <c r="D89" s="432">
        <f>'GASTOS EJER. 4'!F26+'GASTOS EJER. 4'!L26-'GASTOS EJER. 4'!X26-'GASTOS EJER. 4'!Y26</f>
        <v>0</v>
      </c>
      <c r="E89" s="189" t="str">
        <f>IF('GASTOS EJER. 4'!AA26="","",'GASTOS EJER. 4'!AA26)</f>
        <v/>
      </c>
      <c r="F89" s="431">
        <f>IF(E89&lt;=EXPEDIENTE!$I$29,D89,0)</f>
        <v>0</v>
      </c>
      <c r="G89" s="432">
        <f>'GASTOS EJER. 4'!Y26</f>
        <v>0</v>
      </c>
      <c r="H89" s="189" t="str">
        <f>IF('GASTOS EJER. 4'!AB26="","",'GASTOS EJER. 4'!AB26)</f>
        <v/>
      </c>
      <c r="I89" s="431">
        <f>IF(H89&lt;=EXPEDIENTE!$I$29,G89,0)</f>
        <v>0</v>
      </c>
      <c r="J89" s="433">
        <f>AUXILIAR!BX78</f>
        <v>0</v>
      </c>
      <c r="K89" s="432">
        <f>AUXILIAR!FU77</f>
        <v>0</v>
      </c>
      <c r="L89" s="189" t="str">
        <f>IF('GASTOS EJER. 4'!I58="","",'GASTOS EJER. 4'!I58)</f>
        <v/>
      </c>
      <c r="M89" s="431">
        <f>IF(L89&lt;=EXPEDIENTE!$I$29,K89,0)</f>
        <v>0</v>
      </c>
      <c r="N89" s="434">
        <f>IF($V$90=0,0,IF(AND($V$92&gt;$V$90,$V$88=1100%),MIN(AUXILIAR!$P$17,ROUND($V$90/$V$92*(F89+I89+J89+M89)*('IDENTIFICACIÓN TRABAJADOR'!$T$46+'IDENTIFICACIÓN TRABAJADOR'!$X$46)/('IDENTIFICACIÓN TRABAJADOR'!$E$43-'IDENTIFICACIÓN TRABAJADOR'!$T$46-'IDENTIFICACIÓN TRABAJADOR'!$X$46),2)),MIN(AUXILIAR!$P$17,ROUND((F89+I89+J89+M89)*('IDENTIFICACIÓN TRABAJADOR'!$T$46+'IDENTIFICACIÓN TRABAJADOR'!$X$46)/('IDENTIFICACIÓN TRABAJADOR'!$E$43-'IDENTIFICACIÓN TRABAJADOR'!$T$46-'IDENTIFICACIÓN TRABAJADOR'!$X$46),2))))</f>
        <v>0</v>
      </c>
      <c r="O89" s="433">
        <f>IF($V$90=0,0,IF(AND($V$92&gt;$V$90,$V$88=1100%),MIN(AUXILIAR!$P$17,ROUND($V$90/$V$92*(F89+I89+J89+M89)*(1+('IDENTIFICACIÓN TRABAJADOR'!$T$46+'IDENTIFICACIÓN TRABAJADOR'!$X$46)/('IDENTIFICACIÓN TRABAJADOR'!$E$43-'IDENTIFICACIÓN TRABAJADOR'!$T$46-'IDENTIFICACIÓN TRABAJADOR'!$X$46)),2)),MIN(AUXILIAR!$P$17,ROUND((F89+I89+J89+M89)*(1+('IDENTIFICACIÓN TRABAJADOR'!$T$46+'IDENTIFICACIÓN TRABAJADOR'!$X$46)/('IDENTIFICACIÓN TRABAJADOR'!$E$43-'IDENTIFICACIÓN TRABAJADOR'!$T$46-'IDENTIFICACIÓN TRABAJADOR'!$X$46)),2))))</f>
        <v>0</v>
      </c>
      <c r="P89" s="434">
        <f t="shared" si="9"/>
        <v>0</v>
      </c>
      <c r="T89" s="427" t="e">
        <f>ROUND(C89*(F89+I89+J89+M89)*(1+('IDENTIFICACIÓN TRABAJADOR'!$T$46+'IDENTIFICACIÓN TRABAJADOR'!$X$46)/('IDENTIFICACIÓN TRABAJADOR'!$E$43-'IDENTIFICACIÓN TRABAJADOR'!$T$46-'IDENTIFICACIÓN TRABAJADOR'!$X$46)),2)</f>
        <v>#VALUE!</v>
      </c>
      <c r="U89" s="305"/>
      <c r="V89" s="84" t="s">
        <v>324</v>
      </c>
      <c r="X89" s="581" t="s">
        <v>276</v>
      </c>
      <c r="Y89" s="429">
        <f>IFERROR(IF(OR(DATE($B$81,MONTH(DATEVALUE(X89&amp;"1")),1)&lt;DATE(YEAR(EXPEDIENTE!$I$25),MONTH(EXPEDIENTE!$I$25),1),DATE($B$81,MONTH(DATEVALUE(X89&amp;"1")),1)&gt;DATE(YEAR(EXPEDIENTE!$I$27),MONTH(EXPEDIENTE!$I$27)+1,1)-1),0,ROUND('% DEDICACIÓN TRABAJADOR'!M45,4)),0)</f>
        <v>0</v>
      </c>
      <c r="Z89" s="432">
        <f>'GASTOS EJER. 4'!AW26+'GASTOS EJER. 4'!BM26-'GASTOS EJER. 4'!CM26-'GASTOS EJER. 4'!CP26</f>
        <v>0</v>
      </c>
      <c r="AA89" s="189" t="str">
        <f>IF('GASTOS EJER. 4'!CT26="","",'GASTOS EJER. 4'!CT26)</f>
        <v/>
      </c>
      <c r="AB89" s="431">
        <f>IF(AA89&lt;=EXPEDIENTE!$I$29,Z89,0)</f>
        <v>0</v>
      </c>
      <c r="AC89" s="432">
        <f>'GASTOS EJER. 4'!CP26</f>
        <v>0</v>
      </c>
      <c r="AD89" s="189" t="str">
        <f>IF('GASTOS EJER. 4'!CW26="","",'GASTOS EJER. 4'!CW26)</f>
        <v/>
      </c>
      <c r="AE89" s="431">
        <f>IF(AD89&lt;=EXPEDIENTE!$I$29,AC89,0)</f>
        <v>0</v>
      </c>
      <c r="AF89" s="433">
        <f>AUXILIAR!DQ78</f>
        <v>0</v>
      </c>
      <c r="AG89" s="432">
        <f>AUXILIAR!HZ77</f>
        <v>0</v>
      </c>
      <c r="AH89" s="189" t="str">
        <f>IF('GASTOS EJER. 4'!BF58="","",'GASTOS EJER. 4'!BF58)</f>
        <v/>
      </c>
      <c r="AI89" s="431">
        <f>IF(AH89&lt;=EXPEDIENTE!$I$29,AG89,0)</f>
        <v>0</v>
      </c>
      <c r="AJ89" s="434">
        <f>IF($AS$90=0,0,IF(AND($AS$92&gt;$AS$90,$AS$88=1100%),MIN(AUXILIAR!$P$17,ROUND($AS$90/$AS$92*(AB89+AE89+AF89+AI89)*('IDENTIFICACIÓN TRABAJADOR'!$T$46+'IDENTIFICACIÓN TRABAJADOR'!$X$46)/('IDENTIFICACIÓN TRABAJADOR'!$E$43-'IDENTIFICACIÓN TRABAJADOR'!$T$46-'IDENTIFICACIÓN TRABAJADOR'!$X$46),2)),MIN(AUXILIAR!$P$17,ROUND((AB89+AE89+AF89+AI89)*('IDENTIFICACIÓN TRABAJADOR'!$T$46+'IDENTIFICACIÓN TRABAJADOR'!$X$46)/('IDENTIFICACIÓN TRABAJADOR'!$E$43-'IDENTIFICACIÓN TRABAJADOR'!$T$46-'IDENTIFICACIÓN TRABAJADOR'!$X$46),2))))</f>
        <v>0</v>
      </c>
      <c r="AK89" s="433">
        <f>IF($AS$90=0,0,IF(AND($AS$92&gt;$AS$90,$AS$88=1100%),MIN(AUXILIAR!$P$17,ROUND($AS$90/$AS$92*(AB89+AE89+AF89+AI89)*(1+('IDENTIFICACIÓN TRABAJADOR'!$T$46+'IDENTIFICACIÓN TRABAJADOR'!$X$46)/('IDENTIFICACIÓN TRABAJADOR'!$E$43-'IDENTIFICACIÓN TRABAJADOR'!$T$46-'IDENTIFICACIÓN TRABAJADOR'!$X$46)),2)),MIN(AUXILIAR!$P$17,ROUND((AB89+AE89+AF89+AI89)*(1+('IDENTIFICACIÓN TRABAJADOR'!$T$46+'IDENTIFICACIÓN TRABAJADOR'!$X$46)/('IDENTIFICACIÓN TRABAJADOR'!$E$43-'IDENTIFICACIÓN TRABAJADOR'!$T$46-'IDENTIFICACIÓN TRABAJADOR'!$X$46)),2))))</f>
        <v>0</v>
      </c>
      <c r="AL89" s="570">
        <f t="shared" si="10"/>
        <v>0</v>
      </c>
      <c r="AM89" s="573">
        <f t="shared" si="11"/>
        <v>0</v>
      </c>
      <c r="AQ89" s="427" t="e">
        <f>ROUND(Y89*(AB89+AE89+AF89+AI89)*(1+('IDENTIFICACIÓN TRABAJADOR'!$T$46+'IDENTIFICACIÓN TRABAJADOR'!$X$46)/('IDENTIFICACIÓN TRABAJADOR'!$E$43-'IDENTIFICACIÓN TRABAJADOR'!$T$46-'IDENTIFICACIÓN TRABAJADOR'!$X$46)),2)</f>
        <v>#VALUE!</v>
      </c>
      <c r="AR89" s="305"/>
      <c r="AS89" s="84" t="s">
        <v>324</v>
      </c>
    </row>
    <row r="90" spans="2:45" ht="15" customHeight="1" x14ac:dyDescent="0.25">
      <c r="B90" s="428" t="s">
        <v>277</v>
      </c>
      <c r="C90" s="429">
        <f>IFERROR(IF(OR(DATE($B$81,MONTH(DATEVALUE(B90&amp;"1")),1)&lt;DATE(YEAR(EXPEDIENTE!$I$25),MONTH(EXPEDIENTE!$I$25),1),DATE($B$81,MONTH(DATEVALUE(B90&amp;"1")),1)&gt;DATE(YEAR(EXPEDIENTE!$I$27),MONTH(EXPEDIENTE!$I$27)+1,1)-1),0,ROUND('% DEDICACIÓN TRABAJADOR'!N45,4)),0)</f>
        <v>0</v>
      </c>
      <c r="D90" s="432">
        <f>'GASTOS EJER. 4'!F27+'GASTOS EJER. 4'!L27-'GASTOS EJER. 4'!X27-'GASTOS EJER. 4'!Y27</f>
        <v>0</v>
      </c>
      <c r="E90" s="189" t="str">
        <f>IF('GASTOS EJER. 4'!AA27="","",'GASTOS EJER. 4'!AA27)</f>
        <v/>
      </c>
      <c r="F90" s="431">
        <f>IF(E90&lt;=EXPEDIENTE!$I$29,D90,0)</f>
        <v>0</v>
      </c>
      <c r="G90" s="432">
        <f>'GASTOS EJER. 4'!Y27</f>
        <v>0</v>
      </c>
      <c r="H90" s="189" t="str">
        <f>IF('GASTOS EJER. 4'!AB27="","",'GASTOS EJER. 4'!AB27)</f>
        <v/>
      </c>
      <c r="I90" s="431">
        <f>IF(H90&lt;=EXPEDIENTE!$I$29,G90,0)</f>
        <v>0</v>
      </c>
      <c r="J90" s="433">
        <f>AUXILIAR!BX79</f>
        <v>0</v>
      </c>
      <c r="K90" s="432">
        <f>AUXILIAR!FU78</f>
        <v>0</v>
      </c>
      <c r="L90" s="189" t="str">
        <f>IF('GASTOS EJER. 4'!I59="","",'GASTOS EJER. 4'!I59)</f>
        <v/>
      </c>
      <c r="M90" s="431">
        <f>IF(L90&lt;=EXPEDIENTE!$I$29,K90,0)</f>
        <v>0</v>
      </c>
      <c r="N90" s="434">
        <f>IF($V$90=0,0,IF(AND($V$92&gt;$V$90,$V$88=1100%),MIN(AUXILIAR!$P$17,ROUND($V$90/$V$92*(F90+I90+J90+M90)*('IDENTIFICACIÓN TRABAJADOR'!$T$46+'IDENTIFICACIÓN TRABAJADOR'!$X$46)/('IDENTIFICACIÓN TRABAJADOR'!$E$43-'IDENTIFICACIÓN TRABAJADOR'!$T$46-'IDENTIFICACIÓN TRABAJADOR'!$X$46),2)),MIN(AUXILIAR!$P$17,ROUND((F90+I90+J90+M90)*('IDENTIFICACIÓN TRABAJADOR'!$T$46+'IDENTIFICACIÓN TRABAJADOR'!$X$46)/('IDENTIFICACIÓN TRABAJADOR'!$E$43-'IDENTIFICACIÓN TRABAJADOR'!$T$46-'IDENTIFICACIÓN TRABAJADOR'!$X$46),2))))</f>
        <v>0</v>
      </c>
      <c r="O90" s="433">
        <f>IF($V$90=0,0,IF(AND($V$92&gt;$V$90,$V$88=1100%),MIN(AUXILIAR!$P$17,ROUND($V$90/$V$92*(F90+I90+J90+M90)*(1+('IDENTIFICACIÓN TRABAJADOR'!$T$46+'IDENTIFICACIÓN TRABAJADOR'!$X$46)/('IDENTIFICACIÓN TRABAJADOR'!$E$43-'IDENTIFICACIÓN TRABAJADOR'!$T$46-'IDENTIFICACIÓN TRABAJADOR'!$X$46)),2)),MIN(AUXILIAR!$P$17,ROUND((F90+I90+J90+M90)*(1+('IDENTIFICACIÓN TRABAJADOR'!$T$46+'IDENTIFICACIÓN TRABAJADOR'!$X$46)/('IDENTIFICACIÓN TRABAJADOR'!$E$43-'IDENTIFICACIÓN TRABAJADOR'!$T$46-'IDENTIFICACIÓN TRABAJADOR'!$X$46)),2))))</f>
        <v>0</v>
      </c>
      <c r="P90" s="434">
        <f t="shared" si="9"/>
        <v>0</v>
      </c>
      <c r="T90" s="427" t="e">
        <f>ROUND(C90*(F90+I90+J90+M90)*(1+('IDENTIFICACIÓN TRABAJADOR'!$T$46+'IDENTIFICACIÓN TRABAJADOR'!$X$46)/('IDENTIFICACIÓN TRABAJADOR'!$E$43-'IDENTIFICACIÓN TRABAJADOR'!$T$46-'IDENTIFICACIÓN TRABAJADOR'!$X$46)),2)</f>
        <v>#VALUE!</v>
      </c>
      <c r="U90" s="305"/>
      <c r="V90" s="436">
        <f>SUM(F83:F94)+SUM(I83:I94)+SUM(J83:J94)+SUM(M83:M94)</f>
        <v>0</v>
      </c>
      <c r="X90" s="581" t="s">
        <v>277</v>
      </c>
      <c r="Y90" s="429">
        <f>IFERROR(IF(OR(DATE($B$81,MONTH(DATEVALUE(X90&amp;"1")),1)&lt;DATE(YEAR(EXPEDIENTE!$I$25),MONTH(EXPEDIENTE!$I$25),1),DATE($B$81,MONTH(DATEVALUE(X90&amp;"1")),1)&gt;DATE(YEAR(EXPEDIENTE!$I$27),MONTH(EXPEDIENTE!$I$27)+1,1)-1),0,ROUND('% DEDICACIÓN TRABAJADOR'!N45,4)),0)</f>
        <v>0</v>
      </c>
      <c r="Z90" s="432">
        <f>'GASTOS EJER. 4'!AW27+'GASTOS EJER. 4'!BM27-'GASTOS EJER. 4'!CM27-'GASTOS EJER. 4'!CP27</f>
        <v>0</v>
      </c>
      <c r="AA90" s="189" t="str">
        <f>IF('GASTOS EJER. 4'!CT27="","",'GASTOS EJER. 4'!CT27)</f>
        <v/>
      </c>
      <c r="AB90" s="431">
        <f>IF(AA90&lt;=EXPEDIENTE!$I$29,Z90,0)</f>
        <v>0</v>
      </c>
      <c r="AC90" s="432">
        <f>'GASTOS EJER. 4'!CP27</f>
        <v>0</v>
      </c>
      <c r="AD90" s="189" t="str">
        <f>IF('GASTOS EJER. 4'!CW27="","",'GASTOS EJER. 4'!CW27)</f>
        <v/>
      </c>
      <c r="AE90" s="431">
        <f>IF(AD90&lt;=EXPEDIENTE!$I$29,AC90,0)</f>
        <v>0</v>
      </c>
      <c r="AF90" s="433">
        <f>AUXILIAR!DQ79</f>
        <v>0</v>
      </c>
      <c r="AG90" s="432">
        <f>AUXILIAR!HZ78</f>
        <v>0</v>
      </c>
      <c r="AH90" s="189" t="str">
        <f>IF('GASTOS EJER. 4'!BF59="","",'GASTOS EJER. 4'!BF59)</f>
        <v/>
      </c>
      <c r="AI90" s="431">
        <f>IF(AH90&lt;=EXPEDIENTE!$I$29,AG90,0)</f>
        <v>0</v>
      </c>
      <c r="AJ90" s="434">
        <f>IF($AS$90=0,0,IF(AND($AS$92&gt;$AS$90,$AS$88=1100%),MIN(AUXILIAR!$P$17,ROUND($AS$90/$AS$92*(AB90+AE90+AF90+AI90)*('IDENTIFICACIÓN TRABAJADOR'!$T$46+'IDENTIFICACIÓN TRABAJADOR'!$X$46)/('IDENTIFICACIÓN TRABAJADOR'!$E$43-'IDENTIFICACIÓN TRABAJADOR'!$T$46-'IDENTIFICACIÓN TRABAJADOR'!$X$46),2)),MIN(AUXILIAR!$P$17,ROUND((AB90+AE90+AF90+AI90)*('IDENTIFICACIÓN TRABAJADOR'!$T$46+'IDENTIFICACIÓN TRABAJADOR'!$X$46)/('IDENTIFICACIÓN TRABAJADOR'!$E$43-'IDENTIFICACIÓN TRABAJADOR'!$T$46-'IDENTIFICACIÓN TRABAJADOR'!$X$46),2))))</f>
        <v>0</v>
      </c>
      <c r="AK90" s="433">
        <f>IF($AS$90=0,0,IF(AND($AS$92&gt;$AS$90,$AS$88=1100%),MIN(AUXILIAR!$P$17,ROUND($AS$90/$AS$92*(AB90+AE90+AF90+AI90)*(1+('IDENTIFICACIÓN TRABAJADOR'!$T$46+'IDENTIFICACIÓN TRABAJADOR'!$X$46)/('IDENTIFICACIÓN TRABAJADOR'!$E$43-'IDENTIFICACIÓN TRABAJADOR'!$T$46-'IDENTIFICACIÓN TRABAJADOR'!$X$46)),2)),MIN(AUXILIAR!$P$17,ROUND((AB90+AE90+AF90+AI90)*(1+('IDENTIFICACIÓN TRABAJADOR'!$T$46+'IDENTIFICACIÓN TRABAJADOR'!$X$46)/('IDENTIFICACIÓN TRABAJADOR'!$E$43-'IDENTIFICACIÓN TRABAJADOR'!$T$46-'IDENTIFICACIÓN TRABAJADOR'!$X$46)),2))))</f>
        <v>0</v>
      </c>
      <c r="AL90" s="570">
        <f t="shared" si="10"/>
        <v>0</v>
      </c>
      <c r="AM90" s="573">
        <f t="shared" si="11"/>
        <v>0</v>
      </c>
      <c r="AQ90" s="427" t="e">
        <f>ROUND(Y90*(AB90+AE90+AF90+AI90)*(1+('IDENTIFICACIÓN TRABAJADOR'!$T$46+'IDENTIFICACIÓN TRABAJADOR'!$X$46)/('IDENTIFICACIÓN TRABAJADOR'!$E$43-'IDENTIFICACIÓN TRABAJADOR'!$T$46-'IDENTIFICACIÓN TRABAJADOR'!$X$46)),2)</f>
        <v>#VALUE!</v>
      </c>
      <c r="AR90" s="305"/>
      <c r="AS90" s="436">
        <f>SUM(AB83:AB94)+SUM(AE83:AE94)+SUM(AF83:AF94)+SUM(AI83:AI94)</f>
        <v>0</v>
      </c>
    </row>
    <row r="91" spans="2:45" ht="15" customHeight="1" x14ac:dyDescent="0.25">
      <c r="B91" s="428" t="s">
        <v>278</v>
      </c>
      <c r="C91" s="429">
        <f>IFERROR(IF(OR(DATE($B$81,MONTH(DATEVALUE(B91&amp;"1")),1)&lt;DATE(YEAR(EXPEDIENTE!$I$25),MONTH(EXPEDIENTE!$I$25),1),DATE($B$81,MONTH(DATEVALUE(B91&amp;"1")),1)&gt;DATE(YEAR(EXPEDIENTE!$I$27),MONTH(EXPEDIENTE!$I$27)+1,1)-1),0,ROUND('% DEDICACIÓN TRABAJADOR'!O45,4)),0)</f>
        <v>0</v>
      </c>
      <c r="D91" s="432">
        <f>'GASTOS EJER. 4'!F28+'GASTOS EJER. 4'!L28-'GASTOS EJER. 4'!X28-'GASTOS EJER. 4'!Y28</f>
        <v>0</v>
      </c>
      <c r="E91" s="189" t="str">
        <f>IF('GASTOS EJER. 4'!AA28="","",'GASTOS EJER. 4'!AA28)</f>
        <v/>
      </c>
      <c r="F91" s="431">
        <f>IF(E91&lt;=EXPEDIENTE!$I$29,D91,0)</f>
        <v>0</v>
      </c>
      <c r="G91" s="432">
        <f>'GASTOS EJER. 4'!Y28</f>
        <v>0</v>
      </c>
      <c r="H91" s="189" t="str">
        <f>IF('GASTOS EJER. 4'!AB28="","",'GASTOS EJER. 4'!AB28)</f>
        <v/>
      </c>
      <c r="I91" s="431">
        <f>IF(H91&lt;=EXPEDIENTE!$I$29,G91,0)</f>
        <v>0</v>
      </c>
      <c r="J91" s="433">
        <f>AUXILIAR!BX80</f>
        <v>0</v>
      </c>
      <c r="K91" s="432">
        <f>AUXILIAR!FU79</f>
        <v>0</v>
      </c>
      <c r="L91" s="189" t="str">
        <f>IF('GASTOS EJER. 4'!I60="","",'GASTOS EJER. 4'!I60)</f>
        <v/>
      </c>
      <c r="M91" s="431">
        <f>IF(L91&lt;=EXPEDIENTE!$I$29,K91,0)</f>
        <v>0</v>
      </c>
      <c r="N91" s="434">
        <f>IF($V$90=0,0,IF(AND($V$92&gt;$V$90,$V$88=1100%),MIN(AUXILIAR!$P$17,ROUND($V$90/$V$92*(F91+I91+J91+M91)*('IDENTIFICACIÓN TRABAJADOR'!$T$46+'IDENTIFICACIÓN TRABAJADOR'!$X$46)/('IDENTIFICACIÓN TRABAJADOR'!$E$43-'IDENTIFICACIÓN TRABAJADOR'!$T$46-'IDENTIFICACIÓN TRABAJADOR'!$X$46),2)),MIN(AUXILIAR!$P$17,ROUND((F91+I91+J91+M91)*('IDENTIFICACIÓN TRABAJADOR'!$T$46+'IDENTIFICACIÓN TRABAJADOR'!$X$46)/('IDENTIFICACIÓN TRABAJADOR'!$E$43-'IDENTIFICACIÓN TRABAJADOR'!$T$46-'IDENTIFICACIÓN TRABAJADOR'!$X$46),2))))</f>
        <v>0</v>
      </c>
      <c r="O91" s="433">
        <f>IF($V$90=0,0,IF(AND($V$92&gt;$V$90,$V$88=1100%),MIN(AUXILIAR!$P$17,ROUND($V$90/$V$92*(F91+I91+J91+M91)*(1+('IDENTIFICACIÓN TRABAJADOR'!$T$46+'IDENTIFICACIÓN TRABAJADOR'!$X$46)/('IDENTIFICACIÓN TRABAJADOR'!$E$43-'IDENTIFICACIÓN TRABAJADOR'!$T$46-'IDENTIFICACIÓN TRABAJADOR'!$X$46)),2)),MIN(AUXILIAR!$P$17,ROUND((F91+I91+J91+M91)*(1+('IDENTIFICACIÓN TRABAJADOR'!$T$46+'IDENTIFICACIÓN TRABAJADOR'!$X$46)/('IDENTIFICACIÓN TRABAJADOR'!$E$43-'IDENTIFICACIÓN TRABAJADOR'!$T$46-'IDENTIFICACIÓN TRABAJADOR'!$X$46)),2))))</f>
        <v>0</v>
      </c>
      <c r="P91" s="434">
        <f t="shared" si="9"/>
        <v>0</v>
      </c>
      <c r="T91" s="427" t="e">
        <f>ROUND(C91*(F91+I91+J91+M91)*(1+('IDENTIFICACIÓN TRABAJADOR'!$T$46+'IDENTIFICACIÓN TRABAJADOR'!$X$46)/('IDENTIFICACIÓN TRABAJADOR'!$E$43-'IDENTIFICACIÓN TRABAJADOR'!$T$46-'IDENTIFICACIÓN TRABAJADOR'!$X$46)),2)</f>
        <v>#VALUE!</v>
      </c>
      <c r="U91" s="305"/>
      <c r="V91" s="84" t="s">
        <v>325</v>
      </c>
      <c r="X91" s="581" t="s">
        <v>278</v>
      </c>
      <c r="Y91" s="429">
        <f>IFERROR(IF(OR(DATE($B$81,MONTH(DATEVALUE(X91&amp;"1")),1)&lt;DATE(YEAR(EXPEDIENTE!$I$25),MONTH(EXPEDIENTE!$I$25),1),DATE($B$81,MONTH(DATEVALUE(X91&amp;"1")),1)&gt;DATE(YEAR(EXPEDIENTE!$I$27),MONTH(EXPEDIENTE!$I$27)+1,1)-1),0,ROUND('% DEDICACIÓN TRABAJADOR'!O45,4)),0)</f>
        <v>0</v>
      </c>
      <c r="Z91" s="432">
        <f>'GASTOS EJER. 4'!AW28+'GASTOS EJER. 4'!BM28-'GASTOS EJER. 4'!CM28-'GASTOS EJER. 4'!CP28</f>
        <v>0</v>
      </c>
      <c r="AA91" s="189" t="str">
        <f>IF('GASTOS EJER. 4'!CT28="","",'GASTOS EJER. 4'!CT28)</f>
        <v/>
      </c>
      <c r="AB91" s="431">
        <f>IF(AA91&lt;=EXPEDIENTE!$I$29,Z91,0)</f>
        <v>0</v>
      </c>
      <c r="AC91" s="432">
        <f>'GASTOS EJER. 4'!CP28</f>
        <v>0</v>
      </c>
      <c r="AD91" s="189" t="str">
        <f>IF('GASTOS EJER. 4'!CW28="","",'GASTOS EJER. 4'!CW28)</f>
        <v/>
      </c>
      <c r="AE91" s="431">
        <f>IF(AD91&lt;=EXPEDIENTE!$I$29,AC91,0)</f>
        <v>0</v>
      </c>
      <c r="AF91" s="433">
        <f>AUXILIAR!DQ80</f>
        <v>0</v>
      </c>
      <c r="AG91" s="432">
        <f>AUXILIAR!HZ79</f>
        <v>0</v>
      </c>
      <c r="AH91" s="189" t="str">
        <f>IF('GASTOS EJER. 4'!BF60="","",'GASTOS EJER. 4'!BF60)</f>
        <v/>
      </c>
      <c r="AI91" s="431">
        <f>IF(AH91&lt;=EXPEDIENTE!$I$29,AG91,0)</f>
        <v>0</v>
      </c>
      <c r="AJ91" s="434">
        <f>IF($AS$90=0,0,IF(AND($AS$92&gt;$AS$90,$AS$88=1100%),MIN(AUXILIAR!$P$17,ROUND($AS$90/$AS$92*(AB91+AE91+AF91+AI91)*('IDENTIFICACIÓN TRABAJADOR'!$T$46+'IDENTIFICACIÓN TRABAJADOR'!$X$46)/('IDENTIFICACIÓN TRABAJADOR'!$E$43-'IDENTIFICACIÓN TRABAJADOR'!$T$46-'IDENTIFICACIÓN TRABAJADOR'!$X$46),2)),MIN(AUXILIAR!$P$17,ROUND((AB91+AE91+AF91+AI91)*('IDENTIFICACIÓN TRABAJADOR'!$T$46+'IDENTIFICACIÓN TRABAJADOR'!$X$46)/('IDENTIFICACIÓN TRABAJADOR'!$E$43-'IDENTIFICACIÓN TRABAJADOR'!$T$46-'IDENTIFICACIÓN TRABAJADOR'!$X$46),2))))</f>
        <v>0</v>
      </c>
      <c r="AK91" s="433">
        <f>IF($AS$90=0,0,IF(AND($AS$92&gt;$AS$90,$AS$88=1100%),MIN(AUXILIAR!$P$17,ROUND($AS$90/$AS$92*(AB91+AE91+AF91+AI91)*(1+('IDENTIFICACIÓN TRABAJADOR'!$T$46+'IDENTIFICACIÓN TRABAJADOR'!$X$46)/('IDENTIFICACIÓN TRABAJADOR'!$E$43-'IDENTIFICACIÓN TRABAJADOR'!$T$46-'IDENTIFICACIÓN TRABAJADOR'!$X$46)),2)),MIN(AUXILIAR!$P$17,ROUND((AB91+AE91+AF91+AI91)*(1+('IDENTIFICACIÓN TRABAJADOR'!$T$46+'IDENTIFICACIÓN TRABAJADOR'!$X$46)/('IDENTIFICACIÓN TRABAJADOR'!$E$43-'IDENTIFICACIÓN TRABAJADOR'!$T$46-'IDENTIFICACIÓN TRABAJADOR'!$X$46)),2))))</f>
        <v>0</v>
      </c>
      <c r="AL91" s="570">
        <f t="shared" si="10"/>
        <v>0</v>
      </c>
      <c r="AM91" s="573">
        <f t="shared" si="11"/>
        <v>0</v>
      </c>
      <c r="AQ91" s="427" t="e">
        <f>ROUND(Y91*(AB91+AE91+AF91+AI91)*(1+('IDENTIFICACIÓN TRABAJADOR'!$T$46+'IDENTIFICACIÓN TRABAJADOR'!$X$46)/('IDENTIFICACIÓN TRABAJADOR'!$E$43-'IDENTIFICACIÓN TRABAJADOR'!$T$46-'IDENTIFICACIÓN TRABAJADOR'!$X$46)),2)</f>
        <v>#VALUE!</v>
      </c>
      <c r="AR91" s="305"/>
      <c r="AS91" s="84" t="s">
        <v>325</v>
      </c>
    </row>
    <row r="92" spans="2:45" ht="15" customHeight="1" x14ac:dyDescent="0.25">
      <c r="B92" s="428" t="s">
        <v>279</v>
      </c>
      <c r="C92" s="429">
        <f>IFERROR(IF(OR(DATE($B$81,MONTH(DATEVALUE(B92&amp;"1")),1)&lt;DATE(YEAR(EXPEDIENTE!$I$25),MONTH(EXPEDIENTE!$I$25),1),DATE($B$81,MONTH(DATEVALUE(B92&amp;"1")),1)&gt;DATE(YEAR(EXPEDIENTE!$I$27),MONTH(EXPEDIENTE!$I$27)+1,1)-1),0,ROUND('% DEDICACIÓN TRABAJADOR'!P45,4)),0)</f>
        <v>0</v>
      </c>
      <c r="D92" s="432">
        <f>'GASTOS EJER. 4'!F29+'GASTOS EJER. 4'!L29-'GASTOS EJER. 4'!X29-'GASTOS EJER. 4'!Y29</f>
        <v>0</v>
      </c>
      <c r="E92" s="189" t="str">
        <f>IF('GASTOS EJER. 4'!AA29="","",'GASTOS EJER. 4'!AA29)</f>
        <v/>
      </c>
      <c r="F92" s="431">
        <f>IF(E92&lt;=EXPEDIENTE!$I$29,D92,0)</f>
        <v>0</v>
      </c>
      <c r="G92" s="432">
        <f>'GASTOS EJER. 4'!Y29</f>
        <v>0</v>
      </c>
      <c r="H92" s="189" t="str">
        <f>IF('GASTOS EJER. 4'!AB29="","",'GASTOS EJER. 4'!AB29)</f>
        <v/>
      </c>
      <c r="I92" s="431">
        <f>IF(H92&lt;=EXPEDIENTE!$I$29,G92,0)</f>
        <v>0</v>
      </c>
      <c r="J92" s="433">
        <f>AUXILIAR!BX81</f>
        <v>0</v>
      </c>
      <c r="K92" s="432">
        <f>AUXILIAR!FU80</f>
        <v>0</v>
      </c>
      <c r="L92" s="189" t="str">
        <f>IF('GASTOS EJER. 4'!I61="","",'GASTOS EJER. 4'!I61)</f>
        <v/>
      </c>
      <c r="M92" s="431">
        <f>IF(L92&lt;=EXPEDIENTE!$I$29,K92,0)</f>
        <v>0</v>
      </c>
      <c r="N92" s="434">
        <f>IF($V$90=0,0,IF(AND($V$92&gt;$V$90,$V$88=1100%),MIN(AUXILIAR!$P$17,ROUND($V$90/$V$92*(F92+I92+J92+M92)*('IDENTIFICACIÓN TRABAJADOR'!$T$46+'IDENTIFICACIÓN TRABAJADOR'!$X$46)/('IDENTIFICACIÓN TRABAJADOR'!$E$43-'IDENTIFICACIÓN TRABAJADOR'!$T$46-'IDENTIFICACIÓN TRABAJADOR'!$X$46),2)),MIN(AUXILIAR!$P$17,ROUND((F92+I92+J92+M92)*('IDENTIFICACIÓN TRABAJADOR'!$T$46+'IDENTIFICACIÓN TRABAJADOR'!$X$46)/('IDENTIFICACIÓN TRABAJADOR'!$E$43-'IDENTIFICACIÓN TRABAJADOR'!$T$46-'IDENTIFICACIÓN TRABAJADOR'!$X$46),2))))</f>
        <v>0</v>
      </c>
      <c r="O92" s="433">
        <f>IF($V$90=0,0,IF(AND($V$92&gt;$V$90,$V$88=1100%),MIN(AUXILIAR!$P$17,ROUND($V$90/$V$92*(F92+I92+J92+M92)*(1+('IDENTIFICACIÓN TRABAJADOR'!$T$46+'IDENTIFICACIÓN TRABAJADOR'!$X$46)/('IDENTIFICACIÓN TRABAJADOR'!$E$43-'IDENTIFICACIÓN TRABAJADOR'!$T$46-'IDENTIFICACIÓN TRABAJADOR'!$X$46)),2)),MIN(AUXILIAR!$P$17,ROUND((F92+I92+J92+M92)*(1+('IDENTIFICACIÓN TRABAJADOR'!$T$46+'IDENTIFICACIÓN TRABAJADOR'!$X$46)/('IDENTIFICACIÓN TRABAJADOR'!$E$43-'IDENTIFICACIÓN TRABAJADOR'!$T$46-'IDENTIFICACIÓN TRABAJADOR'!$X$46)),2))))</f>
        <v>0</v>
      </c>
      <c r="P92" s="434">
        <f t="shared" si="9"/>
        <v>0</v>
      </c>
      <c r="T92" s="427" t="e">
        <f>ROUND(C92*(F92+I92+J92+M92)*(1+('IDENTIFICACIÓN TRABAJADOR'!$T$46+'IDENTIFICACIÓN TRABAJADOR'!$X$46)/('IDENTIFICACIÓN TRABAJADOR'!$E$43-'IDENTIFICACIÓN TRABAJADOR'!$T$46-'IDENTIFICACIÓN TRABAJADOR'!$X$46)),2)</f>
        <v>#VALUE!</v>
      </c>
      <c r="U92" s="305"/>
      <c r="V92" s="436" t="e">
        <f>SUM(T83:T94)</f>
        <v>#VALUE!</v>
      </c>
      <c r="X92" s="581" t="s">
        <v>279</v>
      </c>
      <c r="Y92" s="429">
        <f>IFERROR(IF(OR(DATE($B$81,MONTH(DATEVALUE(X92&amp;"1")),1)&lt;DATE(YEAR(EXPEDIENTE!$I$25),MONTH(EXPEDIENTE!$I$25),1),DATE($B$81,MONTH(DATEVALUE(X92&amp;"1")),1)&gt;DATE(YEAR(EXPEDIENTE!$I$27),MONTH(EXPEDIENTE!$I$27)+1,1)-1),0,ROUND('% DEDICACIÓN TRABAJADOR'!P45,4)),0)</f>
        <v>0</v>
      </c>
      <c r="Z92" s="432">
        <f>'GASTOS EJER. 4'!AW29+'GASTOS EJER. 4'!BM29-'GASTOS EJER. 4'!CM29-'GASTOS EJER. 4'!CP29</f>
        <v>0</v>
      </c>
      <c r="AA92" s="189" t="str">
        <f>IF('GASTOS EJER. 4'!CT29="","",'GASTOS EJER. 4'!CT29)</f>
        <v/>
      </c>
      <c r="AB92" s="431">
        <f>IF(AA92&lt;=EXPEDIENTE!$I$29,Z92,0)</f>
        <v>0</v>
      </c>
      <c r="AC92" s="432">
        <f>'GASTOS EJER. 4'!CP29</f>
        <v>0</v>
      </c>
      <c r="AD92" s="189" t="str">
        <f>IF('GASTOS EJER. 4'!CW29="","",'GASTOS EJER. 4'!CW29)</f>
        <v/>
      </c>
      <c r="AE92" s="431">
        <f>IF(AD92&lt;=EXPEDIENTE!$I$29,AC92,0)</f>
        <v>0</v>
      </c>
      <c r="AF92" s="433">
        <f>AUXILIAR!DQ81</f>
        <v>0</v>
      </c>
      <c r="AG92" s="432">
        <f>AUXILIAR!HZ80</f>
        <v>0</v>
      </c>
      <c r="AH92" s="189" t="str">
        <f>IF('GASTOS EJER. 4'!BF61="","",'GASTOS EJER. 4'!BF61)</f>
        <v/>
      </c>
      <c r="AI92" s="431">
        <f>IF(AH92&lt;=EXPEDIENTE!$I$29,AG92,0)</f>
        <v>0</v>
      </c>
      <c r="AJ92" s="434">
        <f>IF($AS$90=0,0,IF(AND($AS$92&gt;$AS$90,$AS$88=1100%),MIN(AUXILIAR!$P$17,ROUND($AS$90/$AS$92*(AB92+AE92+AF92+AI92)*('IDENTIFICACIÓN TRABAJADOR'!$T$46+'IDENTIFICACIÓN TRABAJADOR'!$X$46)/('IDENTIFICACIÓN TRABAJADOR'!$E$43-'IDENTIFICACIÓN TRABAJADOR'!$T$46-'IDENTIFICACIÓN TRABAJADOR'!$X$46),2)),MIN(AUXILIAR!$P$17,ROUND((AB92+AE92+AF92+AI92)*('IDENTIFICACIÓN TRABAJADOR'!$T$46+'IDENTIFICACIÓN TRABAJADOR'!$X$46)/('IDENTIFICACIÓN TRABAJADOR'!$E$43-'IDENTIFICACIÓN TRABAJADOR'!$T$46-'IDENTIFICACIÓN TRABAJADOR'!$X$46),2))))</f>
        <v>0</v>
      </c>
      <c r="AK92" s="433">
        <f>IF($AS$90=0,0,IF(AND($AS$92&gt;$AS$90,$AS$88=1100%),MIN(AUXILIAR!$P$17,ROUND($AS$90/$AS$92*(AB92+AE92+AF92+AI92)*(1+('IDENTIFICACIÓN TRABAJADOR'!$T$46+'IDENTIFICACIÓN TRABAJADOR'!$X$46)/('IDENTIFICACIÓN TRABAJADOR'!$E$43-'IDENTIFICACIÓN TRABAJADOR'!$T$46-'IDENTIFICACIÓN TRABAJADOR'!$X$46)),2)),MIN(AUXILIAR!$P$17,ROUND((AB92+AE92+AF92+AI92)*(1+('IDENTIFICACIÓN TRABAJADOR'!$T$46+'IDENTIFICACIÓN TRABAJADOR'!$X$46)/('IDENTIFICACIÓN TRABAJADOR'!$E$43-'IDENTIFICACIÓN TRABAJADOR'!$T$46-'IDENTIFICACIÓN TRABAJADOR'!$X$46)),2))))</f>
        <v>0</v>
      </c>
      <c r="AL92" s="570">
        <f t="shared" si="10"/>
        <v>0</v>
      </c>
      <c r="AM92" s="573">
        <f t="shared" si="11"/>
        <v>0</v>
      </c>
      <c r="AQ92" s="427" t="e">
        <f>ROUND(Y92*(AB92+AE92+AF92+AI92)*(1+('IDENTIFICACIÓN TRABAJADOR'!$T$46+'IDENTIFICACIÓN TRABAJADOR'!$X$46)/('IDENTIFICACIÓN TRABAJADOR'!$E$43-'IDENTIFICACIÓN TRABAJADOR'!$T$46-'IDENTIFICACIÓN TRABAJADOR'!$X$46)),2)</f>
        <v>#VALUE!</v>
      </c>
      <c r="AR92" s="305"/>
      <c r="AS92" s="436" t="e">
        <f>SUM(AQ83:AQ94)</f>
        <v>#VALUE!</v>
      </c>
    </row>
    <row r="93" spans="2:45" ht="15" customHeight="1" x14ac:dyDescent="0.25">
      <c r="B93" s="428" t="s">
        <v>280</v>
      </c>
      <c r="C93" s="429">
        <f>IFERROR(IF(OR(DATE($B$81,MONTH(DATEVALUE(B93&amp;"1")),1)&lt;DATE(YEAR(EXPEDIENTE!$I$25),MONTH(EXPEDIENTE!$I$25),1),DATE($B$81,MONTH(DATEVALUE(B93&amp;"1")),1)&gt;DATE(YEAR(EXPEDIENTE!$I$27),MONTH(EXPEDIENTE!$I$27)+1,1)-1),0,ROUND('% DEDICACIÓN TRABAJADOR'!Q45,4)),0)</f>
        <v>0</v>
      </c>
      <c r="D93" s="432">
        <f>'GASTOS EJER. 4'!F30+'GASTOS EJER. 4'!L30-'GASTOS EJER. 4'!X30-'GASTOS EJER. 4'!Y30</f>
        <v>0</v>
      </c>
      <c r="E93" s="189" t="str">
        <f>IF('GASTOS EJER. 4'!AA30="","",'GASTOS EJER. 4'!AA30)</f>
        <v/>
      </c>
      <c r="F93" s="431">
        <f>IF(E93&lt;=EXPEDIENTE!$I$29,D93,0)</f>
        <v>0</v>
      </c>
      <c r="G93" s="432">
        <f>'GASTOS EJER. 4'!Y30</f>
        <v>0</v>
      </c>
      <c r="H93" s="189" t="str">
        <f>IF('GASTOS EJER. 4'!AB30="","",'GASTOS EJER. 4'!AB30)</f>
        <v/>
      </c>
      <c r="I93" s="431">
        <f>IF(H93&lt;=EXPEDIENTE!$I$29,G93,0)</f>
        <v>0</v>
      </c>
      <c r="J93" s="433">
        <f>AUXILIAR!BX82</f>
        <v>0</v>
      </c>
      <c r="K93" s="432">
        <f>AUXILIAR!FU81</f>
        <v>0</v>
      </c>
      <c r="L93" s="189" t="str">
        <f>IF('GASTOS EJER. 4'!I62="","",'GASTOS EJER. 4'!I62)</f>
        <v/>
      </c>
      <c r="M93" s="431">
        <f>IF(L93&lt;=EXPEDIENTE!$I$29,K93,0)</f>
        <v>0</v>
      </c>
      <c r="N93" s="434">
        <f>IF($V$90=0,0,IF(AND($V$92&gt;$V$90,$V$88=1100%),MIN(AUXILIAR!$P$17,ROUND($V$90/$V$92*(F93+I93+J93+M93)*('IDENTIFICACIÓN TRABAJADOR'!$T$46+'IDENTIFICACIÓN TRABAJADOR'!$X$46)/('IDENTIFICACIÓN TRABAJADOR'!$E$43-'IDENTIFICACIÓN TRABAJADOR'!$T$46-'IDENTIFICACIÓN TRABAJADOR'!$X$46),2)),MIN(AUXILIAR!$P$17,ROUND((F93+I93+J93+M93)*('IDENTIFICACIÓN TRABAJADOR'!$T$46+'IDENTIFICACIÓN TRABAJADOR'!$X$46)/('IDENTIFICACIÓN TRABAJADOR'!$E$43-'IDENTIFICACIÓN TRABAJADOR'!$T$46-'IDENTIFICACIÓN TRABAJADOR'!$X$46),2))))</f>
        <v>0</v>
      </c>
      <c r="O93" s="433">
        <f>IF($V$90=0,0,IF(AND($V$92&gt;$V$90,$V$88=1100%),MIN(AUXILIAR!$P$17,ROUND($V$90/$V$92*(F93+I93+J93+M93)*(1+('IDENTIFICACIÓN TRABAJADOR'!$T$46+'IDENTIFICACIÓN TRABAJADOR'!$X$46)/('IDENTIFICACIÓN TRABAJADOR'!$E$43-'IDENTIFICACIÓN TRABAJADOR'!$T$46-'IDENTIFICACIÓN TRABAJADOR'!$X$46)),2)),MIN(AUXILIAR!$P$17,ROUND((F93+I93+J93+M93)*(1+('IDENTIFICACIÓN TRABAJADOR'!$T$46+'IDENTIFICACIÓN TRABAJADOR'!$X$46)/('IDENTIFICACIÓN TRABAJADOR'!$E$43-'IDENTIFICACIÓN TRABAJADOR'!$T$46-'IDENTIFICACIÓN TRABAJADOR'!$X$46)),2))))</f>
        <v>0</v>
      </c>
      <c r="P93" s="434">
        <f t="shared" si="9"/>
        <v>0</v>
      </c>
      <c r="T93" s="427" t="e">
        <f>ROUND(C93*(F93+I93+J93+M93)*(1+('IDENTIFICACIÓN TRABAJADOR'!$T$46+'IDENTIFICACIÓN TRABAJADOR'!$X$46)/('IDENTIFICACIÓN TRABAJADOR'!$E$43-'IDENTIFICACIÓN TRABAJADOR'!$T$46-'IDENTIFICACIÓN TRABAJADOR'!$X$46)),2)</f>
        <v>#VALUE!</v>
      </c>
      <c r="U93" s="305"/>
      <c r="V93" s="84" t="s">
        <v>326</v>
      </c>
      <c r="X93" s="581" t="s">
        <v>280</v>
      </c>
      <c r="Y93" s="429">
        <f>IFERROR(IF(OR(DATE($B$81,MONTH(DATEVALUE(X93&amp;"1")),1)&lt;DATE(YEAR(EXPEDIENTE!$I$25),MONTH(EXPEDIENTE!$I$25),1),DATE($B$81,MONTH(DATEVALUE(X93&amp;"1")),1)&gt;DATE(YEAR(EXPEDIENTE!$I$27),MONTH(EXPEDIENTE!$I$27)+1,1)-1),0,ROUND('% DEDICACIÓN TRABAJADOR'!Q45,4)),0)</f>
        <v>0</v>
      </c>
      <c r="Z93" s="432">
        <f>'GASTOS EJER. 4'!AW30+'GASTOS EJER. 4'!BM30-'GASTOS EJER. 4'!CM30-'GASTOS EJER. 4'!CP30</f>
        <v>0</v>
      </c>
      <c r="AA93" s="189" t="str">
        <f>IF('GASTOS EJER. 4'!CT30="","",'GASTOS EJER. 4'!CT30)</f>
        <v/>
      </c>
      <c r="AB93" s="431">
        <f>IF(AA93&lt;=EXPEDIENTE!$I$29,Z93,0)</f>
        <v>0</v>
      </c>
      <c r="AC93" s="432">
        <f>'GASTOS EJER. 4'!CP30</f>
        <v>0</v>
      </c>
      <c r="AD93" s="189" t="str">
        <f>IF('GASTOS EJER. 4'!CW30="","",'GASTOS EJER. 4'!CW30)</f>
        <v/>
      </c>
      <c r="AE93" s="431">
        <f>IF(AD93&lt;=EXPEDIENTE!$I$29,AC93,0)</f>
        <v>0</v>
      </c>
      <c r="AF93" s="433">
        <f>AUXILIAR!DQ82</f>
        <v>0</v>
      </c>
      <c r="AG93" s="432">
        <f>AUXILIAR!HZ81</f>
        <v>0</v>
      </c>
      <c r="AH93" s="189" t="str">
        <f>IF('GASTOS EJER. 4'!BF62="","",'GASTOS EJER. 4'!BF62)</f>
        <v/>
      </c>
      <c r="AI93" s="431">
        <f>IF(AH93&lt;=EXPEDIENTE!$I$29,AG93,0)</f>
        <v>0</v>
      </c>
      <c r="AJ93" s="434">
        <f>IF($AS$90=0,0,IF(AND($AS$92&gt;$AS$90,$AS$88=1100%),MIN(AUXILIAR!$P$17,ROUND($AS$90/$AS$92*(AB93+AE93+AF93+AI93)*('IDENTIFICACIÓN TRABAJADOR'!$T$46+'IDENTIFICACIÓN TRABAJADOR'!$X$46)/('IDENTIFICACIÓN TRABAJADOR'!$E$43-'IDENTIFICACIÓN TRABAJADOR'!$T$46-'IDENTIFICACIÓN TRABAJADOR'!$X$46),2)),MIN(AUXILIAR!$P$17,ROUND((AB93+AE93+AF93+AI93)*('IDENTIFICACIÓN TRABAJADOR'!$T$46+'IDENTIFICACIÓN TRABAJADOR'!$X$46)/('IDENTIFICACIÓN TRABAJADOR'!$E$43-'IDENTIFICACIÓN TRABAJADOR'!$T$46-'IDENTIFICACIÓN TRABAJADOR'!$X$46),2))))</f>
        <v>0</v>
      </c>
      <c r="AK93" s="433">
        <f>IF($AS$90=0,0,IF(AND($AS$92&gt;$AS$90,$AS$88=1100%),MIN(AUXILIAR!$P$17,ROUND($AS$90/$AS$92*(AB93+AE93+AF93+AI93)*(1+('IDENTIFICACIÓN TRABAJADOR'!$T$46+'IDENTIFICACIÓN TRABAJADOR'!$X$46)/('IDENTIFICACIÓN TRABAJADOR'!$E$43-'IDENTIFICACIÓN TRABAJADOR'!$T$46-'IDENTIFICACIÓN TRABAJADOR'!$X$46)),2)),MIN(AUXILIAR!$P$17,ROUND((AB93+AE93+AF93+AI93)*(1+('IDENTIFICACIÓN TRABAJADOR'!$T$46+'IDENTIFICACIÓN TRABAJADOR'!$X$46)/('IDENTIFICACIÓN TRABAJADOR'!$E$43-'IDENTIFICACIÓN TRABAJADOR'!$T$46-'IDENTIFICACIÓN TRABAJADOR'!$X$46)),2))))</f>
        <v>0</v>
      </c>
      <c r="AL93" s="570">
        <f t="shared" si="10"/>
        <v>0</v>
      </c>
      <c r="AM93" s="573">
        <f t="shared" si="11"/>
        <v>0</v>
      </c>
      <c r="AQ93" s="427" t="e">
        <f>ROUND(Y93*(AB93+AE93+AF93+AI93)*(1+('IDENTIFICACIÓN TRABAJADOR'!$T$46+'IDENTIFICACIÓN TRABAJADOR'!$X$46)/('IDENTIFICACIÓN TRABAJADOR'!$E$43-'IDENTIFICACIÓN TRABAJADOR'!$T$46-'IDENTIFICACIÓN TRABAJADOR'!$X$46)),2)</f>
        <v>#VALUE!</v>
      </c>
      <c r="AR93" s="305"/>
      <c r="AS93" s="84" t="s">
        <v>326</v>
      </c>
    </row>
    <row r="94" spans="2:45" ht="15" customHeight="1" thickBot="1" x14ac:dyDescent="0.3">
      <c r="B94" s="437" t="s">
        <v>281</v>
      </c>
      <c r="C94" s="438">
        <f>IFERROR(IF(OR(DATE($B$81,MONTH(DATEVALUE(B94&amp;"1")),1)&lt;DATE(YEAR(EXPEDIENTE!$I$25),MONTH(EXPEDIENTE!$I$25),1),DATE($B$81,MONTH(DATEVALUE(B94&amp;"1")),1)&gt;DATE(YEAR(EXPEDIENTE!$I$27),MONTH(EXPEDIENTE!$I$27)+1,1)-1),0,ROUND('% DEDICACIÓN TRABAJADOR'!R45,4)),0)</f>
        <v>0</v>
      </c>
      <c r="D94" s="441">
        <f>'GASTOS EJER. 4'!F31+'GASTOS EJER. 4'!L31-'GASTOS EJER. 4'!X31-'GASTOS EJER. 4'!Y31</f>
        <v>0</v>
      </c>
      <c r="E94" s="237" t="str">
        <f>IF('GASTOS EJER. 4'!AA31="","",'GASTOS EJER. 4'!AA31)</f>
        <v/>
      </c>
      <c r="F94" s="440">
        <f>IF(E94&lt;=EXPEDIENTE!$I$29,D94,0)</f>
        <v>0</v>
      </c>
      <c r="G94" s="441">
        <f>'GASTOS EJER. 4'!Y31</f>
        <v>0</v>
      </c>
      <c r="H94" s="237" t="str">
        <f>IF('GASTOS EJER. 4'!AB31="","",'GASTOS EJER. 4'!AB31)</f>
        <v/>
      </c>
      <c r="I94" s="440">
        <f>IF(H94&lt;=EXPEDIENTE!$I$29,G94,0)</f>
        <v>0</v>
      </c>
      <c r="J94" s="442">
        <f>AUXILIAR!BX83</f>
        <v>0</v>
      </c>
      <c r="K94" s="441">
        <f>AUXILIAR!FU82</f>
        <v>0</v>
      </c>
      <c r="L94" s="237" t="str">
        <f>IF('GASTOS EJER. 4'!I63="","",'GASTOS EJER. 4'!I63)</f>
        <v/>
      </c>
      <c r="M94" s="440">
        <f>IF(L94&lt;=EXPEDIENTE!$I$29,K94,0)</f>
        <v>0</v>
      </c>
      <c r="N94" s="443">
        <f>IF($V$90=0,0,IF(AND($V$92&gt;$V$90,$V$88=1100%),MIN(AUXILIAR!$P$17,ROUND($V$90/$V$92*(F94+I94+J94+M94)*('IDENTIFICACIÓN TRABAJADOR'!$T$46+'IDENTIFICACIÓN TRABAJADOR'!$X$46)/('IDENTIFICACIÓN TRABAJADOR'!$E$43-'IDENTIFICACIÓN TRABAJADOR'!$T$46-'IDENTIFICACIÓN TRABAJADOR'!$X$46),2)),MIN(AUXILIAR!$P$17,ROUND((F94+I94+J94+M94)*('IDENTIFICACIÓN TRABAJADOR'!$T$46+'IDENTIFICACIÓN TRABAJADOR'!$X$46)/('IDENTIFICACIÓN TRABAJADOR'!$E$43-'IDENTIFICACIÓN TRABAJADOR'!$T$46-'IDENTIFICACIÓN TRABAJADOR'!$X$46),2))))</f>
        <v>0</v>
      </c>
      <c r="O94" s="442">
        <f>IF($V$90=0,0,IF(AND($V$92&gt;$V$90,$V$88=1100%),MIN(AUXILIAR!$P$17,ROUND($V$90/$V$92*(F94+I94+J94+M94)*(1+('IDENTIFICACIÓN TRABAJADOR'!$T$46+'IDENTIFICACIÓN TRABAJADOR'!$X$46)/('IDENTIFICACIÓN TRABAJADOR'!$E$43-'IDENTIFICACIÓN TRABAJADOR'!$T$46-'IDENTIFICACIÓN TRABAJADOR'!$X$46)),2)),MIN(AUXILIAR!$P$17,ROUND((F94+I94+J94+M94)*(1+('IDENTIFICACIÓN TRABAJADOR'!$T$46+'IDENTIFICACIÓN TRABAJADOR'!$X$46)/('IDENTIFICACIÓN TRABAJADOR'!$E$43-'IDENTIFICACIÓN TRABAJADOR'!$T$46-'IDENTIFICACIÓN TRABAJADOR'!$X$46)),2))))</f>
        <v>0</v>
      </c>
      <c r="P94" s="443">
        <f t="shared" si="9"/>
        <v>0</v>
      </c>
      <c r="T94" s="427" t="e">
        <f>ROUND(C94*(F94+I94+J94+M94)*(1+('IDENTIFICACIÓN TRABAJADOR'!$T$46+'IDENTIFICACIÓN TRABAJADOR'!$X$46)/('IDENTIFICACIÓN TRABAJADOR'!$E$43-'IDENTIFICACIÓN TRABAJADOR'!$T$46-'IDENTIFICACIÓN TRABAJADOR'!$X$46)),2)</f>
        <v>#VALUE!</v>
      </c>
      <c r="U94" s="305"/>
      <c r="V94" s="84" t="e">
        <f>IF(V92=0,"",V90/V92)</f>
        <v>#VALUE!</v>
      </c>
      <c r="X94" s="582" t="s">
        <v>281</v>
      </c>
      <c r="Y94" s="438">
        <f>IFERROR(IF(OR(DATE($B$81,MONTH(DATEVALUE(X94&amp;"1")),1)&lt;DATE(YEAR(EXPEDIENTE!$I$25),MONTH(EXPEDIENTE!$I$25),1),DATE($B$81,MONTH(DATEVALUE(X94&amp;"1")),1)&gt;DATE(YEAR(EXPEDIENTE!$I$27),MONTH(EXPEDIENTE!$I$27)+1,1)-1),0,ROUND('% DEDICACIÓN TRABAJADOR'!R45,4)),0)</f>
        <v>0</v>
      </c>
      <c r="Z94" s="441">
        <f>'GASTOS EJER. 4'!AW31+'GASTOS EJER. 4'!BM31-'GASTOS EJER. 4'!CM31-'GASTOS EJER. 4'!CP31</f>
        <v>0</v>
      </c>
      <c r="AA94" s="237" t="str">
        <f>IF('GASTOS EJER. 4'!CT31="","",'GASTOS EJER. 4'!CT31)</f>
        <v/>
      </c>
      <c r="AB94" s="440">
        <f>IF(AA94&lt;=EXPEDIENTE!$I$29,Z94,0)</f>
        <v>0</v>
      </c>
      <c r="AC94" s="441">
        <f>'GASTOS EJER. 4'!CP31</f>
        <v>0</v>
      </c>
      <c r="AD94" s="237" t="str">
        <f>IF('GASTOS EJER. 4'!CW31="","",'GASTOS EJER. 4'!CW31)</f>
        <v/>
      </c>
      <c r="AE94" s="440">
        <f>IF(AD94&lt;=EXPEDIENTE!$I$29,AC94,0)</f>
        <v>0</v>
      </c>
      <c r="AF94" s="442">
        <f>AUXILIAR!DQ83</f>
        <v>0</v>
      </c>
      <c r="AG94" s="441">
        <f>AUXILIAR!HZ82</f>
        <v>0</v>
      </c>
      <c r="AH94" s="237" t="str">
        <f>IF('GASTOS EJER. 4'!BF63="","",'GASTOS EJER. 4'!BF63)</f>
        <v/>
      </c>
      <c r="AI94" s="440">
        <f>IF(AH94&lt;=EXPEDIENTE!$I$29,AG94,0)</f>
        <v>0</v>
      </c>
      <c r="AJ94" s="443">
        <f>IF($AS$90=0,0,IF(AND($AS$92&gt;$AS$90,$AS$88=1100%),MIN(AUXILIAR!$P$17,ROUND($AS$90/$AS$92*(AB94+AE94+AF94+AI94)*('IDENTIFICACIÓN TRABAJADOR'!$T$46+'IDENTIFICACIÓN TRABAJADOR'!$X$46)/('IDENTIFICACIÓN TRABAJADOR'!$E$43-'IDENTIFICACIÓN TRABAJADOR'!$T$46-'IDENTIFICACIÓN TRABAJADOR'!$X$46),2)),MIN(AUXILIAR!$P$17,ROUND((AB94+AE94+AF94+AI94)*('IDENTIFICACIÓN TRABAJADOR'!$T$46+'IDENTIFICACIÓN TRABAJADOR'!$X$46)/('IDENTIFICACIÓN TRABAJADOR'!$E$43-'IDENTIFICACIÓN TRABAJADOR'!$T$46-'IDENTIFICACIÓN TRABAJADOR'!$X$46),2))))</f>
        <v>0</v>
      </c>
      <c r="AK94" s="442">
        <f>IF($AS$90=0,0,IF(AND($AS$92&gt;$AS$90,$AS$88=1100%),MIN(AUXILIAR!$P$17,ROUND($AS$90/$AS$92*(AB94+AE94+AF94+AI94)*(1+('IDENTIFICACIÓN TRABAJADOR'!$T$46+'IDENTIFICACIÓN TRABAJADOR'!$X$46)/('IDENTIFICACIÓN TRABAJADOR'!$E$43-'IDENTIFICACIÓN TRABAJADOR'!$T$46-'IDENTIFICACIÓN TRABAJADOR'!$X$46)),2)),MIN(AUXILIAR!$P$17,ROUND((AB94+AE94+AF94+AI94)*(1+('IDENTIFICACIÓN TRABAJADOR'!$T$46+'IDENTIFICACIÓN TRABAJADOR'!$X$46)/('IDENTIFICACIÓN TRABAJADOR'!$E$43-'IDENTIFICACIÓN TRABAJADOR'!$T$46-'IDENTIFICACIÓN TRABAJADOR'!$X$46)),2))))</f>
        <v>0</v>
      </c>
      <c r="AL94" s="571">
        <f t="shared" si="10"/>
        <v>0</v>
      </c>
      <c r="AM94" s="574">
        <f t="shared" si="11"/>
        <v>0</v>
      </c>
      <c r="AQ94" s="427" t="e">
        <f>ROUND(Y94*(AB94+AE94+AF94+AI94)*(1+('IDENTIFICACIÓN TRABAJADOR'!$T$46+'IDENTIFICACIÓN TRABAJADOR'!$X$46)/('IDENTIFICACIÓN TRABAJADOR'!$E$43-'IDENTIFICACIÓN TRABAJADOR'!$T$46-'IDENTIFICACIÓN TRABAJADOR'!$X$46)),2)</f>
        <v>#VALUE!</v>
      </c>
      <c r="AR94" s="305"/>
      <c r="AS94" s="84" t="e">
        <f>IF(AS92=0,"",AS90/AS92)</f>
        <v>#VALUE!</v>
      </c>
    </row>
    <row r="95" spans="2:45" ht="15.75" thickBot="1" x14ac:dyDescent="0.3">
      <c r="M95" s="444"/>
      <c r="N95" s="444"/>
      <c r="O95" s="444"/>
      <c r="P95" s="444"/>
      <c r="U95" s="412"/>
      <c r="V95" s="84" t="s">
        <v>327</v>
      </c>
      <c r="AI95" s="444"/>
      <c r="AJ95" s="444"/>
      <c r="AK95" s="444"/>
      <c r="AL95" s="444"/>
      <c r="AM95" s="444"/>
      <c r="AR95" s="412"/>
      <c r="AS95" s="84" t="s">
        <v>327</v>
      </c>
    </row>
    <row r="96" spans="2:45" ht="20.100000000000001" customHeight="1" thickBot="1" x14ac:dyDescent="0.3">
      <c r="G96" s="445"/>
      <c r="M96" s="446"/>
      <c r="N96" s="447"/>
      <c r="O96" s="448" t="str">
        <f>CONCATENATE("TOTAL EJERCICIO ",B81)</f>
        <v>TOTAL EJERCICIO 2028</v>
      </c>
      <c r="P96" s="449">
        <f>SUM(P83:P94)</f>
        <v>0</v>
      </c>
      <c r="R96" s="82" t="str">
        <f>IF(V96&gt;0,"EXISTE ALGÚN % DE DEDICACIÓN SUPERIOR AL 100% EN ESTE EJERCICIO","")</f>
        <v/>
      </c>
      <c r="U96" s="412"/>
      <c r="V96" s="84">
        <f>'% DEDICACIÓN TRABAJADOR'!$B$45</f>
        <v>0</v>
      </c>
      <c r="AC96" s="445"/>
      <c r="AI96" s="446"/>
      <c r="AJ96" s="447"/>
      <c r="AK96" s="448" t="str">
        <f>CONCATENATE("TOTAL EJERCICIO ",X81)</f>
        <v>TOTAL EJERCICIO 2028</v>
      </c>
      <c r="AL96" s="576">
        <f>SUM(AL83:AL94)</f>
        <v>0</v>
      </c>
      <c r="AM96" s="577">
        <f>SUM(AM83:AM94)</f>
        <v>0</v>
      </c>
      <c r="AO96" s="82" t="str">
        <f>IF(AS96&gt;0,"EXISTE ALGÚN % DE DEDICACIÓN SUPERIOR AL 100% EN ESTE EJERCICIO","")</f>
        <v/>
      </c>
      <c r="AR96" s="412"/>
      <c r="AS96" s="84">
        <f>'% DEDICACIÓN TRABAJADOR'!$B$45</f>
        <v>0</v>
      </c>
    </row>
  </sheetData>
  <sheetProtection algorithmName="SHA-512" hashValue="Af18Xp4yZNIY+zjRADKY55vxB/dNe7v4qECkP+KIAtOLjp5Yl3OKkhRIqY2yKF/j4WhWUOd05Ltb0EAFQzCMNw==" saltValue="j4REs4ZNzI6b97CVvFlWMQ==" spinCount="100000" sheet="1" objects="1" scenarios="1"/>
  <mergeCells count="76">
    <mergeCell ref="AM9:AM10"/>
    <mergeCell ref="AM33:AM34"/>
    <mergeCell ref="AM57:AM58"/>
    <mergeCell ref="AM81:AM82"/>
    <mergeCell ref="AK57:AK58"/>
    <mergeCell ref="AL57:AL58"/>
    <mergeCell ref="AK81:AK82"/>
    <mergeCell ref="AL81:AL82"/>
    <mergeCell ref="AK9:AK10"/>
    <mergeCell ref="AL9:AL10"/>
    <mergeCell ref="AJ33:AJ34"/>
    <mergeCell ref="AJ57:AJ58"/>
    <mergeCell ref="AJ81:AJ82"/>
    <mergeCell ref="AQ31:AQ33"/>
    <mergeCell ref="AQ55:AQ57"/>
    <mergeCell ref="AQ79:AQ81"/>
    <mergeCell ref="AK33:AK34"/>
    <mergeCell ref="AL33:AL34"/>
    <mergeCell ref="T79:T81"/>
    <mergeCell ref="O33:O34"/>
    <mergeCell ref="P33:P34"/>
    <mergeCell ref="N33:N34"/>
    <mergeCell ref="P9:P10"/>
    <mergeCell ref="O9:O10"/>
    <mergeCell ref="N9:N10"/>
    <mergeCell ref="O81:O82"/>
    <mergeCell ref="P81:P82"/>
    <mergeCell ref="N57:N58"/>
    <mergeCell ref="N81:N82"/>
    <mergeCell ref="X81:X82"/>
    <mergeCell ref="Y81:Y82"/>
    <mergeCell ref="Z81:AB81"/>
    <mergeCell ref="AC81:AE81"/>
    <mergeCell ref="AG81:AI81"/>
    <mergeCell ref="X57:X58"/>
    <mergeCell ref="Y57:Y58"/>
    <mergeCell ref="Z57:AB57"/>
    <mergeCell ref="AC57:AE57"/>
    <mergeCell ref="AG57:AI57"/>
    <mergeCell ref="X33:X34"/>
    <mergeCell ref="Y33:Y34"/>
    <mergeCell ref="Z33:AB33"/>
    <mergeCell ref="G9:I9"/>
    <mergeCell ref="B9:B10"/>
    <mergeCell ref="C9:C10"/>
    <mergeCell ref="D9:F9"/>
    <mergeCell ref="B33:B34"/>
    <mergeCell ref="C33:C34"/>
    <mergeCell ref="D33:F33"/>
    <mergeCell ref="G33:I33"/>
    <mergeCell ref="B57:B58"/>
    <mergeCell ref="C57:C58"/>
    <mergeCell ref="D57:F57"/>
    <mergeCell ref="G57:I57"/>
    <mergeCell ref="K57:M57"/>
    <mergeCell ref="B81:B82"/>
    <mergeCell ref="C81:C82"/>
    <mergeCell ref="D81:F81"/>
    <mergeCell ref="G81:I81"/>
    <mergeCell ref="K81:M81"/>
    <mergeCell ref="K2:N4"/>
    <mergeCell ref="AJ9:AJ10"/>
    <mergeCell ref="AJ24:AK24"/>
    <mergeCell ref="O57:O58"/>
    <mergeCell ref="P57:P58"/>
    <mergeCell ref="K9:M9"/>
    <mergeCell ref="K33:M33"/>
    <mergeCell ref="AC33:AE33"/>
    <mergeCell ref="AG33:AI33"/>
    <mergeCell ref="X9:X10"/>
    <mergeCell ref="Y9:Y10"/>
    <mergeCell ref="Z9:AB9"/>
    <mergeCell ref="AC9:AE9"/>
    <mergeCell ref="AG9:AI9"/>
    <mergeCell ref="T31:T33"/>
    <mergeCell ref="T55:T57"/>
  </mergeCells>
  <conditionalFormatting sqref="A9:XFD96">
    <cfRule type="expression" dxfId="35" priority="1" stopIfTrue="1">
      <formula>$A$1=1</formula>
    </cfRule>
  </conditionalFormatting>
  <conditionalFormatting sqref="D11:O22">
    <cfRule type="expression" dxfId="31" priority="13">
      <formula>$C11=0</formula>
    </cfRule>
  </conditionalFormatting>
  <conditionalFormatting sqref="D35:O46">
    <cfRule type="expression" dxfId="30" priority="15">
      <formula>$C35=0</formula>
    </cfRule>
  </conditionalFormatting>
  <conditionalFormatting sqref="D59:O70">
    <cfRule type="expression" dxfId="29" priority="16">
      <formula>$C59=0</formula>
    </cfRule>
  </conditionalFormatting>
  <conditionalFormatting sqref="D83:O94">
    <cfRule type="expression" dxfId="28" priority="17">
      <formula>$C83=0</formula>
    </cfRule>
  </conditionalFormatting>
  <conditionalFormatting sqref="K2">
    <cfRule type="expression" dxfId="27" priority="2" stopIfTrue="1">
      <formula>$A$1&gt;0</formula>
    </cfRule>
  </conditionalFormatting>
  <conditionalFormatting sqref="R96 R72 R48 R24">
    <cfRule type="cellIs" dxfId="26" priority="32" operator="notEqual">
      <formula>""</formula>
    </cfRule>
  </conditionalFormatting>
  <conditionalFormatting sqref="Z11:AK22">
    <cfRule type="expression" dxfId="24" priority="18">
      <formula>$C11=0</formula>
    </cfRule>
  </conditionalFormatting>
  <conditionalFormatting sqref="Z35:AK46">
    <cfRule type="expression" dxfId="23" priority="19">
      <formula>$C35=0</formula>
    </cfRule>
  </conditionalFormatting>
  <conditionalFormatting sqref="Z59:AK70">
    <cfRule type="expression" dxfId="22" priority="30">
      <formula>$C59=0</formula>
    </cfRule>
  </conditionalFormatting>
  <conditionalFormatting sqref="Z83:AK94">
    <cfRule type="expression" dxfId="21" priority="31">
      <formula>$C83=0</formula>
    </cfRule>
  </conditionalFormatting>
  <conditionalFormatting sqref="AL24:AM24">
    <cfRule type="expression" dxfId="20" priority="8">
      <formula>$V24&gt;0</formula>
    </cfRule>
  </conditionalFormatting>
  <conditionalFormatting sqref="AL48:AM48">
    <cfRule type="expression" dxfId="19" priority="6">
      <formula>$V48&gt;0</formula>
    </cfRule>
  </conditionalFormatting>
  <conditionalFormatting sqref="AL72:AM72">
    <cfRule type="expression" dxfId="18" priority="5">
      <formula>$V72&gt;0</formula>
    </cfRule>
  </conditionalFormatting>
  <conditionalFormatting sqref="AL96:AM96">
    <cfRule type="expression" dxfId="17" priority="4">
      <formula>$V96&gt;0</formula>
    </cfRule>
  </conditionalFormatting>
  <conditionalFormatting sqref="AO96 AO72 AO48 AO24">
    <cfRule type="cellIs" dxfId="16" priority="36" operator="notEqual">
      <formula>""</formula>
    </cfRule>
  </conditionalFormatting>
  <printOptions horizontalCentered="1"/>
  <pageMargins left="0.39370078740157483" right="0.39370078740157483" top="0.59055118110236227" bottom="0.39370078740157483" header="0.19685039370078741" footer="0.19685039370078741"/>
  <pageSetup paperSize="9" scale="63" orientation="landscape" r:id="rId1"/>
  <headerFooter>
    <oddFooter>&amp;L&amp;"Nunito Sans,Normal"&amp;8MOD60&amp;C&amp;"Nunito Sans,Normal"&amp;8&amp;A&amp;R&amp;"Nunito Sans,Normal"&amp;8&amp;P de &amp;N</oddFooter>
  </headerFooter>
  <rowBreaks count="3" manualBreakCount="3">
    <brk id="24" max="15" man="1"/>
    <brk id="48" max="15" man="1"/>
    <brk id="72" max="15" man="1"/>
  </rowBreaks>
  <drawing r:id="rId2"/>
  <extLst>
    <ext xmlns:x14="http://schemas.microsoft.com/office/spreadsheetml/2009/9/main" uri="{78C0D931-6437-407d-A8EE-F0AAD7539E65}">
      <x14:conditionalFormattings>
        <x14:conditionalFormatting xmlns:xm="http://schemas.microsoft.com/office/excel/2006/main">
          <x14:cfRule type="expression" priority="9" stopIfTrue="1" id="{C6C860DA-8976-4E28-B511-D1E9239EB88F}">
            <xm:f>OR(EXPEDIENTE!$I$25="",EXPEDIENTE!$I$27="",AND(EXPEDIENTE!$I$25&lt;&gt;"",EXPEDIENTE!$I$27&lt;&gt;"",YEAR(EXPEDIENTE!$I$27)&lt;YEAR(EXPEDIENTE!$I$25)+1))</xm:f>
            <x14:dxf>
              <font>
                <color theme="0"/>
              </font>
              <fill>
                <patternFill>
                  <bgColor theme="0"/>
                </patternFill>
              </fill>
              <border>
                <left/>
                <right/>
                <top/>
                <bottom/>
              </border>
            </x14:dxf>
          </x14:cfRule>
          <xm:sqref>A26:XFD96</xm:sqref>
        </x14:conditionalFormatting>
        <x14:conditionalFormatting xmlns:xm="http://schemas.microsoft.com/office/excel/2006/main">
          <x14:cfRule type="expression" priority="10" stopIfTrue="1" id="{A904B5FD-63EF-40A8-AD69-EB50B8A7F5DA}">
            <xm:f>OR(EXPEDIENTE!$I$25="",EXPEDIENTE!$I$27="",AND(EXPEDIENTE!$I$25&lt;&gt;"",EXPEDIENTE!$I$27&lt;&gt;"",YEAR(EXPEDIENTE!$I$27)&lt;YEAR(EXPEDIENTE!$I$25)+2))</xm:f>
            <x14:dxf>
              <font>
                <color theme="0"/>
              </font>
              <fill>
                <patternFill>
                  <bgColor theme="0"/>
                </patternFill>
              </fill>
              <border>
                <left/>
                <right/>
                <top/>
                <bottom/>
              </border>
            </x14:dxf>
          </x14:cfRule>
          <xm:sqref>A50:XFD96</xm:sqref>
        </x14:conditionalFormatting>
        <x14:conditionalFormatting xmlns:xm="http://schemas.microsoft.com/office/excel/2006/main">
          <x14:cfRule type="expression" priority="12" stopIfTrue="1" id="{DC40AE50-4EF5-4F8D-8AEF-6D0BED3112E9}">
            <xm:f>OR(EXPEDIENTE!$I$25="",EXPEDIENTE!$I$27="",AND(EXPEDIENTE!$I$25&lt;&gt;"",EXPEDIENTE!$I$27&lt;&gt;"",YEAR(EXPEDIENTE!$I$27)&lt;YEAR(EXPEDIENTE!$I$25)+3))</xm:f>
            <x14:dxf>
              <font>
                <color theme="0"/>
              </font>
              <fill>
                <patternFill>
                  <bgColor theme="0"/>
                </patternFill>
              </fill>
              <border>
                <left/>
                <right/>
                <top/>
                <bottom/>
              </border>
            </x14:dxf>
          </x14:cfRule>
          <xm:sqref>A74:XFD96</xm:sqref>
        </x14:conditionalFormatting>
        <x14:conditionalFormatting xmlns:xm="http://schemas.microsoft.com/office/excel/2006/main">
          <x14:cfRule type="expression" priority="3" stopIfTrue="1" id="{67E79701-A440-4C43-BABC-91465E43B35C}">
            <xm:f>OR(USUARIO!$C$2="",AUXILIAR!$W$6&lt;&gt;USUARIO!$C$2)</xm:f>
            <x14:dxf>
              <font>
                <color theme="0"/>
              </font>
              <fill>
                <patternFill>
                  <bgColor theme="0"/>
                </patternFill>
              </fill>
              <border>
                <left/>
                <right/>
                <top/>
                <bottom/>
              </border>
            </x14:dxf>
          </x14:cfRule>
          <xm:sqref>W1:AQ1048576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8" ma:contentTypeDescription="Crear nuevo documento." ma:contentTypeScope="" ma:versionID="a66f483d4445229e0f2f510b78dcb5fb">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eb5cde6b264d14f1210b1ea01b31d80b"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a600c26-20e0-433c-877d-adf8e183668e" xsi:nil="true"/>
    <lcf76f155ced4ddcb4097134ff3c332f xmlns="d0f1999e-fb46-4be1-aa14-5c6f3ecfb51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DA1A292-8D64-4961-8F9F-3ADFD957D59E}"/>
</file>

<file path=customXml/itemProps2.xml><?xml version="1.0" encoding="utf-8"?>
<ds:datastoreItem xmlns:ds="http://schemas.openxmlformats.org/officeDocument/2006/customXml" ds:itemID="{5AA4FAF2-C503-4007-9762-C4211A6C086E}">
  <ds:schemaRefs>
    <ds:schemaRef ds:uri="http://schemas.microsoft.com/sharepoint/v3/contenttype/forms"/>
  </ds:schemaRefs>
</ds:datastoreItem>
</file>

<file path=customXml/itemProps3.xml><?xml version="1.0" encoding="utf-8"?>
<ds:datastoreItem xmlns:ds="http://schemas.openxmlformats.org/officeDocument/2006/customXml" ds:itemID="{B0DE91E8-1C23-4F39-AE3B-C392C62347FC}">
  <ds:schemaRefs>
    <ds:schemaRef ds:uri="http://schemas.microsoft.com/office/2006/metadata/properties"/>
    <ds:schemaRef ds:uri="http://schemas.microsoft.com/office/infopath/2007/PartnerControls"/>
    <ds:schemaRef ds:uri="bc934ed1-fc6e-40dc-8eb3-366867545b6c"/>
    <ds:schemaRef ds:uri="ba600c26-20e0-433c-877d-adf8e183668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11</vt:i4>
      </vt:variant>
    </vt:vector>
  </HeadingPairs>
  <TitlesOfParts>
    <vt:vector size="24" baseType="lpstr">
      <vt:lpstr>INSTRUCCIONES</vt:lpstr>
      <vt:lpstr>EXPEDIENTE</vt:lpstr>
      <vt:lpstr>IDENTIFICACIÓN TRABAJADOR</vt:lpstr>
      <vt:lpstr>% DEDICACIÓN TRABAJADOR</vt:lpstr>
      <vt:lpstr>GASTOS EJER. 1</vt:lpstr>
      <vt:lpstr>GASTOS EJER. 2</vt:lpstr>
      <vt:lpstr>GASTOS EJER. 3</vt:lpstr>
      <vt:lpstr>GASTOS EJER. 4</vt:lpstr>
      <vt:lpstr>RESUMEN TRABAJADOR </vt:lpstr>
      <vt:lpstr>DATOS A INCORPORAR AL MOD-61</vt:lpstr>
      <vt:lpstr>INFORME</vt:lpstr>
      <vt:lpstr>AUXILIAR</vt:lpstr>
      <vt:lpstr>USUARIO</vt:lpstr>
      <vt:lpstr>'% DEDICACIÓN TRABAJADOR'!Área_de_impresión</vt:lpstr>
      <vt:lpstr>'DATOS A INCORPORAR AL MOD-61'!Área_de_impresión</vt:lpstr>
      <vt:lpstr>EXPEDIENTE!Área_de_impresión</vt:lpstr>
      <vt:lpstr>'GASTOS EJER. 1'!Área_de_impresión</vt:lpstr>
      <vt:lpstr>'GASTOS EJER. 2'!Área_de_impresión</vt:lpstr>
      <vt:lpstr>'GASTOS EJER. 4'!Área_de_impresión</vt:lpstr>
      <vt:lpstr>'IDENTIFICACIÓN TRABAJADOR'!Área_de_impresión</vt:lpstr>
      <vt:lpstr>INFORME!Área_de_impresión</vt:lpstr>
      <vt:lpstr>INSTRUCCIONES!Área_de_impresión</vt:lpstr>
      <vt:lpstr>'RESUMEN TRABAJADOR '!Área_de_impresión</vt:lpstr>
      <vt:lpstr>LÍNEA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Vicente Marco Adrián</dc:creator>
  <cp:keywords/>
  <dc:description/>
  <cp:lastModifiedBy>Vicente Marco Adrián</cp:lastModifiedBy>
  <cp:revision/>
  <cp:lastPrinted>2026-02-25T15:30:18Z</cp:lastPrinted>
  <dcterms:created xsi:type="dcterms:W3CDTF">2023-12-14T12:28:36Z</dcterms:created>
  <dcterms:modified xsi:type="dcterms:W3CDTF">2026-03-25T15:57:32Z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0x010100B5D8345CE9BD914C9D01226D63129445</vt:lpwstr>
  </property>
</Properties>
</file>