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https://institutofomentomurcia.sharepoint.com/sites/tra/Documentos compartidos/_Usuarios/VMarco/2026-1-TRAMITACION/26-APRO/26.APRO-4-COBRO-Formularios/"/>
    </mc:Choice>
  </mc:AlternateContent>
  <xr:revisionPtr revIDLastSave="919" documentId="8_{6A59C32E-34A7-4ADA-9336-6B59621D1AD9}" xr6:coauthVersionLast="47" xr6:coauthVersionMax="47" xr10:uidLastSave="{CA8E63A2-1CD6-46E6-A450-C123DF5FDE08}"/>
  <bookViews>
    <workbookView xWindow="-120" yWindow="-120" windowWidth="29040" windowHeight="15720" tabRatio="743" firstSheet="1" activeTab="1" xr2:uid="{005C4963-5151-4F66-8BD6-D8F4014E7F55}"/>
  </bookViews>
  <sheets>
    <sheet name="INSTRUCCIONES" sheetId="1" r:id="rId1"/>
    <sheet name="EXPEDIENTE" sheetId="8" r:id="rId2"/>
    <sheet name="RELACIÓN DE FACTURAS" sheetId="2" r:id="rId3"/>
    <sheet name="LISTADO PROVEEDORES &gt; 15.000 €" sheetId="7" r:id="rId4"/>
    <sheet name="RELACIÓN DE OFERTAS &gt;15.000 €" sheetId="3" r:id="rId5"/>
    <sheet name="PAGOS" sheetId="9" r:id="rId6"/>
    <sheet name="INFORME" sheetId="6" r:id="rId7"/>
    <sheet name="AUXILIAR" sheetId="4" r:id="rId8"/>
    <sheet name="USUARIO" sheetId="10" r:id="rId9"/>
  </sheets>
  <definedNames>
    <definedName name="_xlnm._FilterDatabase" localSheetId="2" hidden="1">'RELACIÓN DE FACTURAS'!$O$8:$AL$84</definedName>
    <definedName name="_xlnm.Print_Area" localSheetId="6">INFORME!$B$2:$E$87</definedName>
    <definedName name="_xlnm.Print_Area" localSheetId="0">INSTRUCCIONES!$B$1:$B$129</definedName>
    <definedName name="_xlnm.Print_Area" localSheetId="3">'LISTADO PROVEEDORES &gt; 15.000 €'!$B$79:$F$163</definedName>
    <definedName name="_xlnm.Print_Area" localSheetId="5">PAGOS!$D$2:$Y$81</definedName>
    <definedName name="_xlnm.Print_Area" localSheetId="2">'RELACIÓN DE FACTURAS'!$L$2:$AL$84</definedName>
    <definedName name="Canal">OFFSET(#REF!,0,0,COUNTA(#REF!)-1)</definedName>
    <definedName name="Canal_Gasto">OFFSET(#REF!,0,0,COUNTA(#REF!)-1)</definedName>
    <definedName name="Coste">OFFSET(#REF!,0,0,COUNTA(#REF!)-1)</definedName>
    <definedName name="Cuenta">OFFSET(#REF!,0,0,COUNTA(#REF!)-1)</definedName>
    <definedName name="Gasto">OFFSET(#REF!,0,0,COUNTA(#REF!)-1)</definedName>
    <definedName name="Horas">OFFSET(#REF!,0,0,COUNTA(#REF!)-1)</definedName>
    <definedName name="Ingreso">OFFSET(#REF!,0,0,COUNTA(#REF!)-1)</definedName>
    <definedName name="Lcanal">OFFSET(#REF!,0,0,COUNTA(#REF!)-1)</definedName>
    <definedName name="Lfecha">OFFSET(#REF!,0,0,COUNTA(#REF!)-1)</definedName>
    <definedName name="Lhoras">OFFSET(#REF!,0,0,COUNTA(#REF!)-1)</definedName>
    <definedName name="LÍNEA">AUXILIAR!$M$7:$M$36</definedName>
    <definedName name="lista1">#REF!</definedName>
    <definedName name="Lmes">OFFSET(#REF!,0,0,COUNTA(#REF!)-1)</definedName>
    <definedName name="Lpersonal">OFFSET(#REF!,0,0,COUNTA(#REF!)-1)</definedName>
    <definedName name="Lsemana">OFFSET(#REF!,0,0,COUNTA(#REF!)-1)</definedName>
    <definedName name="Tipo_gasto">AUXILIAR!$AD$29:$AD$38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9" i="4" l="1"/>
  <c r="V6" i="4"/>
  <c r="C12" i="2"/>
  <c r="C13" i="2"/>
  <c r="C14" i="2"/>
  <c r="C15" i="2"/>
  <c r="C16" i="2"/>
  <c r="C17" i="2"/>
  <c r="C18" i="2"/>
  <c r="C19" i="2"/>
  <c r="C20" i="2"/>
  <c r="C21" i="2"/>
  <c r="C22" i="2"/>
  <c r="C23" i="2"/>
  <c r="C24" i="2"/>
  <c r="C25" i="2"/>
  <c r="C26" i="2"/>
  <c r="C27" i="2"/>
  <c r="C28" i="2"/>
  <c r="C29" i="2"/>
  <c r="C30" i="2"/>
  <c r="C31" i="2"/>
  <c r="C32" i="2"/>
  <c r="C33" i="2"/>
  <c r="C34" i="2"/>
  <c r="C35" i="2"/>
  <c r="C36" i="2"/>
  <c r="C37" i="2"/>
  <c r="C38" i="2"/>
  <c r="C39" i="2"/>
  <c r="C40" i="2"/>
  <c r="C41" i="2"/>
  <c r="C42" i="2"/>
  <c r="C43" i="2"/>
  <c r="C44" i="2"/>
  <c r="C45" i="2"/>
  <c r="C46" i="2"/>
  <c r="C47" i="2"/>
  <c r="C48" i="2"/>
  <c r="C49" i="2"/>
  <c r="C50" i="2"/>
  <c r="C51" i="2"/>
  <c r="C52" i="2"/>
  <c r="C53" i="2"/>
  <c r="C54" i="2"/>
  <c r="C55" i="2"/>
  <c r="C56" i="2"/>
  <c r="C57" i="2"/>
  <c r="C58" i="2"/>
  <c r="C59" i="2"/>
  <c r="C60" i="2"/>
  <c r="C61" i="2"/>
  <c r="C62" i="2"/>
  <c r="C63" i="2"/>
  <c r="C64" i="2"/>
  <c r="C65" i="2"/>
  <c r="C66" i="2"/>
  <c r="C67" i="2"/>
  <c r="C68" i="2"/>
  <c r="C69" i="2"/>
  <c r="C70" i="2"/>
  <c r="C71" i="2"/>
  <c r="C72" i="2"/>
  <c r="C73" i="2"/>
  <c r="C74" i="2"/>
  <c r="C75" i="2"/>
  <c r="C76" i="2"/>
  <c r="C77" i="2"/>
  <c r="C78" i="2"/>
  <c r="C79" i="2"/>
  <c r="C80" i="2"/>
  <c r="C81" i="2"/>
  <c r="C82" i="2"/>
  <c r="C83" i="2"/>
  <c r="Y84" i="2"/>
  <c r="E11" i="2"/>
  <c r="I11" i="2"/>
  <c r="E12" i="2"/>
  <c r="I12" i="2"/>
  <c r="E13" i="2"/>
  <c r="I13" i="2"/>
  <c r="E14" i="2"/>
  <c r="I14" i="2"/>
  <c r="E15" i="2"/>
  <c r="I15" i="2"/>
  <c r="E16" i="2"/>
  <c r="I16" i="2"/>
  <c r="E17" i="2"/>
  <c r="I17" i="2"/>
  <c r="E18" i="2"/>
  <c r="I18" i="2"/>
  <c r="E19" i="2"/>
  <c r="I19" i="2"/>
  <c r="E20" i="2"/>
  <c r="I20" i="2"/>
  <c r="E21" i="2"/>
  <c r="I21" i="2"/>
  <c r="E22" i="2"/>
  <c r="I22" i="2"/>
  <c r="E23" i="2"/>
  <c r="I23" i="2"/>
  <c r="E24" i="2"/>
  <c r="I24" i="2"/>
  <c r="E25" i="2"/>
  <c r="I25" i="2"/>
  <c r="E26" i="2"/>
  <c r="I26" i="2"/>
  <c r="E27" i="2"/>
  <c r="I27" i="2"/>
  <c r="E28" i="2"/>
  <c r="I28" i="2"/>
  <c r="E29" i="2"/>
  <c r="I29" i="2"/>
  <c r="E30" i="2"/>
  <c r="I30" i="2"/>
  <c r="E31" i="2"/>
  <c r="I31" i="2"/>
  <c r="E32" i="2"/>
  <c r="I32" i="2"/>
  <c r="E33" i="2"/>
  <c r="I33" i="2"/>
  <c r="E34" i="2"/>
  <c r="I34" i="2"/>
  <c r="E35" i="2"/>
  <c r="I35" i="2"/>
  <c r="E36" i="2"/>
  <c r="I36" i="2"/>
  <c r="E37" i="2"/>
  <c r="I37" i="2"/>
  <c r="E38" i="2"/>
  <c r="I38" i="2"/>
  <c r="E39" i="2"/>
  <c r="I39" i="2"/>
  <c r="E40" i="2"/>
  <c r="I40" i="2"/>
  <c r="E41" i="2"/>
  <c r="I41" i="2"/>
  <c r="E42" i="2"/>
  <c r="I42" i="2"/>
  <c r="E43" i="2"/>
  <c r="I43" i="2"/>
  <c r="E44" i="2"/>
  <c r="I44" i="2"/>
  <c r="E45" i="2"/>
  <c r="I45" i="2"/>
  <c r="E46" i="2"/>
  <c r="I46" i="2"/>
  <c r="E47" i="2"/>
  <c r="I47" i="2"/>
  <c r="E48" i="2"/>
  <c r="I48" i="2"/>
  <c r="E49" i="2"/>
  <c r="I49" i="2"/>
  <c r="E50" i="2"/>
  <c r="I50" i="2"/>
  <c r="E51" i="2"/>
  <c r="I51" i="2"/>
  <c r="E52" i="2"/>
  <c r="I52" i="2"/>
  <c r="E53" i="2"/>
  <c r="I53" i="2"/>
  <c r="E54" i="2"/>
  <c r="I54" i="2"/>
  <c r="E55" i="2"/>
  <c r="I55" i="2"/>
  <c r="E56" i="2"/>
  <c r="I56" i="2"/>
  <c r="E57" i="2"/>
  <c r="I57" i="2"/>
  <c r="E58" i="2"/>
  <c r="I58" i="2"/>
  <c r="E59" i="2"/>
  <c r="I59" i="2"/>
  <c r="E60" i="2"/>
  <c r="I60" i="2"/>
  <c r="E61" i="2"/>
  <c r="I61" i="2"/>
  <c r="E62" i="2"/>
  <c r="I62" i="2"/>
  <c r="E63" i="2"/>
  <c r="I63" i="2"/>
  <c r="E64" i="2"/>
  <c r="I64" i="2"/>
  <c r="E65" i="2"/>
  <c r="I65" i="2"/>
  <c r="E66" i="2"/>
  <c r="I66" i="2"/>
  <c r="E67" i="2"/>
  <c r="I67" i="2"/>
  <c r="E68" i="2"/>
  <c r="I68" i="2"/>
  <c r="E69" i="2"/>
  <c r="I69" i="2"/>
  <c r="E70" i="2"/>
  <c r="I70" i="2"/>
  <c r="E71" i="2"/>
  <c r="I71" i="2"/>
  <c r="E72" i="2"/>
  <c r="I72" i="2"/>
  <c r="E73" i="2"/>
  <c r="I73" i="2"/>
  <c r="E74" i="2"/>
  <c r="I74" i="2"/>
  <c r="E75" i="2"/>
  <c r="I75" i="2"/>
  <c r="E76" i="2"/>
  <c r="I76" i="2"/>
  <c r="E77" i="2"/>
  <c r="I77" i="2"/>
  <c r="E78" i="2"/>
  <c r="I78" i="2"/>
  <c r="E79" i="2"/>
  <c r="I79" i="2"/>
  <c r="E80" i="2"/>
  <c r="I80" i="2"/>
  <c r="E81" i="2"/>
  <c r="I81" i="2"/>
  <c r="E82" i="2"/>
  <c r="I82" i="2"/>
  <c r="E83" i="2"/>
  <c r="I83" i="2"/>
  <c r="E10" i="2"/>
  <c r="I10" i="2"/>
  <c r="I25" i="8" l="1"/>
  <c r="V9" i="9"/>
  <c r="I27" i="8"/>
  <c r="S21" i="4" s="1"/>
  <c r="S22" i="4" s="1"/>
  <c r="H29" i="8" s="1"/>
  <c r="J6" i="4" l="1"/>
  <c r="S6" i="4" l="1"/>
  <c r="D44" i="9" l="1"/>
  <c r="E44" i="9" s="1"/>
  <c r="S44" i="9"/>
  <c r="U44" i="9"/>
  <c r="V44" i="9"/>
  <c r="D45" i="9"/>
  <c r="E45" i="9" s="1"/>
  <c r="S45" i="9"/>
  <c r="U45" i="9"/>
  <c r="V45" i="9"/>
  <c r="D46" i="9"/>
  <c r="E46" i="9" s="1"/>
  <c r="S46" i="9"/>
  <c r="U46" i="9"/>
  <c r="V46" i="9"/>
  <c r="D47" i="9"/>
  <c r="E47" i="9" s="1"/>
  <c r="S47" i="9"/>
  <c r="U47" i="9"/>
  <c r="V47" i="9"/>
  <c r="D48" i="9"/>
  <c r="E48" i="9" s="1"/>
  <c r="S48" i="9"/>
  <c r="U48" i="9"/>
  <c r="V48" i="9"/>
  <c r="D49" i="9"/>
  <c r="E49" i="9" s="1"/>
  <c r="S49" i="9"/>
  <c r="U49" i="9"/>
  <c r="V49" i="9"/>
  <c r="D50" i="9"/>
  <c r="E50" i="9" s="1"/>
  <c r="S50" i="9"/>
  <c r="U50" i="9"/>
  <c r="V50" i="9"/>
  <c r="D51" i="9"/>
  <c r="E51" i="9" s="1"/>
  <c r="S51" i="9"/>
  <c r="U51" i="9"/>
  <c r="V51" i="9"/>
  <c r="D52" i="9"/>
  <c r="E52" i="9" s="1"/>
  <c r="S52" i="9"/>
  <c r="U52" i="9"/>
  <c r="V52" i="9"/>
  <c r="D53" i="9"/>
  <c r="E53" i="9" s="1"/>
  <c r="S53" i="9"/>
  <c r="U53" i="9"/>
  <c r="V53" i="9"/>
  <c r="D54" i="9"/>
  <c r="E54" i="9" s="1"/>
  <c r="S54" i="9"/>
  <c r="U54" i="9"/>
  <c r="V54" i="9"/>
  <c r="D55" i="9"/>
  <c r="E55" i="9" s="1"/>
  <c r="S55" i="9"/>
  <c r="U55" i="9"/>
  <c r="V55" i="9"/>
  <c r="D56" i="9"/>
  <c r="E56" i="9" s="1"/>
  <c r="S56" i="9"/>
  <c r="U56" i="9"/>
  <c r="V56" i="9"/>
  <c r="D57" i="9"/>
  <c r="E57" i="9" s="1"/>
  <c r="S57" i="9"/>
  <c r="U57" i="9"/>
  <c r="V57" i="9"/>
  <c r="D58" i="9"/>
  <c r="E58" i="9" s="1"/>
  <c r="S58" i="9"/>
  <c r="U58" i="9"/>
  <c r="V58" i="9"/>
  <c r="D59" i="9"/>
  <c r="E59" i="9" s="1"/>
  <c r="S59" i="9"/>
  <c r="U59" i="9"/>
  <c r="V59" i="9"/>
  <c r="D60" i="9"/>
  <c r="E60" i="9" s="1"/>
  <c r="S60" i="9"/>
  <c r="U60" i="9"/>
  <c r="V60" i="9"/>
  <c r="D61" i="9"/>
  <c r="E61" i="9" s="1"/>
  <c r="S61" i="9"/>
  <c r="U61" i="9"/>
  <c r="V61" i="9"/>
  <c r="D62" i="9"/>
  <c r="E62" i="9" s="1"/>
  <c r="S62" i="9"/>
  <c r="U62" i="9"/>
  <c r="V62" i="9"/>
  <c r="D63" i="9"/>
  <c r="E63" i="9" s="1"/>
  <c r="S63" i="9"/>
  <c r="U63" i="9"/>
  <c r="V63" i="9"/>
  <c r="D64" i="9"/>
  <c r="E64" i="9" s="1"/>
  <c r="S64" i="9"/>
  <c r="U64" i="9"/>
  <c r="V64" i="9"/>
  <c r="D65" i="9"/>
  <c r="E65" i="9" s="1"/>
  <c r="S65" i="9"/>
  <c r="U65" i="9"/>
  <c r="V65" i="9"/>
  <c r="D66" i="9"/>
  <c r="E66" i="9" s="1"/>
  <c r="S66" i="9"/>
  <c r="U66" i="9"/>
  <c r="V66" i="9"/>
  <c r="D67" i="9"/>
  <c r="E67" i="9" s="1"/>
  <c r="S67" i="9"/>
  <c r="U67" i="9"/>
  <c r="V67" i="9"/>
  <c r="D68" i="9"/>
  <c r="E68" i="9" s="1"/>
  <c r="S68" i="9"/>
  <c r="U68" i="9"/>
  <c r="V68" i="9"/>
  <c r="D69" i="9"/>
  <c r="E69" i="9" s="1"/>
  <c r="S69" i="9"/>
  <c r="U69" i="9"/>
  <c r="V69" i="9"/>
  <c r="D70" i="9"/>
  <c r="E70" i="9" s="1"/>
  <c r="S70" i="9"/>
  <c r="U70" i="9"/>
  <c r="V70" i="9"/>
  <c r="D71" i="9"/>
  <c r="E71" i="9" s="1"/>
  <c r="S71" i="9"/>
  <c r="U71" i="9"/>
  <c r="V71" i="9"/>
  <c r="D72" i="9"/>
  <c r="E72" i="9" s="1"/>
  <c r="S72" i="9"/>
  <c r="U72" i="9"/>
  <c r="V72" i="9"/>
  <c r="D73" i="9"/>
  <c r="E73" i="9" s="1"/>
  <c r="S73" i="9"/>
  <c r="U73" i="9"/>
  <c r="V73" i="9"/>
  <c r="D74" i="9"/>
  <c r="E74" i="9" s="1"/>
  <c r="S74" i="9"/>
  <c r="U74" i="9"/>
  <c r="V74" i="9"/>
  <c r="D75" i="9"/>
  <c r="E75" i="9" s="1"/>
  <c r="S75" i="9"/>
  <c r="U75" i="9"/>
  <c r="V75" i="9"/>
  <c r="D76" i="9"/>
  <c r="E76" i="9" s="1"/>
  <c r="S76" i="9"/>
  <c r="U76" i="9"/>
  <c r="V76" i="9"/>
  <c r="D77" i="9"/>
  <c r="E77" i="9" s="1"/>
  <c r="S77" i="9"/>
  <c r="U77" i="9"/>
  <c r="V77" i="9"/>
  <c r="D78" i="9"/>
  <c r="E78" i="9" s="1"/>
  <c r="S78" i="9"/>
  <c r="U78" i="9"/>
  <c r="V78" i="9"/>
  <c r="B44" i="9"/>
  <c r="B45" i="9"/>
  <c r="B46" i="9"/>
  <c r="B47" i="9"/>
  <c r="B48" i="9"/>
  <c r="B49" i="9"/>
  <c r="B50" i="9"/>
  <c r="B51" i="9"/>
  <c r="B52" i="9"/>
  <c r="B53" i="9"/>
  <c r="B54" i="9"/>
  <c r="B55" i="9"/>
  <c r="B56" i="9"/>
  <c r="B57" i="9"/>
  <c r="B58" i="9"/>
  <c r="B59" i="9"/>
  <c r="B60" i="9"/>
  <c r="B61" i="9"/>
  <c r="B62" i="9"/>
  <c r="B63" i="9"/>
  <c r="B64" i="9"/>
  <c r="B65" i="9"/>
  <c r="B66" i="9"/>
  <c r="B67" i="9"/>
  <c r="B68" i="9"/>
  <c r="B69" i="9"/>
  <c r="B70" i="9"/>
  <c r="B71" i="9"/>
  <c r="B72" i="9"/>
  <c r="B73" i="9"/>
  <c r="B74" i="9"/>
  <c r="B75" i="9"/>
  <c r="B76" i="9"/>
  <c r="B77" i="9"/>
  <c r="B78" i="9"/>
  <c r="B79" i="9"/>
  <c r="C43" i="7"/>
  <c r="F43" i="7" s="1"/>
  <c r="D43" i="7"/>
  <c r="E43" i="7"/>
  <c r="C44" i="7"/>
  <c r="F44" i="7" s="1"/>
  <c r="D44" i="7"/>
  <c r="E44" i="7"/>
  <c r="C45" i="7"/>
  <c r="F45" i="7" s="1"/>
  <c r="D45" i="7"/>
  <c r="E45" i="7"/>
  <c r="C46" i="7"/>
  <c r="F46" i="7" s="1"/>
  <c r="D46" i="7"/>
  <c r="E46" i="7"/>
  <c r="C47" i="7"/>
  <c r="F47" i="7" s="1"/>
  <c r="D47" i="7"/>
  <c r="E47" i="7"/>
  <c r="C48" i="7"/>
  <c r="F48" i="7" s="1"/>
  <c r="D48" i="7"/>
  <c r="E48" i="7"/>
  <c r="C49" i="7"/>
  <c r="F49" i="7" s="1"/>
  <c r="D49" i="7"/>
  <c r="E49" i="7"/>
  <c r="C50" i="7"/>
  <c r="F50" i="7" s="1"/>
  <c r="D50" i="7"/>
  <c r="E50" i="7"/>
  <c r="C51" i="7"/>
  <c r="F51" i="7" s="1"/>
  <c r="D51" i="7"/>
  <c r="E51" i="7"/>
  <c r="C52" i="7"/>
  <c r="F52" i="7" s="1"/>
  <c r="D52" i="7"/>
  <c r="E52" i="7"/>
  <c r="C53" i="7"/>
  <c r="F53" i="7" s="1"/>
  <c r="D53" i="7"/>
  <c r="E53" i="7"/>
  <c r="C54" i="7"/>
  <c r="F54" i="7" s="1"/>
  <c r="D54" i="7"/>
  <c r="E54" i="7"/>
  <c r="C55" i="7"/>
  <c r="F55" i="7" s="1"/>
  <c r="D55" i="7"/>
  <c r="E55" i="7"/>
  <c r="C56" i="7"/>
  <c r="F56" i="7" s="1"/>
  <c r="D56" i="7"/>
  <c r="E56" i="7"/>
  <c r="C57" i="7"/>
  <c r="F57" i="7" s="1"/>
  <c r="D57" i="7"/>
  <c r="E57" i="7"/>
  <c r="C58" i="7"/>
  <c r="F58" i="7" s="1"/>
  <c r="D58" i="7"/>
  <c r="E58" i="7"/>
  <c r="C59" i="7"/>
  <c r="F59" i="7" s="1"/>
  <c r="D59" i="7"/>
  <c r="E59" i="7"/>
  <c r="C60" i="7"/>
  <c r="F60" i="7" s="1"/>
  <c r="D60" i="7"/>
  <c r="E60" i="7"/>
  <c r="C61" i="7"/>
  <c r="F61" i="7" s="1"/>
  <c r="D61" i="7"/>
  <c r="E61" i="7"/>
  <c r="C62" i="7"/>
  <c r="F62" i="7" s="1"/>
  <c r="D62" i="7"/>
  <c r="E62" i="7"/>
  <c r="C63" i="7"/>
  <c r="F63" i="7" s="1"/>
  <c r="D63" i="7"/>
  <c r="E63" i="7"/>
  <c r="C64" i="7"/>
  <c r="F64" i="7" s="1"/>
  <c r="D64" i="7"/>
  <c r="E64" i="7"/>
  <c r="C65" i="7"/>
  <c r="F65" i="7" s="1"/>
  <c r="D65" i="7"/>
  <c r="E65" i="7"/>
  <c r="C66" i="7"/>
  <c r="F66" i="7" s="1"/>
  <c r="D66" i="7"/>
  <c r="E66" i="7"/>
  <c r="C67" i="7"/>
  <c r="F67" i="7" s="1"/>
  <c r="D67" i="7"/>
  <c r="E67" i="7"/>
  <c r="C68" i="7"/>
  <c r="F68" i="7" s="1"/>
  <c r="D68" i="7"/>
  <c r="E68" i="7"/>
  <c r="C69" i="7"/>
  <c r="F69" i="7" s="1"/>
  <c r="D69" i="7"/>
  <c r="E69" i="7"/>
  <c r="C70" i="7"/>
  <c r="F70" i="7" s="1"/>
  <c r="D70" i="7"/>
  <c r="E70" i="7"/>
  <c r="C71" i="7"/>
  <c r="F71" i="7" s="1"/>
  <c r="D71" i="7"/>
  <c r="E71" i="7"/>
  <c r="C72" i="7"/>
  <c r="F72" i="7" s="1"/>
  <c r="D72" i="7"/>
  <c r="E72" i="7"/>
  <c r="C73" i="7"/>
  <c r="F73" i="7" s="1"/>
  <c r="D73" i="7"/>
  <c r="E73" i="7"/>
  <c r="C74" i="7"/>
  <c r="F74" i="7" s="1"/>
  <c r="D74" i="7"/>
  <c r="E74" i="7"/>
  <c r="C75" i="7"/>
  <c r="F75" i="7" s="1"/>
  <c r="D75" i="7"/>
  <c r="E75" i="7"/>
  <c r="C76" i="7"/>
  <c r="F76" i="7" s="1"/>
  <c r="D76" i="7"/>
  <c r="E76" i="7"/>
  <c r="C77" i="7"/>
  <c r="F77" i="7" s="1"/>
  <c r="D77" i="7"/>
  <c r="E77" i="7"/>
  <c r="AA48" i="2"/>
  <c r="AC48" i="2"/>
  <c r="AA49" i="2"/>
  <c r="AC49" i="2"/>
  <c r="AA50" i="2"/>
  <c r="AC50" i="2"/>
  <c r="AA51" i="2"/>
  <c r="AC51" i="2"/>
  <c r="AA52" i="2"/>
  <c r="AC52" i="2"/>
  <c r="AA53" i="2"/>
  <c r="AC53" i="2"/>
  <c r="AA54" i="2"/>
  <c r="AC54" i="2"/>
  <c r="AA55" i="2"/>
  <c r="AC55" i="2"/>
  <c r="AA56" i="2"/>
  <c r="AC56" i="2"/>
  <c r="AA57" i="2"/>
  <c r="AC57" i="2"/>
  <c r="AA58" i="2"/>
  <c r="AC58" i="2"/>
  <c r="AA59" i="2"/>
  <c r="AC59" i="2"/>
  <c r="AA60" i="2"/>
  <c r="AC60" i="2"/>
  <c r="AA61" i="2"/>
  <c r="AC61" i="2"/>
  <c r="AA62" i="2"/>
  <c r="AC62" i="2"/>
  <c r="AA63" i="2"/>
  <c r="AC63" i="2"/>
  <c r="AA64" i="2"/>
  <c r="AC64" i="2"/>
  <c r="AA65" i="2"/>
  <c r="AC65" i="2"/>
  <c r="AA66" i="2"/>
  <c r="AC66" i="2"/>
  <c r="AA67" i="2"/>
  <c r="AC67" i="2"/>
  <c r="AA68" i="2"/>
  <c r="AC68" i="2"/>
  <c r="AA69" i="2"/>
  <c r="AC69" i="2"/>
  <c r="AA70" i="2"/>
  <c r="AC70" i="2"/>
  <c r="AA71" i="2"/>
  <c r="AC71" i="2"/>
  <c r="AD71" i="2" s="1"/>
  <c r="AA72" i="2"/>
  <c r="AC72" i="2"/>
  <c r="AA73" i="2"/>
  <c r="AC73" i="2"/>
  <c r="AA74" i="2"/>
  <c r="AC74" i="2"/>
  <c r="AA75" i="2"/>
  <c r="AC75" i="2"/>
  <c r="AA76" i="2"/>
  <c r="AC76" i="2"/>
  <c r="AA77" i="2"/>
  <c r="AC77" i="2"/>
  <c r="AA78" i="2"/>
  <c r="AC78" i="2"/>
  <c r="AA79" i="2"/>
  <c r="AC79" i="2"/>
  <c r="AA80" i="2"/>
  <c r="AC80" i="2"/>
  <c r="AA81" i="2"/>
  <c r="AC81" i="2"/>
  <c r="AA82" i="2"/>
  <c r="AC82" i="2"/>
  <c r="N49" i="2"/>
  <c r="N50" i="2"/>
  <c r="N51" i="2"/>
  <c r="N52" i="2"/>
  <c r="N53" i="2"/>
  <c r="N54" i="2"/>
  <c r="N55" i="2"/>
  <c r="N56" i="2"/>
  <c r="N57" i="2"/>
  <c r="N58" i="2"/>
  <c r="N59" i="2"/>
  <c r="N60" i="2"/>
  <c r="N61" i="2"/>
  <c r="N62" i="2"/>
  <c r="N63" i="2"/>
  <c r="N64" i="2"/>
  <c r="N65" i="2"/>
  <c r="N66" i="2"/>
  <c r="N67" i="2"/>
  <c r="N68" i="2"/>
  <c r="N69" i="2"/>
  <c r="N70" i="2"/>
  <c r="N71" i="2"/>
  <c r="N72" i="2"/>
  <c r="N73" i="2"/>
  <c r="N74" i="2"/>
  <c r="N75" i="2"/>
  <c r="N76" i="2"/>
  <c r="N77" i="2"/>
  <c r="N78" i="2"/>
  <c r="N79" i="2"/>
  <c r="N80" i="2"/>
  <c r="N81" i="2"/>
  <c r="N82" i="2"/>
  <c r="N48" i="2"/>
  <c r="B31" i="8"/>
  <c r="S79" i="9"/>
  <c r="S43" i="9"/>
  <c r="S42" i="9"/>
  <c r="S41" i="9"/>
  <c r="S40" i="9"/>
  <c r="S39" i="9"/>
  <c r="S38" i="9"/>
  <c r="S37" i="9"/>
  <c r="S36" i="9"/>
  <c r="S35" i="9"/>
  <c r="S34" i="9"/>
  <c r="S33" i="9"/>
  <c r="S32" i="9"/>
  <c r="S31" i="9"/>
  <c r="S30" i="9"/>
  <c r="S29" i="9"/>
  <c r="S28" i="9"/>
  <c r="S27" i="9"/>
  <c r="S26" i="9"/>
  <c r="S25" i="9"/>
  <c r="S24" i="9"/>
  <c r="S23" i="9"/>
  <c r="S22" i="9"/>
  <c r="S21" i="9"/>
  <c r="S20" i="9"/>
  <c r="S19" i="9"/>
  <c r="S18" i="9"/>
  <c r="S17" i="9"/>
  <c r="S16" i="9"/>
  <c r="S15" i="9"/>
  <c r="S14" i="9"/>
  <c r="S13" i="9"/>
  <c r="S12" i="9"/>
  <c r="S11" i="9"/>
  <c r="S10" i="9"/>
  <c r="S9" i="9"/>
  <c r="S8" i="9"/>
  <c r="S7" i="9"/>
  <c r="S6" i="9"/>
  <c r="D69" i="2" l="1"/>
  <c r="D68" i="2"/>
  <c r="D56" i="2"/>
  <c r="D79" i="2"/>
  <c r="D67" i="2"/>
  <c r="D55" i="2"/>
  <c r="D78" i="2"/>
  <c r="D66" i="2"/>
  <c r="D54" i="2"/>
  <c r="AD79" i="2"/>
  <c r="B79" i="2" s="1"/>
  <c r="AD73" i="2"/>
  <c r="AD55" i="2"/>
  <c r="AD49" i="2"/>
  <c r="D76" i="2"/>
  <c r="D64" i="2"/>
  <c r="D52" i="2"/>
  <c r="AD78" i="2"/>
  <c r="D57" i="2"/>
  <c r="D65" i="2"/>
  <c r="D75" i="2"/>
  <c r="D63" i="2"/>
  <c r="D51" i="2"/>
  <c r="B72" i="2"/>
  <c r="D80" i="2"/>
  <c r="D74" i="2"/>
  <c r="D62" i="2"/>
  <c r="D50" i="2"/>
  <c r="AD65" i="2"/>
  <c r="B65" i="2" s="1"/>
  <c r="B49" i="2"/>
  <c r="D73" i="2"/>
  <c r="D61" i="2"/>
  <c r="D49" i="2"/>
  <c r="B71" i="2"/>
  <c r="F71" i="2"/>
  <c r="G71" i="2" s="1"/>
  <c r="H71" i="2" s="1"/>
  <c r="D81" i="2"/>
  <c r="D77" i="2"/>
  <c r="D72" i="2"/>
  <c r="D60" i="2"/>
  <c r="D53" i="2"/>
  <c r="D48" i="2"/>
  <c r="D71" i="2"/>
  <c r="D59" i="2"/>
  <c r="D70" i="2"/>
  <c r="D58" i="2"/>
  <c r="D82" i="2"/>
  <c r="AD74" i="2"/>
  <c r="AD72" i="2"/>
  <c r="J49" i="9"/>
  <c r="N54" i="9"/>
  <c r="N51" i="9"/>
  <c r="X58" i="9"/>
  <c r="N48" i="9"/>
  <c r="M75" i="9"/>
  <c r="G75" i="9"/>
  <c r="N58" i="9"/>
  <c r="M63" i="9"/>
  <c r="M58" i="9"/>
  <c r="G63" i="9"/>
  <c r="AD81" i="2"/>
  <c r="B81" i="2" s="1"/>
  <c r="AD63" i="2"/>
  <c r="B63" i="2" s="1"/>
  <c r="N52" i="9"/>
  <c r="X45" i="9"/>
  <c r="M60" i="9"/>
  <c r="AD57" i="2"/>
  <c r="B57" i="2" s="1"/>
  <c r="AD61" i="2"/>
  <c r="M52" i="9"/>
  <c r="X49" i="9"/>
  <c r="AD54" i="2"/>
  <c r="B54" i="2" s="1"/>
  <c r="J52" i="9"/>
  <c r="M70" i="9"/>
  <c r="M67" i="9"/>
  <c r="N49" i="9"/>
  <c r="G72" i="9"/>
  <c r="M49" i="9"/>
  <c r="AD62" i="2"/>
  <c r="B62" i="2" s="1"/>
  <c r="AD56" i="2"/>
  <c r="B56" i="2" s="1"/>
  <c r="N45" i="9"/>
  <c r="AD75" i="2"/>
  <c r="F75" i="2" s="1"/>
  <c r="G75" i="2" s="1"/>
  <c r="H75" i="2" s="1"/>
  <c r="M72" i="9"/>
  <c r="N60" i="9"/>
  <c r="X55" i="9"/>
  <c r="X44" i="9"/>
  <c r="X46" i="9"/>
  <c r="M69" i="9"/>
  <c r="M76" i="9"/>
  <c r="G69" i="9"/>
  <c r="M64" i="9"/>
  <c r="M55" i="9"/>
  <c r="X52" i="9"/>
  <c r="AD77" i="2"/>
  <c r="J55" i="9"/>
  <c r="N44" i="9"/>
  <c r="M66" i="9"/>
  <c r="G59" i="9"/>
  <c r="N57" i="9"/>
  <c r="M44" i="9"/>
  <c r="AD70" i="2"/>
  <c r="AD58" i="2"/>
  <c r="B58" i="2" s="1"/>
  <c r="G78" i="9"/>
  <c r="J78" i="9" s="1"/>
  <c r="M73" i="9"/>
  <c r="G66" i="9"/>
  <c r="M61" i="9"/>
  <c r="AD67" i="2"/>
  <c r="B67" i="2" s="1"/>
  <c r="AD51" i="2"/>
  <c r="B51" i="2" s="1"/>
  <c r="J60" i="9"/>
  <c r="M57" i="9"/>
  <c r="M54" i="9"/>
  <c r="M51" i="9"/>
  <c r="M48" i="9"/>
  <c r="M45" i="9"/>
  <c r="AD82" i="2"/>
  <c r="B82" i="2" s="1"/>
  <c r="AD66" i="2"/>
  <c r="F66" i="2" s="1"/>
  <c r="G66" i="2" s="1"/>
  <c r="H66" i="2" s="1"/>
  <c r="AD50" i="2"/>
  <c r="B50" i="2" s="1"/>
  <c r="X77" i="9"/>
  <c r="N76" i="9"/>
  <c r="X74" i="9"/>
  <c r="N73" i="9"/>
  <c r="X71" i="9"/>
  <c r="N70" i="9"/>
  <c r="X68" i="9"/>
  <c r="N67" i="9"/>
  <c r="X65" i="9"/>
  <c r="N64" i="9"/>
  <c r="X62" i="9"/>
  <c r="N61" i="9"/>
  <c r="G60" i="9"/>
  <c r="J57" i="9"/>
  <c r="J54" i="9"/>
  <c r="J51" i="9"/>
  <c r="J48" i="9"/>
  <c r="J45" i="9"/>
  <c r="AD76" i="2"/>
  <c r="B76" i="2" s="1"/>
  <c r="AD60" i="2"/>
  <c r="B60" i="2" s="1"/>
  <c r="G76" i="9"/>
  <c r="G73" i="9"/>
  <c r="G70" i="9"/>
  <c r="G67" i="9"/>
  <c r="G64" i="9"/>
  <c r="J61" i="9"/>
  <c r="X59" i="9"/>
  <c r="X56" i="9"/>
  <c r="N55" i="9"/>
  <c r="X53" i="9"/>
  <c r="X50" i="9"/>
  <c r="X47" i="9"/>
  <c r="N46" i="9"/>
  <c r="G61" i="9"/>
  <c r="M46" i="9"/>
  <c r="N77" i="9"/>
  <c r="X75" i="9"/>
  <c r="N74" i="9"/>
  <c r="X72" i="9"/>
  <c r="N71" i="9"/>
  <c r="X69" i="9"/>
  <c r="N68" i="9"/>
  <c r="X66" i="9"/>
  <c r="N65" i="9"/>
  <c r="X63" i="9"/>
  <c r="N62" i="9"/>
  <c r="J46" i="9"/>
  <c r="AD80" i="2"/>
  <c r="B80" i="2" s="1"/>
  <c r="AD64" i="2"/>
  <c r="B64" i="2" s="1"/>
  <c r="AD59" i="2"/>
  <c r="B59" i="2" s="1"/>
  <c r="AD48" i="2"/>
  <c r="B48" i="2" s="1"/>
  <c r="M77" i="9"/>
  <c r="M74" i="9"/>
  <c r="M71" i="9"/>
  <c r="M68" i="9"/>
  <c r="M65" i="9"/>
  <c r="M62" i="9"/>
  <c r="X60" i="9"/>
  <c r="G77" i="9"/>
  <c r="G74" i="9"/>
  <c r="G71" i="9"/>
  <c r="G68" i="9"/>
  <c r="G65" i="9"/>
  <c r="G62" i="9"/>
  <c r="N59" i="9"/>
  <c r="X57" i="9"/>
  <c r="N56" i="9"/>
  <c r="X54" i="9"/>
  <c r="N53" i="9"/>
  <c r="X51" i="9"/>
  <c r="N50" i="9"/>
  <c r="X48" i="9"/>
  <c r="N47" i="9"/>
  <c r="AD69" i="2"/>
  <c r="B69" i="2" s="1"/>
  <c r="M59" i="9"/>
  <c r="M56" i="9"/>
  <c r="M53" i="9"/>
  <c r="M50" i="9"/>
  <c r="M47" i="9"/>
  <c r="AD68" i="2"/>
  <c r="AD52" i="2"/>
  <c r="B52" i="2" s="1"/>
  <c r="N78" i="9"/>
  <c r="M78" i="9" s="1"/>
  <c r="X76" i="9"/>
  <c r="N75" i="9"/>
  <c r="X73" i="9"/>
  <c r="N72" i="9"/>
  <c r="X70" i="9"/>
  <c r="N69" i="9"/>
  <c r="X67" i="9"/>
  <c r="N66" i="9"/>
  <c r="X64" i="9"/>
  <c r="N63" i="9"/>
  <c r="X61" i="9"/>
  <c r="J59" i="9"/>
  <c r="J56" i="9"/>
  <c r="J53" i="9"/>
  <c r="J50" i="9"/>
  <c r="J47" i="9"/>
  <c r="K78" i="9"/>
  <c r="K77" i="9"/>
  <c r="K76" i="9"/>
  <c r="K75" i="9"/>
  <c r="K74" i="9"/>
  <c r="K73" i="9"/>
  <c r="K72" i="9"/>
  <c r="K71" i="9"/>
  <c r="K70" i="9"/>
  <c r="K69" i="9"/>
  <c r="K68" i="9"/>
  <c r="K67" i="9"/>
  <c r="K66" i="9"/>
  <c r="K65" i="9"/>
  <c r="K64" i="9"/>
  <c r="K63" i="9"/>
  <c r="K62" i="9"/>
  <c r="K61" i="9"/>
  <c r="K60" i="9"/>
  <c r="K59" i="9"/>
  <c r="K58" i="9"/>
  <c r="K57" i="9"/>
  <c r="K56" i="9"/>
  <c r="K55" i="9"/>
  <c r="K54" i="9"/>
  <c r="K53" i="9"/>
  <c r="K52" i="9"/>
  <c r="K51" i="9"/>
  <c r="K50" i="9"/>
  <c r="K49" i="9"/>
  <c r="K48" i="9"/>
  <c r="K47" i="9"/>
  <c r="K46" i="9"/>
  <c r="K45" i="9"/>
  <c r="K44" i="9"/>
  <c r="J77" i="9"/>
  <c r="J76" i="9"/>
  <c r="J75" i="9"/>
  <c r="J74" i="9"/>
  <c r="J73" i="9"/>
  <c r="J72" i="9"/>
  <c r="J71" i="9"/>
  <c r="J70" i="9"/>
  <c r="J69" i="9"/>
  <c r="J68" i="9"/>
  <c r="J67" i="9"/>
  <c r="J66" i="9"/>
  <c r="J65" i="9"/>
  <c r="J64" i="9"/>
  <c r="J63" i="9"/>
  <c r="J62" i="9"/>
  <c r="J58" i="9"/>
  <c r="J44" i="9"/>
  <c r="T77" i="9"/>
  <c r="I77" i="9"/>
  <c r="T76" i="9"/>
  <c r="I76" i="9"/>
  <c r="T75" i="9"/>
  <c r="I75" i="9"/>
  <c r="T74" i="9"/>
  <c r="I74" i="9"/>
  <c r="T73" i="9"/>
  <c r="I73" i="9"/>
  <c r="T72" i="9"/>
  <c r="I72" i="9"/>
  <c r="T71" i="9"/>
  <c r="I71" i="9"/>
  <c r="T70" i="9"/>
  <c r="I70" i="9"/>
  <c r="T69" i="9"/>
  <c r="I69" i="9"/>
  <c r="T68" i="9"/>
  <c r="I68" i="9"/>
  <c r="T67" i="9"/>
  <c r="I67" i="9"/>
  <c r="T66" i="9"/>
  <c r="I66" i="9"/>
  <c r="T65" i="9"/>
  <c r="I65" i="9"/>
  <c r="T64" i="9"/>
  <c r="I64" i="9"/>
  <c r="T63" i="9"/>
  <c r="I63" i="9"/>
  <c r="T62" i="9"/>
  <c r="I62" i="9"/>
  <c r="T61" i="9"/>
  <c r="I61" i="9"/>
  <c r="T60" i="9"/>
  <c r="I60" i="9"/>
  <c r="T59" i="9"/>
  <c r="I59" i="9"/>
  <c r="T58" i="9"/>
  <c r="I58" i="9"/>
  <c r="T57" i="9"/>
  <c r="I57" i="9"/>
  <c r="T56" i="9"/>
  <c r="I56" i="9"/>
  <c r="T55" i="9"/>
  <c r="I55" i="9"/>
  <c r="T54" i="9"/>
  <c r="I54" i="9"/>
  <c r="T53" i="9"/>
  <c r="I53" i="9"/>
  <c r="T52" i="9"/>
  <c r="I52" i="9"/>
  <c r="T51" i="9"/>
  <c r="I51" i="9"/>
  <c r="T50" i="9"/>
  <c r="I50" i="9"/>
  <c r="T49" i="9"/>
  <c r="I49" i="9"/>
  <c r="T48" i="9"/>
  <c r="I48" i="9"/>
  <c r="T47" i="9"/>
  <c r="I47" i="9"/>
  <c r="T46" i="9"/>
  <c r="I46" i="9"/>
  <c r="T45" i="9"/>
  <c r="I45" i="9"/>
  <c r="T44" i="9"/>
  <c r="I44" i="9"/>
  <c r="G58" i="9"/>
  <c r="G57" i="9"/>
  <c r="G56" i="9"/>
  <c r="G55" i="9"/>
  <c r="G54" i="9"/>
  <c r="G53" i="9"/>
  <c r="G52" i="9"/>
  <c r="G51" i="9"/>
  <c r="G50" i="9"/>
  <c r="G49" i="9"/>
  <c r="G48" i="9"/>
  <c r="G47" i="9"/>
  <c r="G46" i="9"/>
  <c r="G45" i="9"/>
  <c r="G44" i="9"/>
  <c r="F78" i="9"/>
  <c r="P77" i="9"/>
  <c r="F77" i="9"/>
  <c r="P76" i="9"/>
  <c r="F76" i="9"/>
  <c r="P75" i="9"/>
  <c r="F75" i="9"/>
  <c r="P74" i="9"/>
  <c r="F74" i="9"/>
  <c r="P73" i="9"/>
  <c r="F73" i="9"/>
  <c r="P72" i="9"/>
  <c r="F72" i="9"/>
  <c r="P71" i="9"/>
  <c r="F71" i="9"/>
  <c r="P70" i="9"/>
  <c r="F70" i="9"/>
  <c r="P69" i="9"/>
  <c r="F69" i="9"/>
  <c r="P68" i="9"/>
  <c r="F68" i="9"/>
  <c r="P67" i="9"/>
  <c r="F67" i="9"/>
  <c r="P66" i="9"/>
  <c r="F66" i="9"/>
  <c r="P65" i="9"/>
  <c r="F65" i="9"/>
  <c r="P64" i="9"/>
  <c r="F64" i="9"/>
  <c r="P63" i="9"/>
  <c r="F63" i="9"/>
  <c r="P62" i="9"/>
  <c r="F62" i="9"/>
  <c r="P61" i="9"/>
  <c r="F61" i="9"/>
  <c r="P60" i="9"/>
  <c r="F60" i="9"/>
  <c r="P59" i="9"/>
  <c r="F59" i="9"/>
  <c r="P58" i="9"/>
  <c r="F58" i="9"/>
  <c r="P57" i="9"/>
  <c r="F57" i="9"/>
  <c r="P56" i="9"/>
  <c r="F56" i="9"/>
  <c r="P55" i="9"/>
  <c r="F55" i="9"/>
  <c r="P54" i="9"/>
  <c r="F54" i="9"/>
  <c r="P53" i="9"/>
  <c r="F53" i="9"/>
  <c r="P52" i="9"/>
  <c r="F52" i="9"/>
  <c r="P51" i="9"/>
  <c r="F51" i="9"/>
  <c r="P50" i="9"/>
  <c r="F50" i="9"/>
  <c r="P49" i="9"/>
  <c r="F49" i="9"/>
  <c r="P48" i="9"/>
  <c r="F48" i="9"/>
  <c r="P47" i="9"/>
  <c r="F47" i="9"/>
  <c r="P46" i="9"/>
  <c r="F46" i="9"/>
  <c r="P45" i="9"/>
  <c r="F45" i="9"/>
  <c r="P44" i="9"/>
  <c r="F44" i="9"/>
  <c r="AD53" i="2"/>
  <c r="B53" i="2" s="1"/>
  <c r="M46" i="3"/>
  <c r="M42" i="3"/>
  <c r="M38" i="3"/>
  <c r="M34" i="3"/>
  <c r="M30" i="3"/>
  <c r="M26" i="3"/>
  <c r="M22" i="3"/>
  <c r="M18" i="3"/>
  <c r="B48" i="3"/>
  <c r="B47" i="3"/>
  <c r="B46" i="3"/>
  <c r="B44" i="3"/>
  <c r="B43" i="3"/>
  <c r="B42" i="3"/>
  <c r="B40" i="3"/>
  <c r="B39" i="3"/>
  <c r="B38" i="3"/>
  <c r="B36" i="3"/>
  <c r="B35" i="3"/>
  <c r="B34" i="3"/>
  <c r="B32" i="3"/>
  <c r="B31" i="3"/>
  <c r="B30" i="3"/>
  <c r="B28" i="3"/>
  <c r="B27" i="3"/>
  <c r="B26" i="3"/>
  <c r="B24" i="3"/>
  <c r="B23" i="3"/>
  <c r="B22" i="3"/>
  <c r="B20" i="3"/>
  <c r="B19" i="3"/>
  <c r="B18" i="3"/>
  <c r="B16" i="3"/>
  <c r="B15" i="3"/>
  <c r="M14" i="3" s="1"/>
  <c r="B14" i="3"/>
  <c r="B11" i="3"/>
  <c r="B12" i="3"/>
  <c r="B10" i="3"/>
  <c r="D18" i="7"/>
  <c r="E18" i="7"/>
  <c r="D19" i="7"/>
  <c r="E19" i="7"/>
  <c r="D20" i="7"/>
  <c r="E20" i="7"/>
  <c r="D21" i="7"/>
  <c r="E21" i="7"/>
  <c r="D22" i="7"/>
  <c r="E22" i="7"/>
  <c r="D23" i="7"/>
  <c r="E23" i="7"/>
  <c r="D24" i="7"/>
  <c r="E24" i="7"/>
  <c r="D25" i="7"/>
  <c r="E25" i="7"/>
  <c r="D26" i="7"/>
  <c r="E26" i="7"/>
  <c r="D27" i="7"/>
  <c r="E27" i="7"/>
  <c r="D28" i="7"/>
  <c r="E28" i="7"/>
  <c r="D29" i="7"/>
  <c r="E29" i="7"/>
  <c r="D30" i="7"/>
  <c r="E30" i="7"/>
  <c r="D31" i="7"/>
  <c r="E31" i="7"/>
  <c r="D32" i="7"/>
  <c r="E32" i="7"/>
  <c r="D33" i="7"/>
  <c r="E33" i="7"/>
  <c r="D34" i="7"/>
  <c r="E34" i="7"/>
  <c r="D35" i="7"/>
  <c r="E35" i="7"/>
  <c r="D36" i="7"/>
  <c r="E36" i="7"/>
  <c r="D37" i="7"/>
  <c r="E37" i="7"/>
  <c r="D38" i="7"/>
  <c r="E38" i="7"/>
  <c r="D39" i="7"/>
  <c r="E39" i="7"/>
  <c r="D40" i="7"/>
  <c r="E40" i="7"/>
  <c r="D41" i="7"/>
  <c r="E41" i="7"/>
  <c r="D42" i="7"/>
  <c r="E42" i="7"/>
  <c r="D78" i="7"/>
  <c r="E78" i="7"/>
  <c r="C32" i="7"/>
  <c r="C33" i="7"/>
  <c r="C34" i="7"/>
  <c r="C35" i="7"/>
  <c r="C36" i="7"/>
  <c r="C37" i="7"/>
  <c r="C38" i="7"/>
  <c r="C39" i="7"/>
  <c r="C40" i="7"/>
  <c r="C41" i="7"/>
  <c r="C42" i="7"/>
  <c r="C78" i="7"/>
  <c r="AB27" i="4"/>
  <c r="AC27" i="4" s="1"/>
  <c r="AB26" i="4"/>
  <c r="AC26" i="4" s="1"/>
  <c r="AB25" i="4"/>
  <c r="AC25" i="4" s="1"/>
  <c r="AB24" i="4"/>
  <c r="AC24" i="4" s="1"/>
  <c r="AB23" i="4"/>
  <c r="AC23" i="4" s="1"/>
  <c r="AB22" i="4"/>
  <c r="AC22" i="4" s="1"/>
  <c r="AB21" i="4"/>
  <c r="AC21" i="4" s="1"/>
  <c r="AB20" i="4"/>
  <c r="AC20" i="4" s="1"/>
  <c r="AB19" i="4"/>
  <c r="AC19" i="4" s="1"/>
  <c r="AB18" i="4"/>
  <c r="AC18" i="4" s="1"/>
  <c r="B75" i="2" l="1"/>
  <c r="J75" i="2" s="1"/>
  <c r="L75" i="2" s="1"/>
  <c r="B68" i="2"/>
  <c r="B55" i="2"/>
  <c r="B70" i="2"/>
  <c r="F73" i="2"/>
  <c r="G73" i="2" s="1"/>
  <c r="H73" i="2" s="1"/>
  <c r="F57" i="2"/>
  <c r="G57" i="2" s="1"/>
  <c r="H57" i="2" s="1"/>
  <c r="F49" i="2"/>
  <c r="G49" i="2" s="1"/>
  <c r="B73" i="2"/>
  <c r="F72" i="2"/>
  <c r="G72" i="2" s="1"/>
  <c r="H72" i="2" s="1"/>
  <c r="F58" i="2"/>
  <c r="G58" i="2" s="1"/>
  <c r="F65" i="2"/>
  <c r="G65" i="2" s="1"/>
  <c r="H65" i="2" s="1"/>
  <c r="J65" i="2" s="1"/>
  <c r="L65" i="2" s="1"/>
  <c r="B61" i="2"/>
  <c r="B78" i="2"/>
  <c r="F63" i="2"/>
  <c r="G63" i="2" s="1"/>
  <c r="H63" i="2" s="1"/>
  <c r="F79" i="2"/>
  <c r="G79" i="2" s="1"/>
  <c r="H79" i="2" s="1"/>
  <c r="B66" i="2"/>
  <c r="J66" i="2" s="1"/>
  <c r="L66" i="2" s="1"/>
  <c r="B77" i="2"/>
  <c r="F77" i="2"/>
  <c r="G77" i="2" s="1"/>
  <c r="H77" i="2" s="1"/>
  <c r="F78" i="2"/>
  <c r="G78" i="2" s="1"/>
  <c r="H78" i="2" s="1"/>
  <c r="F61" i="2"/>
  <c r="G61" i="2" s="1"/>
  <c r="F70" i="2"/>
  <c r="G70" i="2" s="1"/>
  <c r="H70" i="2" s="1"/>
  <c r="F68" i="2"/>
  <c r="G68" i="2" s="1"/>
  <c r="H68" i="2" s="1"/>
  <c r="F74" i="2"/>
  <c r="G74" i="2" s="1"/>
  <c r="H74" i="2" s="1"/>
  <c r="F55" i="2"/>
  <c r="G55" i="2" s="1"/>
  <c r="F52" i="2"/>
  <c r="G52" i="2" s="1"/>
  <c r="H52" i="2" s="1"/>
  <c r="F50" i="2"/>
  <c r="G50" i="2" s="1"/>
  <c r="H50" i="2" s="1"/>
  <c r="F69" i="2"/>
  <c r="G69" i="2" s="1"/>
  <c r="H69" i="2" s="1"/>
  <c r="J69" i="2" s="1"/>
  <c r="L69" i="2" s="1"/>
  <c r="F81" i="2"/>
  <c r="G81" i="2" s="1"/>
  <c r="H81" i="2" s="1"/>
  <c r="F54" i="2"/>
  <c r="G54" i="2" s="1"/>
  <c r="H54" i="2" s="1"/>
  <c r="B74" i="2"/>
  <c r="F53" i="2"/>
  <c r="G53" i="2" s="1"/>
  <c r="H53" i="2" s="1"/>
  <c r="F60" i="2"/>
  <c r="G60" i="2" s="1"/>
  <c r="H60" i="2" s="1"/>
  <c r="F51" i="2"/>
  <c r="G51" i="2" s="1"/>
  <c r="H51" i="2" s="1"/>
  <c r="F82" i="2"/>
  <c r="G82" i="2" s="1"/>
  <c r="H82" i="2" s="1"/>
  <c r="J82" i="2" s="1"/>
  <c r="L82" i="2" s="1"/>
  <c r="I78" i="9"/>
  <c r="P78" i="9"/>
  <c r="T78" i="9" s="1"/>
  <c r="J71" i="2"/>
  <c r="L71" i="2" s="1"/>
  <c r="M10" i="3"/>
  <c r="AD19" i="4"/>
  <c r="AD26" i="4"/>
  <c r="AD25" i="4"/>
  <c r="AD24" i="4"/>
  <c r="AD23" i="4"/>
  <c r="AD22" i="4"/>
  <c r="AD21" i="4"/>
  <c r="AD18" i="4"/>
  <c r="AD20" i="4"/>
  <c r="AD27" i="4"/>
  <c r="B33" i="8"/>
  <c r="J68" i="2" l="1"/>
  <c r="L68" i="2" s="1"/>
  <c r="J54" i="2"/>
  <c r="L54" i="2" s="1"/>
  <c r="J78" i="2"/>
  <c r="L78" i="2" s="1"/>
  <c r="J77" i="2"/>
  <c r="L77" i="2" s="1"/>
  <c r="J72" i="2"/>
  <c r="L72" i="2" s="1"/>
  <c r="J73" i="2"/>
  <c r="L73" i="2" s="1"/>
  <c r="J63" i="2"/>
  <c r="L63" i="2" s="1"/>
  <c r="J70" i="2"/>
  <c r="L70" i="2" s="1"/>
  <c r="H49" i="2"/>
  <c r="J49" i="2" s="1"/>
  <c r="L49" i="2" s="1"/>
  <c r="H61" i="2"/>
  <c r="J61" i="2" s="1"/>
  <c r="L61" i="2" s="1"/>
  <c r="J74" i="2"/>
  <c r="L74" i="2" s="1"/>
  <c r="J51" i="2"/>
  <c r="L51" i="2" s="1"/>
  <c r="J57" i="2"/>
  <c r="L57" i="2" s="1"/>
  <c r="F62" i="2"/>
  <c r="G62" i="2" s="1"/>
  <c r="H62" i="2" s="1"/>
  <c r="F67" i="2"/>
  <c r="F48" i="2"/>
  <c r="G48" i="2" s="1"/>
  <c r="H48" i="2" s="1"/>
  <c r="J48" i="2" s="1"/>
  <c r="L48" i="2" s="1"/>
  <c r="F64" i="2"/>
  <c r="J53" i="2"/>
  <c r="L53" i="2" s="1"/>
  <c r="J60" i="2"/>
  <c r="L60" i="2" s="1"/>
  <c r="F76" i="2"/>
  <c r="H58" i="2"/>
  <c r="J58" i="2" s="1"/>
  <c r="L58" i="2" s="1"/>
  <c r="F80" i="2"/>
  <c r="G80" i="2" s="1"/>
  <c r="H80" i="2" s="1"/>
  <c r="J80" i="2" s="1"/>
  <c r="L80" i="2" s="1"/>
  <c r="F56" i="2"/>
  <c r="G56" i="2" s="1"/>
  <c r="H55" i="2"/>
  <c r="J55" i="2" s="1"/>
  <c r="L55" i="2" s="1"/>
  <c r="F59" i="2"/>
  <c r="G59" i="2" s="1"/>
  <c r="H59" i="2" s="1"/>
  <c r="X78" i="9"/>
  <c r="J81" i="2"/>
  <c r="L81" i="2" s="1"/>
  <c r="J50" i="2"/>
  <c r="L50" i="2" s="1"/>
  <c r="J52" i="2"/>
  <c r="L52" i="2" s="1"/>
  <c r="J79" i="2"/>
  <c r="L79" i="2" s="1"/>
  <c r="I20" i="8"/>
  <c r="F20" i="8"/>
  <c r="K12" i="4"/>
  <c r="L12" i="4" s="1"/>
  <c r="K13" i="4"/>
  <c r="L13" i="4" s="1"/>
  <c r="K14" i="4"/>
  <c r="L14" i="4" s="1"/>
  <c r="K15" i="4"/>
  <c r="L15" i="4" s="1"/>
  <c r="K16" i="4"/>
  <c r="L16" i="4" s="1"/>
  <c r="K17" i="4"/>
  <c r="L17" i="4" s="1"/>
  <c r="K18" i="4"/>
  <c r="L18" i="4" s="1"/>
  <c r="K19" i="4"/>
  <c r="L19" i="4" s="1"/>
  <c r="K20" i="4"/>
  <c r="L20" i="4" s="1"/>
  <c r="K21" i="4"/>
  <c r="L21" i="4" s="1"/>
  <c r="K22" i="4"/>
  <c r="L22" i="4" s="1"/>
  <c r="K23" i="4"/>
  <c r="L23" i="4" s="1"/>
  <c r="K24" i="4"/>
  <c r="L24" i="4" s="1"/>
  <c r="K25" i="4"/>
  <c r="L25" i="4" s="1"/>
  <c r="K26" i="4"/>
  <c r="L26" i="4" s="1"/>
  <c r="K27" i="4"/>
  <c r="L27" i="4" s="1"/>
  <c r="K28" i="4"/>
  <c r="L28" i="4" s="1"/>
  <c r="K29" i="4"/>
  <c r="L29" i="4" s="1"/>
  <c r="K30" i="4"/>
  <c r="L30" i="4" s="1"/>
  <c r="K31" i="4"/>
  <c r="L31" i="4" s="1"/>
  <c r="K32" i="4"/>
  <c r="L32" i="4" s="1"/>
  <c r="K33" i="4"/>
  <c r="L33" i="4" s="1"/>
  <c r="K34" i="4"/>
  <c r="L34" i="4" s="1"/>
  <c r="K35" i="4"/>
  <c r="L35" i="4" s="1"/>
  <c r="K36" i="4"/>
  <c r="L36" i="4" s="1"/>
  <c r="K37" i="4"/>
  <c r="L37" i="4" s="1"/>
  <c r="K38" i="4"/>
  <c r="L38" i="4" s="1"/>
  <c r="K39" i="4"/>
  <c r="L39" i="4" s="1"/>
  <c r="K40" i="4"/>
  <c r="L40" i="4" s="1"/>
  <c r="K41" i="4"/>
  <c r="L41" i="4" s="1"/>
  <c r="K42" i="4"/>
  <c r="L42" i="4" s="1"/>
  <c r="K43" i="4"/>
  <c r="L43" i="4" s="1"/>
  <c r="K44" i="4"/>
  <c r="L44" i="4" s="1"/>
  <c r="K45" i="4"/>
  <c r="L45" i="4" s="1"/>
  <c r="K46" i="4"/>
  <c r="L46" i="4" s="1"/>
  <c r="K47" i="4"/>
  <c r="L47" i="4" s="1"/>
  <c r="K48" i="4"/>
  <c r="L48" i="4" s="1"/>
  <c r="K49" i="4"/>
  <c r="L49" i="4" s="1"/>
  <c r="K50" i="4"/>
  <c r="L50" i="4" s="1"/>
  <c r="K51" i="4"/>
  <c r="L51" i="4" s="1"/>
  <c r="K52" i="4"/>
  <c r="L52" i="4" s="1"/>
  <c r="K53" i="4"/>
  <c r="L53" i="4" s="1"/>
  <c r="K54" i="4"/>
  <c r="L54" i="4" s="1"/>
  <c r="K55" i="4"/>
  <c r="L55" i="4" s="1"/>
  <c r="K56" i="4"/>
  <c r="L56" i="4" s="1"/>
  <c r="K57" i="4"/>
  <c r="L57" i="4" s="1"/>
  <c r="K58" i="4"/>
  <c r="L58" i="4" s="1"/>
  <c r="K59" i="4"/>
  <c r="L59" i="4" s="1"/>
  <c r="K60" i="4"/>
  <c r="L60" i="4" s="1"/>
  <c r="K61" i="4"/>
  <c r="L61" i="4" s="1"/>
  <c r="K62" i="4"/>
  <c r="L62" i="4" s="1"/>
  <c r="K63" i="4"/>
  <c r="L63" i="4" s="1"/>
  <c r="K64" i="4"/>
  <c r="L64" i="4" s="1"/>
  <c r="K65" i="4"/>
  <c r="L65" i="4" s="1"/>
  <c r="K66" i="4"/>
  <c r="L66" i="4" s="1"/>
  <c r="K67" i="4"/>
  <c r="L67" i="4" s="1"/>
  <c r="K68" i="4"/>
  <c r="L68" i="4" s="1"/>
  <c r="K69" i="4"/>
  <c r="L69" i="4" s="1"/>
  <c r="K70" i="4"/>
  <c r="L70" i="4" s="1"/>
  <c r="K71" i="4"/>
  <c r="L71" i="4" s="1"/>
  <c r="K72" i="4"/>
  <c r="L72" i="4" s="1"/>
  <c r="K73" i="4"/>
  <c r="L73" i="4" s="1"/>
  <c r="K74" i="4"/>
  <c r="L74" i="4" s="1"/>
  <c r="K75" i="4"/>
  <c r="L75" i="4" s="1"/>
  <c r="K76" i="4"/>
  <c r="L76" i="4" s="1"/>
  <c r="K77" i="4"/>
  <c r="L77" i="4" s="1"/>
  <c r="K78" i="4"/>
  <c r="L78" i="4" s="1"/>
  <c r="K79" i="4"/>
  <c r="L79" i="4" s="1"/>
  <c r="K80" i="4"/>
  <c r="L80" i="4" s="1"/>
  <c r="K81" i="4"/>
  <c r="L81" i="4" s="1"/>
  <c r="K8" i="4"/>
  <c r="L8" i="4" s="1"/>
  <c r="K9" i="4"/>
  <c r="L9" i="4" s="1"/>
  <c r="K10" i="4"/>
  <c r="L10" i="4" s="1"/>
  <c r="K11" i="4"/>
  <c r="L11" i="4" s="1"/>
  <c r="K7" i="4"/>
  <c r="L7" i="4" s="1"/>
  <c r="J62" i="2" l="1"/>
  <c r="L62" i="2" s="1"/>
  <c r="J59" i="2"/>
  <c r="L59" i="2" s="1"/>
  <c r="G64" i="2"/>
  <c r="H64" i="2" s="1"/>
  <c r="J64" i="2" s="1"/>
  <c r="L64" i="2" s="1"/>
  <c r="G76" i="2"/>
  <c r="H76" i="2" s="1"/>
  <c r="J76" i="2" s="1"/>
  <c r="L76" i="2" s="1"/>
  <c r="G67" i="2"/>
  <c r="H67" i="2" s="1"/>
  <c r="J67" i="2" s="1"/>
  <c r="L67" i="2" s="1"/>
  <c r="H56" i="2"/>
  <c r="J56" i="2" s="1"/>
  <c r="L56" i="2" s="1"/>
  <c r="B27" i="8"/>
  <c r="B25" i="8" l="1"/>
  <c r="AC10" i="2" l="1"/>
  <c r="AE84" i="2"/>
  <c r="X84" i="2"/>
  <c r="W84" i="2"/>
  <c r="N37" i="2"/>
  <c r="N38" i="2"/>
  <c r="N39" i="2"/>
  <c r="N40" i="2"/>
  <c r="N41" i="2"/>
  <c r="N42" i="2"/>
  <c r="N43" i="2"/>
  <c r="N44" i="2"/>
  <c r="N45" i="2"/>
  <c r="N46" i="2"/>
  <c r="N47" i="2"/>
  <c r="N83" i="2"/>
  <c r="B33" i="9"/>
  <c r="D33" i="9"/>
  <c r="U33" i="9"/>
  <c r="V33" i="9"/>
  <c r="B34" i="9"/>
  <c r="D34" i="9"/>
  <c r="U34" i="9"/>
  <c r="V34" i="9"/>
  <c r="B35" i="9"/>
  <c r="D35" i="9"/>
  <c r="U35" i="9"/>
  <c r="V35" i="9"/>
  <c r="B36" i="9"/>
  <c r="D36" i="9"/>
  <c r="U36" i="9"/>
  <c r="V36" i="9"/>
  <c r="B37" i="9"/>
  <c r="D37" i="9"/>
  <c r="U37" i="9"/>
  <c r="V37" i="9"/>
  <c r="B38" i="9"/>
  <c r="D38" i="9"/>
  <c r="U38" i="9"/>
  <c r="V38" i="9"/>
  <c r="B39" i="9"/>
  <c r="D39" i="9"/>
  <c r="U39" i="9"/>
  <c r="V39" i="9"/>
  <c r="B40" i="9"/>
  <c r="D40" i="9"/>
  <c r="U40" i="9"/>
  <c r="V40" i="9"/>
  <c r="B41" i="9"/>
  <c r="D41" i="9"/>
  <c r="U41" i="9"/>
  <c r="V41" i="9"/>
  <c r="B42" i="9"/>
  <c r="D42" i="9"/>
  <c r="U42" i="9"/>
  <c r="V42" i="9"/>
  <c r="B43" i="9"/>
  <c r="D43" i="9"/>
  <c r="U43" i="9"/>
  <c r="V43" i="9"/>
  <c r="D79" i="9"/>
  <c r="G79" i="9" s="1"/>
  <c r="U79" i="9"/>
  <c r="V79" i="9"/>
  <c r="F33" i="7"/>
  <c r="F34" i="7"/>
  <c r="F35" i="7"/>
  <c r="F36" i="7"/>
  <c r="F37" i="7"/>
  <c r="F38" i="7"/>
  <c r="F39" i="7"/>
  <c r="F40" i="7"/>
  <c r="F41" i="7"/>
  <c r="F42" i="7"/>
  <c r="F78" i="7"/>
  <c r="AA9" i="2"/>
  <c r="AC9" i="2"/>
  <c r="D6" i="9"/>
  <c r="D7" i="9"/>
  <c r="D8" i="9"/>
  <c r="D10" i="9"/>
  <c r="D11" i="9"/>
  <c r="D12" i="9"/>
  <c r="D13" i="9"/>
  <c r="D14" i="9"/>
  <c r="D15" i="9"/>
  <c r="D16" i="9"/>
  <c r="D17" i="9"/>
  <c r="D18" i="9"/>
  <c r="D19" i="9"/>
  <c r="D20" i="9"/>
  <c r="D21" i="9"/>
  <c r="D22" i="9"/>
  <c r="D23" i="9"/>
  <c r="D24" i="9"/>
  <c r="D25" i="9"/>
  <c r="D26" i="9"/>
  <c r="D27" i="9"/>
  <c r="D28" i="9"/>
  <c r="D29" i="9"/>
  <c r="D30" i="9"/>
  <c r="D31" i="9"/>
  <c r="D32" i="9"/>
  <c r="D42" i="2" l="1"/>
  <c r="D38" i="2"/>
  <c r="D40" i="2"/>
  <c r="D39" i="2"/>
  <c r="D37" i="2"/>
  <c r="D41" i="2"/>
  <c r="D47" i="2"/>
  <c r="D46" i="2"/>
  <c r="D43" i="2"/>
  <c r="D45" i="2"/>
  <c r="D44" i="2"/>
  <c r="D83" i="2"/>
  <c r="M27" i="9"/>
  <c r="T27" i="9"/>
  <c r="I27" i="9"/>
  <c r="M11" i="9"/>
  <c r="T11" i="9"/>
  <c r="I11" i="9"/>
  <c r="T26" i="9"/>
  <c r="M26" i="9"/>
  <c r="I26" i="9"/>
  <c r="T10" i="9"/>
  <c r="M10" i="9"/>
  <c r="I10" i="9"/>
  <c r="I25" i="9"/>
  <c r="T25" i="9"/>
  <c r="M25" i="9"/>
  <c r="M43" i="9"/>
  <c r="T43" i="9"/>
  <c r="I43" i="9"/>
  <c r="I41" i="9"/>
  <c r="T41" i="9"/>
  <c r="M41" i="9"/>
  <c r="I37" i="9"/>
  <c r="M37" i="9"/>
  <c r="T37" i="9"/>
  <c r="M33" i="9"/>
  <c r="I33" i="9"/>
  <c r="T33" i="9"/>
  <c r="M16" i="9"/>
  <c r="I16" i="9"/>
  <c r="T16" i="9"/>
  <c r="I31" i="9"/>
  <c r="T31" i="9"/>
  <c r="M31" i="9"/>
  <c r="I23" i="9"/>
  <c r="M23" i="9"/>
  <c r="T23" i="9"/>
  <c r="I15" i="9"/>
  <c r="T15" i="9"/>
  <c r="M15" i="9"/>
  <c r="I30" i="9"/>
  <c r="T30" i="9"/>
  <c r="M30" i="9"/>
  <c r="M22" i="9"/>
  <c r="T22" i="9"/>
  <c r="I22" i="9"/>
  <c r="I14" i="9"/>
  <c r="T14" i="9"/>
  <c r="M14" i="9"/>
  <c r="M19" i="9"/>
  <c r="T19" i="9"/>
  <c r="I19" i="9"/>
  <c r="T18" i="9"/>
  <c r="M18" i="9"/>
  <c r="I18" i="9"/>
  <c r="I17" i="9"/>
  <c r="T17" i="9"/>
  <c r="M17" i="9"/>
  <c r="I39" i="9"/>
  <c r="M39" i="9"/>
  <c r="T39" i="9"/>
  <c r="M35" i="9"/>
  <c r="T35" i="9"/>
  <c r="I35" i="9"/>
  <c r="M32" i="9"/>
  <c r="I32" i="9"/>
  <c r="T32" i="9"/>
  <c r="M24" i="9"/>
  <c r="I24" i="9"/>
  <c r="T24" i="9"/>
  <c r="T29" i="9"/>
  <c r="M29" i="9"/>
  <c r="I29" i="9"/>
  <c r="I21" i="9"/>
  <c r="M21" i="9"/>
  <c r="T21" i="9"/>
  <c r="M13" i="9"/>
  <c r="I13" i="9"/>
  <c r="T13" i="9"/>
  <c r="T42" i="9"/>
  <c r="M42" i="9"/>
  <c r="I42" i="9"/>
  <c r="M40" i="9"/>
  <c r="I40" i="9"/>
  <c r="T40" i="9"/>
  <c r="M38" i="9"/>
  <c r="T38" i="9"/>
  <c r="I38" i="9"/>
  <c r="T36" i="9"/>
  <c r="M36" i="9"/>
  <c r="I36" i="9"/>
  <c r="T34" i="9"/>
  <c r="M34" i="9"/>
  <c r="I34" i="9"/>
  <c r="T28" i="9"/>
  <c r="M28" i="9"/>
  <c r="I28" i="9"/>
  <c r="T20" i="9"/>
  <c r="M20" i="9"/>
  <c r="I20" i="9"/>
  <c r="T12" i="9"/>
  <c r="M12" i="9"/>
  <c r="I12" i="9"/>
  <c r="E23" i="9"/>
  <c r="E30" i="9"/>
  <c r="E22" i="9"/>
  <c r="E14" i="9"/>
  <c r="F38" i="9"/>
  <c r="F29" i="9"/>
  <c r="F28" i="9"/>
  <c r="F20" i="9"/>
  <c r="F12" i="9"/>
  <c r="F21" i="9"/>
  <c r="F19" i="9"/>
  <c r="F25" i="9"/>
  <c r="F13" i="9"/>
  <c r="F27" i="9"/>
  <c r="E39" i="9"/>
  <c r="F26" i="9"/>
  <c r="E10" i="9"/>
  <c r="K42" i="9"/>
  <c r="F17" i="9"/>
  <c r="F8" i="9"/>
  <c r="G37" i="9"/>
  <c r="K34" i="9"/>
  <c r="E32" i="9"/>
  <c r="E24" i="9"/>
  <c r="E16" i="9"/>
  <c r="E7" i="9"/>
  <c r="G40" i="9"/>
  <c r="E31" i="9"/>
  <c r="E15" i="9"/>
  <c r="J43" i="9"/>
  <c r="G35" i="9"/>
  <c r="P34" i="9"/>
  <c r="X42" i="9"/>
  <c r="N34" i="9"/>
  <c r="P42" i="9"/>
  <c r="F34" i="9"/>
  <c r="N42" i="9"/>
  <c r="G36" i="9"/>
  <c r="J42" i="9"/>
  <c r="F35" i="9"/>
  <c r="N40" i="9"/>
  <c r="N38" i="9"/>
  <c r="P37" i="9"/>
  <c r="N41" i="9"/>
  <c r="E38" i="9"/>
  <c r="F37" i="9"/>
  <c r="K40" i="9"/>
  <c r="X40" i="9"/>
  <c r="J40" i="9"/>
  <c r="P35" i="9"/>
  <c r="N36" i="9"/>
  <c r="N35" i="9"/>
  <c r="M8" i="4"/>
  <c r="Z17" i="4" s="1"/>
  <c r="M16" i="4"/>
  <c r="M24" i="4"/>
  <c r="M32" i="4"/>
  <c r="M40" i="4"/>
  <c r="M48" i="4"/>
  <c r="M56" i="4"/>
  <c r="M64" i="4"/>
  <c r="M72" i="4"/>
  <c r="M80" i="4"/>
  <c r="M47" i="4"/>
  <c r="M9" i="4"/>
  <c r="M17" i="4"/>
  <c r="M25" i="4"/>
  <c r="M33" i="4"/>
  <c r="M41" i="4"/>
  <c r="M49" i="4"/>
  <c r="M57" i="4"/>
  <c r="M65" i="4"/>
  <c r="M73" i="4"/>
  <c r="M81" i="4"/>
  <c r="M63" i="4"/>
  <c r="M10" i="4"/>
  <c r="M18" i="4"/>
  <c r="M26" i="4"/>
  <c r="M34" i="4"/>
  <c r="M42" i="4"/>
  <c r="M50" i="4"/>
  <c r="M58" i="4"/>
  <c r="M66" i="4"/>
  <c r="M74" i="4"/>
  <c r="M7" i="4"/>
  <c r="M39" i="4"/>
  <c r="M71" i="4"/>
  <c r="M11" i="4"/>
  <c r="M19" i="4"/>
  <c r="M27" i="4"/>
  <c r="M35" i="4"/>
  <c r="M43" i="4"/>
  <c r="M51" i="4"/>
  <c r="M59" i="4"/>
  <c r="M67" i="4"/>
  <c r="M75" i="4"/>
  <c r="M31" i="4"/>
  <c r="M12" i="4"/>
  <c r="M20" i="4"/>
  <c r="M28" i="4"/>
  <c r="M36" i="4"/>
  <c r="M44" i="4"/>
  <c r="M52" i="4"/>
  <c r="M60" i="4"/>
  <c r="M68" i="4"/>
  <c r="M76" i="4"/>
  <c r="M55" i="4"/>
  <c r="M13" i="4"/>
  <c r="M21" i="4"/>
  <c r="M29" i="4"/>
  <c r="M37" i="4"/>
  <c r="M45" i="4"/>
  <c r="M53" i="4"/>
  <c r="M61" i="4"/>
  <c r="M69" i="4"/>
  <c r="M77" i="4"/>
  <c r="M23" i="4"/>
  <c r="M14" i="4"/>
  <c r="M22" i="4"/>
  <c r="M30" i="4"/>
  <c r="M38" i="4"/>
  <c r="M46" i="4"/>
  <c r="M54" i="4"/>
  <c r="M62" i="4"/>
  <c r="M70" i="4"/>
  <c r="M78" i="4"/>
  <c r="M15" i="4"/>
  <c r="M79" i="4"/>
  <c r="AD9" i="2"/>
  <c r="P43" i="9"/>
  <c r="E37" i="9"/>
  <c r="E35" i="9"/>
  <c r="N43" i="9"/>
  <c r="X43" i="9"/>
  <c r="K41" i="9"/>
  <c r="X35" i="9"/>
  <c r="K43" i="9"/>
  <c r="F42" i="9"/>
  <c r="J41" i="9"/>
  <c r="F40" i="9"/>
  <c r="N37" i="9"/>
  <c r="K35" i="9"/>
  <c r="X34" i="9"/>
  <c r="J34" i="9"/>
  <c r="N33" i="9"/>
  <c r="G41" i="9"/>
  <c r="P40" i="9"/>
  <c r="E40" i="9"/>
  <c r="X37" i="9"/>
  <c r="J35" i="9"/>
  <c r="K33" i="9"/>
  <c r="G43" i="9"/>
  <c r="J37" i="9"/>
  <c r="E43" i="9"/>
  <c r="F79" i="9"/>
  <c r="X39" i="9"/>
  <c r="P36" i="9"/>
  <c r="F36" i="9"/>
  <c r="J33" i="9"/>
  <c r="E79" i="9"/>
  <c r="F43" i="9"/>
  <c r="G42" i="9"/>
  <c r="K39" i="9"/>
  <c r="X38" i="9"/>
  <c r="E36" i="9"/>
  <c r="G34" i="9"/>
  <c r="J39" i="9"/>
  <c r="K38" i="9"/>
  <c r="G33" i="9"/>
  <c r="E42" i="9"/>
  <c r="P41" i="9"/>
  <c r="F41" i="9"/>
  <c r="J38" i="9"/>
  <c r="K37" i="9"/>
  <c r="X36" i="9"/>
  <c r="E34" i="9"/>
  <c r="P33" i="9"/>
  <c r="F33" i="9"/>
  <c r="N39" i="9"/>
  <c r="K79" i="9"/>
  <c r="N79" i="9" s="1"/>
  <c r="E41" i="9"/>
  <c r="G39" i="9"/>
  <c r="K36" i="9"/>
  <c r="E33" i="9"/>
  <c r="J79" i="9"/>
  <c r="I79" i="9" s="1"/>
  <c r="P39" i="9"/>
  <c r="F39" i="9"/>
  <c r="G38" i="9"/>
  <c r="J36" i="9"/>
  <c r="X41" i="9"/>
  <c r="P38" i="9"/>
  <c r="X33" i="9"/>
  <c r="G25" i="9"/>
  <c r="G32" i="9"/>
  <c r="G16" i="9"/>
  <c r="G17" i="9"/>
  <c r="G18" i="9"/>
  <c r="E25" i="9"/>
  <c r="F18" i="9"/>
  <c r="E12" i="9"/>
  <c r="G23" i="9"/>
  <c r="G11" i="9"/>
  <c r="E18" i="9"/>
  <c r="G24" i="9"/>
  <c r="G19" i="9"/>
  <c r="G12" i="9"/>
  <c r="G20" i="9"/>
  <c r="G28" i="9"/>
  <c r="F10" i="9"/>
  <c r="G13" i="9"/>
  <c r="G21" i="9"/>
  <c r="G29" i="9"/>
  <c r="G8" i="9"/>
  <c r="G10" i="9"/>
  <c r="G26" i="9"/>
  <c r="G27" i="9"/>
  <c r="G14" i="9"/>
  <c r="G22" i="9"/>
  <c r="G30" i="9"/>
  <c r="E20" i="9"/>
  <c r="G7" i="9"/>
  <c r="G15" i="9"/>
  <c r="G31" i="9"/>
  <c r="E11" i="9"/>
  <c r="E17" i="9"/>
  <c r="E29" i="9"/>
  <c r="E26" i="9"/>
  <c r="E28" i="9"/>
  <c r="E13" i="9"/>
  <c r="E21" i="9"/>
  <c r="F7" i="9"/>
  <c r="E27" i="9"/>
  <c r="E19" i="9"/>
  <c r="E8" i="9"/>
  <c r="F11" i="9"/>
  <c r="F30" i="9"/>
  <c r="F22" i="9"/>
  <c r="F14" i="9"/>
  <c r="F32" i="9"/>
  <c r="F24" i="9"/>
  <c r="F16" i="9"/>
  <c r="F31" i="9"/>
  <c r="F23" i="9"/>
  <c r="F15" i="9"/>
  <c r="P79" i="9" l="1"/>
  <c r="T79" i="9" s="1"/>
  <c r="M79" i="9"/>
  <c r="X79" i="9" s="1"/>
  <c r="B7" i="4"/>
  <c r="Z5" i="4"/>
  <c r="AB15" i="4"/>
  <c r="AB14" i="4"/>
  <c r="AB13" i="4"/>
  <c r="AB12" i="4"/>
  <c r="AB11" i="4"/>
  <c r="AB10" i="4"/>
  <c r="AB9" i="4"/>
  <c r="AB8" i="4"/>
  <c r="AB7" i="4"/>
  <c r="AB6" i="4"/>
  <c r="AA10" i="2"/>
  <c r="AA11" i="2"/>
  <c r="AC11" i="2"/>
  <c r="AA12" i="2"/>
  <c r="AC12" i="2"/>
  <c r="AC84" i="2" s="1"/>
  <c r="AA13" i="2"/>
  <c r="AC13" i="2"/>
  <c r="AA14" i="2"/>
  <c r="AC14" i="2"/>
  <c r="AA15" i="2"/>
  <c r="AC15" i="2"/>
  <c r="AA16" i="2"/>
  <c r="AC16" i="2"/>
  <c r="AA17" i="2"/>
  <c r="AC17" i="2"/>
  <c r="AA18" i="2"/>
  <c r="AC18" i="2"/>
  <c r="AA19" i="2"/>
  <c r="AC19" i="2"/>
  <c r="AA20" i="2"/>
  <c r="AC20" i="2"/>
  <c r="AA21" i="2"/>
  <c r="AC21" i="2"/>
  <c r="AA22" i="2"/>
  <c r="AC22" i="2"/>
  <c r="AA23" i="2"/>
  <c r="AC23" i="2"/>
  <c r="AA24" i="2"/>
  <c r="AC24" i="2"/>
  <c r="AA25" i="2"/>
  <c r="AC25" i="2"/>
  <c r="AA26" i="2"/>
  <c r="AC26" i="2"/>
  <c r="AA27" i="2"/>
  <c r="AC27" i="2"/>
  <c r="AA28" i="2"/>
  <c r="AC28" i="2"/>
  <c r="AA29" i="2"/>
  <c r="AC29" i="2"/>
  <c r="AA30" i="2"/>
  <c r="AC30" i="2"/>
  <c r="AA31" i="2"/>
  <c r="AC31" i="2"/>
  <c r="AA32" i="2"/>
  <c r="AC32" i="2"/>
  <c r="AA33" i="2"/>
  <c r="AC33" i="2"/>
  <c r="AA34" i="2"/>
  <c r="AC34" i="2"/>
  <c r="AA35" i="2"/>
  <c r="AC35" i="2"/>
  <c r="AA36" i="2"/>
  <c r="AC36" i="2"/>
  <c r="AA37" i="2"/>
  <c r="AC37" i="2"/>
  <c r="AA38" i="2"/>
  <c r="AC38" i="2"/>
  <c r="AA39" i="2"/>
  <c r="AC39" i="2"/>
  <c r="AA40" i="2"/>
  <c r="AC40" i="2"/>
  <c r="AA41" i="2"/>
  <c r="AC41" i="2"/>
  <c r="AA42" i="2"/>
  <c r="AC42" i="2"/>
  <c r="AA43" i="2"/>
  <c r="AC43" i="2"/>
  <c r="AA44" i="2"/>
  <c r="AC44" i="2"/>
  <c r="AA45" i="2"/>
  <c r="AC45" i="2"/>
  <c r="AA46" i="2"/>
  <c r="AC46" i="2"/>
  <c r="AA47" i="2"/>
  <c r="AC47" i="2"/>
  <c r="AA83" i="2"/>
  <c r="AC83" i="2"/>
  <c r="Q3" i="2"/>
  <c r="E81" i="7" s="1"/>
  <c r="E5" i="7"/>
  <c r="E6" i="7"/>
  <c r="E7" i="7"/>
  <c r="E8" i="7"/>
  <c r="E9" i="7"/>
  <c r="E10" i="7"/>
  <c r="E11" i="7"/>
  <c r="E12" i="7"/>
  <c r="E13" i="7"/>
  <c r="E14" i="7"/>
  <c r="E15" i="7"/>
  <c r="E16" i="7"/>
  <c r="E17" i="7"/>
  <c r="E4" i="7"/>
  <c r="F47" i="2" l="1"/>
  <c r="G47" i="2" s="1"/>
  <c r="H47" i="2" s="1"/>
  <c r="AD10" i="2"/>
  <c r="P7" i="4"/>
  <c r="C12" i="8"/>
  <c r="C18" i="8"/>
  <c r="C22" i="8" s="1"/>
  <c r="AD46" i="2"/>
  <c r="AD30" i="2"/>
  <c r="AD22" i="2"/>
  <c r="AD33" i="2"/>
  <c r="AD25" i="2"/>
  <c r="AD21" i="2"/>
  <c r="AD26" i="2"/>
  <c r="AD83" i="2"/>
  <c r="F83" i="2" s="1"/>
  <c r="G83" i="2" s="1"/>
  <c r="H83" i="2" s="1"/>
  <c r="AD40" i="2"/>
  <c r="B40" i="2" s="1"/>
  <c r="AD18" i="2"/>
  <c r="AD28" i="2"/>
  <c r="AD38" i="2"/>
  <c r="F38" i="2" s="1"/>
  <c r="G38" i="2" s="1"/>
  <c r="H38" i="2" s="1"/>
  <c r="AD19" i="2"/>
  <c r="AD15" i="2"/>
  <c r="AD47" i="2"/>
  <c r="B47" i="2" s="1"/>
  <c r="AD43" i="2"/>
  <c r="B43" i="2" s="1"/>
  <c r="AD44" i="2"/>
  <c r="B44" i="2" s="1"/>
  <c r="AD32" i="2"/>
  <c r="AD45" i="2"/>
  <c r="F45" i="2" s="1"/>
  <c r="G45" i="2" s="1"/>
  <c r="H45" i="2" s="1"/>
  <c r="AD36" i="2"/>
  <c r="AD24" i="2"/>
  <c r="AD42" i="2"/>
  <c r="B42" i="2" s="1"/>
  <c r="AD35" i="2"/>
  <c r="AD27" i="2"/>
  <c r="AD23" i="2"/>
  <c r="P5" i="4"/>
  <c r="P6" i="4"/>
  <c r="AD29" i="2"/>
  <c r="AD41" i="2"/>
  <c r="B41" i="2" s="1"/>
  <c r="AD31" i="2"/>
  <c r="AD17" i="2"/>
  <c r="AD34" i="2"/>
  <c r="AD37" i="2"/>
  <c r="AD20" i="2"/>
  <c r="AD13" i="2"/>
  <c r="AD14" i="2"/>
  <c r="AD11" i="2"/>
  <c r="AD12" i="2"/>
  <c r="AD16" i="2"/>
  <c r="AD39" i="2"/>
  <c r="B39" i="2" s="1"/>
  <c r="U9" i="9"/>
  <c r="F39" i="2" l="1"/>
  <c r="G39" i="2" s="1"/>
  <c r="H39" i="2" s="1"/>
  <c r="B38" i="2"/>
  <c r="B45" i="2"/>
  <c r="F42" i="2"/>
  <c r="G42" i="2" s="1"/>
  <c r="H42" i="2" s="1"/>
  <c r="B12" i="2"/>
  <c r="F46" i="2"/>
  <c r="G46" i="2" s="1"/>
  <c r="F37" i="2"/>
  <c r="G37" i="2" s="1"/>
  <c r="B27" i="2"/>
  <c r="B83" i="2"/>
  <c r="B46" i="2"/>
  <c r="F43" i="2"/>
  <c r="G43" i="2" s="1"/>
  <c r="B37" i="2"/>
  <c r="F44" i="2"/>
  <c r="G44" i="2" s="1"/>
  <c r="H44" i="2" s="1"/>
  <c r="F41" i="2"/>
  <c r="G41" i="2" s="1"/>
  <c r="H41" i="2" s="1"/>
  <c r="B25" i="2"/>
  <c r="AD84" i="2"/>
  <c r="AF18" i="4"/>
  <c r="U3" i="2" s="1"/>
  <c r="I16" i="8"/>
  <c r="D10" i="7"/>
  <c r="D13" i="7"/>
  <c r="D5" i="7"/>
  <c r="D4" i="7"/>
  <c r="D6" i="7"/>
  <c r="D7" i="7"/>
  <c r="D8" i="7"/>
  <c r="D9" i="7"/>
  <c r="D11" i="7"/>
  <c r="D12" i="7"/>
  <c r="D14" i="7"/>
  <c r="D15" i="7"/>
  <c r="D16" i="7"/>
  <c r="D17" i="7"/>
  <c r="C5" i="7"/>
  <c r="C6" i="7"/>
  <c r="C7" i="7"/>
  <c r="C8" i="7"/>
  <c r="C9" i="7"/>
  <c r="C10" i="7"/>
  <c r="C11" i="7"/>
  <c r="C12" i="7"/>
  <c r="C13" i="7"/>
  <c r="C14" i="7"/>
  <c r="C15" i="7"/>
  <c r="C16" i="7"/>
  <c r="C17" i="7"/>
  <c r="C18" i="7"/>
  <c r="C19" i="7"/>
  <c r="C20" i="7"/>
  <c r="C21" i="7"/>
  <c r="C22" i="7"/>
  <c r="C23" i="7"/>
  <c r="C24" i="7"/>
  <c r="C25" i="7"/>
  <c r="C26" i="7"/>
  <c r="C27" i="7"/>
  <c r="C28" i="7"/>
  <c r="C29" i="7"/>
  <c r="C30" i="7"/>
  <c r="C31" i="7"/>
  <c r="C4" i="7"/>
  <c r="N10" i="2"/>
  <c r="C10" i="2" s="1"/>
  <c r="N11" i="2"/>
  <c r="N12" i="2"/>
  <c r="N13" i="2"/>
  <c r="N14" i="2"/>
  <c r="N15" i="2"/>
  <c r="B15" i="2" s="1"/>
  <c r="N16" i="2"/>
  <c r="N17" i="2"/>
  <c r="N18" i="2"/>
  <c r="B18" i="2" s="1"/>
  <c r="N19" i="2"/>
  <c r="B19" i="2" s="1"/>
  <c r="N20" i="2"/>
  <c r="N21" i="2"/>
  <c r="B21" i="2" s="1"/>
  <c r="N22" i="2"/>
  <c r="B22" i="2" s="1"/>
  <c r="N23" i="2"/>
  <c r="B23" i="2" s="1"/>
  <c r="N24" i="2"/>
  <c r="B24" i="2" s="1"/>
  <c r="N25" i="2"/>
  <c r="N26" i="2"/>
  <c r="N27" i="2"/>
  <c r="N28" i="2"/>
  <c r="N29" i="2"/>
  <c r="N30" i="2"/>
  <c r="N31" i="2"/>
  <c r="B31" i="2" s="1"/>
  <c r="N32" i="2"/>
  <c r="N33" i="2"/>
  <c r="N34" i="2"/>
  <c r="B34" i="2" s="1"/>
  <c r="N35" i="2"/>
  <c r="N36" i="2"/>
  <c r="N9" i="2"/>
  <c r="C9" i="2" s="1"/>
  <c r="B7" i="9"/>
  <c r="B14" i="9"/>
  <c r="B15" i="9"/>
  <c r="B16" i="9"/>
  <c r="B17" i="9"/>
  <c r="B18" i="9"/>
  <c r="B19" i="9"/>
  <c r="B20" i="9"/>
  <c r="B21" i="9"/>
  <c r="B22" i="9"/>
  <c r="B23" i="9"/>
  <c r="B24" i="9"/>
  <c r="B25" i="9"/>
  <c r="B26" i="9"/>
  <c r="B27" i="9"/>
  <c r="B28" i="9"/>
  <c r="B29" i="9"/>
  <c r="B30" i="9"/>
  <c r="B31" i="9"/>
  <c r="B32" i="9"/>
  <c r="B5" i="9"/>
  <c r="B11" i="2" l="1"/>
  <c r="C11" i="2"/>
  <c r="J39" i="2"/>
  <c r="L39" i="2" s="1"/>
  <c r="J42" i="2"/>
  <c r="L42" i="2" s="1"/>
  <c r="B30" i="2"/>
  <c r="H37" i="2"/>
  <c r="J37" i="2" s="1"/>
  <c r="L37" i="2" s="1"/>
  <c r="D33" i="2"/>
  <c r="B33" i="2"/>
  <c r="F33" i="2"/>
  <c r="G33" i="2" s="1"/>
  <c r="H33" i="2" s="1"/>
  <c r="D16" i="2"/>
  <c r="H46" i="2"/>
  <c r="J46" i="2" s="1"/>
  <c r="L46" i="2" s="1"/>
  <c r="D32" i="2"/>
  <c r="F32" i="2"/>
  <c r="B32" i="2"/>
  <c r="H43" i="2"/>
  <c r="J43" i="2" s="1"/>
  <c r="L43" i="2" s="1"/>
  <c r="D30" i="2"/>
  <c r="F30" i="2" s="1"/>
  <c r="G30" i="2" s="1"/>
  <c r="H30" i="2" s="1"/>
  <c r="D17" i="2"/>
  <c r="B17" i="2"/>
  <c r="D15" i="2"/>
  <c r="F40" i="2"/>
  <c r="G40" i="2" s="1"/>
  <c r="D18" i="2"/>
  <c r="F18" i="2" s="1"/>
  <c r="D27" i="2"/>
  <c r="F27" i="2" s="1"/>
  <c r="G27" i="2" s="1"/>
  <c r="H27" i="2" s="1"/>
  <c r="D26" i="2"/>
  <c r="B26" i="2"/>
  <c r="D14" i="2"/>
  <c r="F14" i="2" s="1"/>
  <c r="G14" i="2" s="1"/>
  <c r="H14" i="2" s="1"/>
  <c r="B14" i="2"/>
  <c r="D19" i="2"/>
  <c r="F19" i="2"/>
  <c r="G19" i="2" s="1"/>
  <c r="H19" i="2" s="1"/>
  <c r="D13" i="2"/>
  <c r="B35" i="2"/>
  <c r="D21" i="2"/>
  <c r="D20" i="2"/>
  <c r="B20" i="2"/>
  <c r="D25" i="2"/>
  <c r="F25" i="2" s="1"/>
  <c r="D36" i="2"/>
  <c r="B36" i="2"/>
  <c r="D24" i="2"/>
  <c r="D12" i="2"/>
  <c r="F12" i="2"/>
  <c r="G12" i="2" s="1"/>
  <c r="H12" i="2" s="1"/>
  <c r="D31" i="2"/>
  <c r="D29" i="2"/>
  <c r="B29" i="2"/>
  <c r="D28" i="2"/>
  <c r="B28" i="2"/>
  <c r="D35" i="2"/>
  <c r="F35" i="2" s="1"/>
  <c r="G35" i="2" s="1"/>
  <c r="H35" i="2" s="1"/>
  <c r="D23" i="2"/>
  <c r="D11" i="2"/>
  <c r="F23" i="2"/>
  <c r="G23" i="2" s="1"/>
  <c r="H23" i="2" s="1"/>
  <c r="B16" i="2"/>
  <c r="D34" i="2"/>
  <c r="F34" i="2"/>
  <c r="G34" i="2" s="1"/>
  <c r="D22" i="2"/>
  <c r="D10" i="2"/>
  <c r="B10" i="2"/>
  <c r="F15" i="2"/>
  <c r="G15" i="2" s="1"/>
  <c r="H15" i="2" s="1"/>
  <c r="F21" i="2"/>
  <c r="G21" i="2" s="1"/>
  <c r="H21" i="2" s="1"/>
  <c r="B13" i="2"/>
  <c r="G51" i="7"/>
  <c r="H51" i="7" s="1"/>
  <c r="G60" i="7"/>
  <c r="H60" i="7" s="1"/>
  <c r="G58" i="7"/>
  <c r="H58" i="7" s="1"/>
  <c r="G52" i="7"/>
  <c r="H52" i="7" s="1"/>
  <c r="G72" i="7"/>
  <c r="H72" i="7" s="1"/>
  <c r="G75" i="7"/>
  <c r="H75" i="7" s="1"/>
  <c r="G55" i="7"/>
  <c r="H55" i="7" s="1"/>
  <c r="G43" i="7"/>
  <c r="H43" i="7" s="1"/>
  <c r="G69" i="7"/>
  <c r="H69" i="7" s="1"/>
  <c r="G68" i="7"/>
  <c r="H68" i="7" s="1"/>
  <c r="G67" i="7"/>
  <c r="H67" i="7" s="1"/>
  <c r="G44" i="7"/>
  <c r="H44" i="7" s="1"/>
  <c r="G77" i="7"/>
  <c r="H77" i="7" s="1"/>
  <c r="G57" i="7"/>
  <c r="H57" i="7" s="1"/>
  <c r="G47" i="7"/>
  <c r="H47" i="7" s="1"/>
  <c r="G65" i="7"/>
  <c r="H65" i="7" s="1"/>
  <c r="G74" i="7"/>
  <c r="H74" i="7" s="1"/>
  <c r="G53" i="7"/>
  <c r="H53" i="7" s="1"/>
  <c r="G56" i="7"/>
  <c r="H56" i="7" s="1"/>
  <c r="G61" i="7"/>
  <c r="H61" i="7" s="1"/>
  <c r="G50" i="7"/>
  <c r="H50" i="7" s="1"/>
  <c r="G62" i="7"/>
  <c r="H62" i="7" s="1"/>
  <c r="G48" i="7"/>
  <c r="H48" i="7" s="1"/>
  <c r="G66" i="7"/>
  <c r="H66" i="7" s="1"/>
  <c r="G76" i="7"/>
  <c r="H76" i="7" s="1"/>
  <c r="G45" i="7"/>
  <c r="H45" i="7" s="1"/>
  <c r="G64" i="7"/>
  <c r="H64" i="7" s="1"/>
  <c r="G70" i="7"/>
  <c r="H70" i="7" s="1"/>
  <c r="G54" i="7"/>
  <c r="H54" i="7" s="1"/>
  <c r="G73" i="7"/>
  <c r="H73" i="7" s="1"/>
  <c r="G71" i="7"/>
  <c r="H71" i="7" s="1"/>
  <c r="G46" i="7"/>
  <c r="H46" i="7" s="1"/>
  <c r="G59" i="7"/>
  <c r="H59" i="7" s="1"/>
  <c r="G49" i="7"/>
  <c r="H49" i="7" s="1"/>
  <c r="G63" i="7"/>
  <c r="H63" i="7" s="1"/>
  <c r="J38" i="2"/>
  <c r="L38" i="2" s="1"/>
  <c r="J45" i="2"/>
  <c r="L45" i="2" s="1"/>
  <c r="G42" i="7"/>
  <c r="H42" i="7" s="1"/>
  <c r="G37" i="7"/>
  <c r="H37" i="7" s="1"/>
  <c r="G38" i="7"/>
  <c r="H38" i="7" s="1"/>
  <c r="G35" i="7"/>
  <c r="H35" i="7" s="1"/>
  <c r="G36" i="7"/>
  <c r="H36" i="7" s="1"/>
  <c r="G39" i="7"/>
  <c r="H39" i="7" s="1"/>
  <c r="G34" i="7"/>
  <c r="H34" i="7" s="1"/>
  <c r="G33" i="7"/>
  <c r="H33" i="7" s="1"/>
  <c r="G78" i="7"/>
  <c r="H78" i="7" s="1"/>
  <c r="G40" i="7"/>
  <c r="H40" i="7" s="1"/>
  <c r="G41" i="7"/>
  <c r="H41" i="7" s="1"/>
  <c r="B6" i="9"/>
  <c r="J41" i="2"/>
  <c r="L41" i="2" s="1"/>
  <c r="J44" i="2"/>
  <c r="L44" i="2" s="1"/>
  <c r="E9" i="2"/>
  <c r="F6" i="7"/>
  <c r="F14" i="7"/>
  <c r="G14" i="7" s="1"/>
  <c r="F10" i="7"/>
  <c r="F13" i="7"/>
  <c r="G13" i="7" s="1"/>
  <c r="F9" i="7"/>
  <c r="F16" i="7"/>
  <c r="F12" i="7"/>
  <c r="F8" i="7"/>
  <c r="G8" i="7" s="1"/>
  <c r="F7" i="7"/>
  <c r="G7" i="7" s="1"/>
  <c r="F25" i="7"/>
  <c r="F15" i="7"/>
  <c r="F11" i="7"/>
  <c r="F17" i="7"/>
  <c r="F26" i="7"/>
  <c r="F18" i="7"/>
  <c r="F32" i="7"/>
  <c r="F24" i="7"/>
  <c r="F31" i="7"/>
  <c r="F23" i="7"/>
  <c r="F30" i="7"/>
  <c r="F22" i="7"/>
  <c r="F29" i="7"/>
  <c r="F21" i="7"/>
  <c r="F28" i="7"/>
  <c r="F20" i="7"/>
  <c r="F27" i="7"/>
  <c r="F19" i="7"/>
  <c r="F5" i="7"/>
  <c r="F4" i="7"/>
  <c r="D9" i="2"/>
  <c r="F11" i="2" l="1"/>
  <c r="G11" i="2" s="1"/>
  <c r="H11" i="2" s="1"/>
  <c r="F24" i="2"/>
  <c r="G24" i="2" s="1"/>
  <c r="H24" i="2" s="1"/>
  <c r="F17" i="2"/>
  <c r="G17" i="2" s="1"/>
  <c r="H17" i="2" s="1"/>
  <c r="F22" i="2"/>
  <c r="G22" i="2" s="1"/>
  <c r="F26" i="2"/>
  <c r="G26" i="2" s="1"/>
  <c r="H26" i="2" s="1"/>
  <c r="F31" i="2"/>
  <c r="F36" i="2"/>
  <c r="G36" i="2" s="1"/>
  <c r="H36" i="2" s="1"/>
  <c r="G18" i="2"/>
  <c r="H18" i="2" s="1"/>
  <c r="F10" i="2"/>
  <c r="G10" i="2" s="1"/>
  <c r="H10" i="2" s="1"/>
  <c r="F28" i="2"/>
  <c r="G28" i="2" s="1"/>
  <c r="F20" i="2"/>
  <c r="G20" i="2" s="1"/>
  <c r="H20" i="2" s="1"/>
  <c r="F29" i="2"/>
  <c r="G29" i="2" s="1"/>
  <c r="H29" i="2" s="1"/>
  <c r="G25" i="2"/>
  <c r="H25" i="2" s="1"/>
  <c r="H40" i="2"/>
  <c r="J40" i="2" s="1"/>
  <c r="L40" i="2" s="1"/>
  <c r="G32" i="2"/>
  <c r="H32" i="2" s="1"/>
  <c r="F13" i="2"/>
  <c r="G13" i="2" s="1"/>
  <c r="H13" i="2" s="1"/>
  <c r="F16" i="2"/>
  <c r="G16" i="2" s="1"/>
  <c r="H34" i="2"/>
  <c r="J46" i="7"/>
  <c r="K46" i="7"/>
  <c r="I46" i="7"/>
  <c r="K48" i="7"/>
  <c r="I48" i="7"/>
  <c r="J48" i="7"/>
  <c r="I55" i="7"/>
  <c r="K55" i="7"/>
  <c r="J55" i="7"/>
  <c r="I73" i="7"/>
  <c r="J73" i="7"/>
  <c r="K73" i="7"/>
  <c r="J62" i="7"/>
  <c r="K62" i="7"/>
  <c r="I62" i="7"/>
  <c r="I57" i="7"/>
  <c r="J57" i="7"/>
  <c r="K57" i="7"/>
  <c r="J75" i="7"/>
  <c r="K75" i="7"/>
  <c r="I75" i="7"/>
  <c r="I65" i="7"/>
  <c r="J65" i="7"/>
  <c r="K65" i="7"/>
  <c r="I71" i="7"/>
  <c r="K71" i="7"/>
  <c r="J71" i="7"/>
  <c r="J47" i="7"/>
  <c r="K47" i="7"/>
  <c r="I47" i="7"/>
  <c r="J54" i="7"/>
  <c r="I54" i="7"/>
  <c r="K54" i="7"/>
  <c r="J50" i="7"/>
  <c r="I50" i="7"/>
  <c r="K50" i="7"/>
  <c r="I77" i="7"/>
  <c r="K77" i="7"/>
  <c r="J77" i="7"/>
  <c r="I72" i="7"/>
  <c r="K72" i="7"/>
  <c r="J72" i="7"/>
  <c r="J66" i="7"/>
  <c r="I66" i="7"/>
  <c r="K66" i="7"/>
  <c r="I61" i="7"/>
  <c r="J61" i="7"/>
  <c r="K61" i="7"/>
  <c r="I63" i="7"/>
  <c r="J63" i="7"/>
  <c r="K63" i="7"/>
  <c r="I64" i="7"/>
  <c r="K64" i="7"/>
  <c r="J64" i="7"/>
  <c r="I56" i="7"/>
  <c r="J56" i="7"/>
  <c r="K56" i="7"/>
  <c r="I67" i="7"/>
  <c r="J67" i="7"/>
  <c r="K67" i="7"/>
  <c r="I58" i="7"/>
  <c r="J58" i="7"/>
  <c r="K58" i="7"/>
  <c r="I52" i="7"/>
  <c r="K52" i="7"/>
  <c r="J52" i="7"/>
  <c r="I49" i="7"/>
  <c r="J49" i="7"/>
  <c r="K49" i="7"/>
  <c r="I45" i="7"/>
  <c r="J45" i="7"/>
  <c r="K45" i="7"/>
  <c r="J53" i="7"/>
  <c r="K53" i="7"/>
  <c r="I53" i="7"/>
  <c r="K68" i="7"/>
  <c r="J68" i="7"/>
  <c r="I68" i="7"/>
  <c r="K60" i="7"/>
  <c r="J60" i="7"/>
  <c r="I60" i="7"/>
  <c r="I43" i="7"/>
  <c r="J43" i="7"/>
  <c r="K43" i="7"/>
  <c r="I70" i="7"/>
  <c r="J70" i="7"/>
  <c r="K70" i="7"/>
  <c r="J44" i="7"/>
  <c r="I44" i="7"/>
  <c r="K44" i="7"/>
  <c r="I59" i="7"/>
  <c r="K59" i="7"/>
  <c r="J59" i="7"/>
  <c r="J76" i="7"/>
  <c r="I76" i="7"/>
  <c r="K76" i="7"/>
  <c r="I74" i="7"/>
  <c r="J74" i="7"/>
  <c r="K74" i="7"/>
  <c r="J69" i="7"/>
  <c r="I69" i="7"/>
  <c r="K69" i="7"/>
  <c r="J51" i="7"/>
  <c r="I51" i="7"/>
  <c r="K51" i="7"/>
  <c r="J78" i="7"/>
  <c r="K78" i="7"/>
  <c r="I78" i="7"/>
  <c r="K33" i="7"/>
  <c r="I33" i="7"/>
  <c r="J33" i="7"/>
  <c r="I34" i="7"/>
  <c r="K34" i="7"/>
  <c r="J34" i="7"/>
  <c r="I39" i="7"/>
  <c r="J39" i="7"/>
  <c r="K39" i="7"/>
  <c r="I36" i="7"/>
  <c r="J36" i="7"/>
  <c r="K36" i="7"/>
  <c r="K35" i="7"/>
  <c r="J35" i="7"/>
  <c r="I35" i="7"/>
  <c r="K41" i="7"/>
  <c r="J41" i="7"/>
  <c r="I41" i="7"/>
  <c r="I38" i="7"/>
  <c r="J38" i="7"/>
  <c r="K38" i="7"/>
  <c r="K40" i="7"/>
  <c r="J40" i="7"/>
  <c r="I40" i="7"/>
  <c r="K37" i="7"/>
  <c r="J37" i="7"/>
  <c r="I37" i="7"/>
  <c r="J42" i="7"/>
  <c r="K42" i="7"/>
  <c r="I42" i="7"/>
  <c r="B8" i="9"/>
  <c r="G10" i="7"/>
  <c r="G6" i="7"/>
  <c r="G17" i="7"/>
  <c r="G11" i="7"/>
  <c r="G25" i="7"/>
  <c r="G16" i="7"/>
  <c r="G9" i="7"/>
  <c r="G15" i="7"/>
  <c r="G12" i="7"/>
  <c r="G19" i="7"/>
  <c r="G18" i="7"/>
  <c r="G4" i="7"/>
  <c r="G27" i="7"/>
  <c r="G26" i="7"/>
  <c r="G5" i="7"/>
  <c r="G32" i="7"/>
  <c r="G20" i="7"/>
  <c r="G22" i="7"/>
  <c r="G28" i="7"/>
  <c r="G30" i="7"/>
  <c r="G24" i="7"/>
  <c r="G21" i="7"/>
  <c r="G23" i="7"/>
  <c r="G29" i="7"/>
  <c r="G31" i="7"/>
  <c r="H22" i="2" l="1"/>
  <c r="G31" i="2"/>
  <c r="H31" i="2" s="1"/>
  <c r="H28" i="2"/>
  <c r="H16" i="2"/>
  <c r="B9" i="9"/>
  <c r="B10" i="9"/>
  <c r="B13" i="9"/>
  <c r="H4" i="7"/>
  <c r="H6" i="7"/>
  <c r="U6" i="9"/>
  <c r="V6" i="9"/>
  <c r="U7" i="9"/>
  <c r="V7" i="9"/>
  <c r="U8" i="9"/>
  <c r="V8" i="9"/>
  <c r="U10" i="9"/>
  <c r="V10" i="9"/>
  <c r="U11" i="9"/>
  <c r="V11" i="9"/>
  <c r="U12" i="9"/>
  <c r="V12" i="9"/>
  <c r="U13" i="9"/>
  <c r="V13" i="9"/>
  <c r="U14" i="9"/>
  <c r="V14" i="9"/>
  <c r="U15" i="9"/>
  <c r="V15" i="9"/>
  <c r="U16" i="9"/>
  <c r="V16" i="9"/>
  <c r="U17" i="9"/>
  <c r="V17" i="9"/>
  <c r="U18" i="9"/>
  <c r="V18" i="9"/>
  <c r="U19" i="9"/>
  <c r="V19" i="9"/>
  <c r="U20" i="9"/>
  <c r="V20" i="9"/>
  <c r="U21" i="9"/>
  <c r="V21" i="9"/>
  <c r="U22" i="9"/>
  <c r="V22" i="9"/>
  <c r="U23" i="9"/>
  <c r="V23" i="9"/>
  <c r="U24" i="9"/>
  <c r="V24" i="9"/>
  <c r="U25" i="9"/>
  <c r="V25" i="9"/>
  <c r="U26" i="9"/>
  <c r="V26" i="9"/>
  <c r="U27" i="9"/>
  <c r="V27" i="9"/>
  <c r="U28" i="9"/>
  <c r="V28" i="9"/>
  <c r="U29" i="9"/>
  <c r="V29" i="9"/>
  <c r="U30" i="9"/>
  <c r="V30" i="9"/>
  <c r="U31" i="9"/>
  <c r="V31" i="9"/>
  <c r="U32" i="9"/>
  <c r="V32" i="9"/>
  <c r="V5" i="9"/>
  <c r="U5" i="9"/>
  <c r="D9" i="9"/>
  <c r="D5" i="9"/>
  <c r="F5" i="9"/>
  <c r="F6" i="9" s="1"/>
  <c r="E5" i="9"/>
  <c r="E6" i="9" s="1"/>
  <c r="I9" i="9" l="1"/>
  <c r="T9" i="9"/>
  <c r="M9" i="9"/>
  <c r="G9" i="9"/>
  <c r="G5" i="9"/>
  <c r="G6" i="9" s="1"/>
  <c r="U81" i="9"/>
  <c r="V81" i="9"/>
  <c r="D4" i="6" s="1"/>
  <c r="F9" i="9"/>
  <c r="E9" i="9"/>
  <c r="B11" i="9"/>
  <c r="K18" i="9"/>
  <c r="X18" i="9"/>
  <c r="X25" i="9"/>
  <c r="K27" i="9"/>
  <c r="X27" i="9"/>
  <c r="X32" i="9"/>
  <c r="K8" i="9"/>
  <c r="N8" i="9" s="1"/>
  <c r="M8" i="9" s="1"/>
  <c r="X17" i="9"/>
  <c r="X24" i="9"/>
  <c r="X16" i="9"/>
  <c r="K31" i="9"/>
  <c r="X31" i="9"/>
  <c r="K23" i="9"/>
  <c r="X23" i="9"/>
  <c r="K15" i="9"/>
  <c r="X15" i="9"/>
  <c r="K7" i="9"/>
  <c r="N7" i="9" s="1"/>
  <c r="M7" i="9" s="1"/>
  <c r="X30" i="9"/>
  <c r="K6" i="9"/>
  <c r="N6" i="9" s="1"/>
  <c r="M6" i="9" s="1"/>
  <c r="K19" i="9"/>
  <c r="X19" i="9"/>
  <c r="K26" i="9"/>
  <c r="X26" i="9"/>
  <c r="X22" i="9"/>
  <c r="X14" i="9"/>
  <c r="K29" i="9"/>
  <c r="X29" i="9"/>
  <c r="K21" i="9"/>
  <c r="X21" i="9"/>
  <c r="K13" i="9"/>
  <c r="X13" i="9"/>
  <c r="X28" i="9"/>
  <c r="X20" i="9"/>
  <c r="X12" i="9"/>
  <c r="J32" i="2"/>
  <c r="J35" i="2"/>
  <c r="J15" i="2"/>
  <c r="J83" i="2"/>
  <c r="J23" i="2"/>
  <c r="J18" i="2"/>
  <c r="J19" i="2"/>
  <c r="J36" i="2"/>
  <c r="J27" i="2"/>
  <c r="J47" i="2"/>
  <c r="J29" i="2"/>
  <c r="J24" i="2"/>
  <c r="J21" i="2"/>
  <c r="J28" i="2"/>
  <c r="J31" i="2"/>
  <c r="J20" i="2"/>
  <c r="J22" i="2"/>
  <c r="J33" i="2"/>
  <c r="J16" i="2"/>
  <c r="J25" i="2"/>
  <c r="J26" i="2"/>
  <c r="J34" i="2"/>
  <c r="J17" i="2"/>
  <c r="J30" i="2"/>
  <c r="K4" i="7"/>
  <c r="I4" i="7"/>
  <c r="J4" i="7"/>
  <c r="K6" i="7"/>
  <c r="I6" i="7"/>
  <c r="J6" i="7"/>
  <c r="H23" i="7"/>
  <c r="H21" i="7"/>
  <c r="H29" i="7"/>
  <c r="H22" i="7"/>
  <c r="H31" i="7"/>
  <c r="H20" i="7"/>
  <c r="H28" i="7"/>
  <c r="H30" i="7"/>
  <c r="H15" i="7"/>
  <c r="H32" i="7"/>
  <c r="H17" i="7"/>
  <c r="H10" i="7"/>
  <c r="H24" i="7"/>
  <c r="H13" i="7"/>
  <c r="H9" i="7"/>
  <c r="H19" i="7"/>
  <c r="H18" i="7"/>
  <c r="H26" i="7"/>
  <c r="H25" i="7"/>
  <c r="H11" i="7"/>
  <c r="H27" i="7"/>
  <c r="N25" i="9"/>
  <c r="N26" i="9"/>
  <c r="N17" i="9"/>
  <c r="N18" i="9"/>
  <c r="P25" i="9"/>
  <c r="P17" i="9"/>
  <c r="N29" i="9"/>
  <c r="N13" i="9"/>
  <c r="P12" i="9"/>
  <c r="N27" i="9"/>
  <c r="N19" i="9"/>
  <c r="P26" i="9"/>
  <c r="P18" i="9"/>
  <c r="P32" i="9"/>
  <c r="P24" i="9"/>
  <c r="P16" i="9"/>
  <c r="N32" i="9"/>
  <c r="N24" i="9"/>
  <c r="N16" i="9"/>
  <c r="P31" i="9"/>
  <c r="P23" i="9"/>
  <c r="P15" i="9"/>
  <c r="N31" i="9"/>
  <c r="N23" i="9"/>
  <c r="N15" i="9"/>
  <c r="P30" i="9"/>
  <c r="P22" i="9"/>
  <c r="P14" i="9"/>
  <c r="N30" i="9"/>
  <c r="N22" i="9"/>
  <c r="N14" i="9"/>
  <c r="P29" i="9"/>
  <c r="P21" i="9"/>
  <c r="N21" i="9"/>
  <c r="P28" i="9"/>
  <c r="P20" i="9"/>
  <c r="N28" i="9"/>
  <c r="N20" i="9"/>
  <c r="N12" i="9"/>
  <c r="P27" i="9"/>
  <c r="P19" i="9"/>
  <c r="J28" i="9"/>
  <c r="J20" i="9"/>
  <c r="J12" i="9"/>
  <c r="J29" i="9"/>
  <c r="J21" i="9"/>
  <c r="J27" i="9"/>
  <c r="J19" i="9"/>
  <c r="J11" i="9"/>
  <c r="J26" i="9"/>
  <c r="J18" i="9"/>
  <c r="J25" i="9"/>
  <c r="J17" i="9"/>
  <c r="J32" i="9"/>
  <c r="J24" i="9"/>
  <c r="J16" i="9"/>
  <c r="J31" i="9"/>
  <c r="J23" i="9"/>
  <c r="J15" i="9"/>
  <c r="J30" i="9"/>
  <c r="J22" i="9"/>
  <c r="J14" i="9"/>
  <c r="K25" i="9"/>
  <c r="K17" i="9"/>
  <c r="J13" i="9"/>
  <c r="K28" i="9"/>
  <c r="K20" i="9"/>
  <c r="K12" i="9"/>
  <c r="K9" i="9"/>
  <c r="N9" i="9" s="1"/>
  <c r="K5" i="9"/>
  <c r="N5" i="9" s="1"/>
  <c r="K30" i="9"/>
  <c r="K22" i="9"/>
  <c r="K14" i="9"/>
  <c r="K11" i="9"/>
  <c r="K32" i="9"/>
  <c r="K24" i="9"/>
  <c r="K16" i="9"/>
  <c r="K10" i="9"/>
  <c r="N10" i="9" s="1"/>
  <c r="AC7" i="4"/>
  <c r="AC30" i="4" s="1"/>
  <c r="AC8" i="4"/>
  <c r="AC31" i="4" s="1"/>
  <c r="AC9" i="4"/>
  <c r="AC32" i="4" s="1"/>
  <c r="AC10" i="4"/>
  <c r="AC33" i="4" s="1"/>
  <c r="AC11" i="4"/>
  <c r="AC34" i="4" s="1"/>
  <c r="AC12" i="4"/>
  <c r="AC35" i="4" s="1"/>
  <c r="AC13" i="4"/>
  <c r="AC36" i="4" s="1"/>
  <c r="AC14" i="4"/>
  <c r="AC37" i="4" s="1"/>
  <c r="AC15" i="4"/>
  <c r="AC38" i="4" s="1"/>
  <c r="AC6" i="4"/>
  <c r="AC29" i="4" s="1"/>
  <c r="G4" i="3"/>
  <c r="S12" i="4"/>
  <c r="S17" i="4" s="1"/>
  <c r="S18" i="4" s="1"/>
  <c r="F29" i="8" l="1"/>
  <c r="I9" i="2" s="1"/>
  <c r="E71" i="6"/>
  <c r="J5" i="9"/>
  <c r="I5" i="9" s="1"/>
  <c r="B12" i="9"/>
  <c r="D66" i="6" s="1"/>
  <c r="J12" i="2"/>
  <c r="J11" i="2"/>
  <c r="J13" i="2"/>
  <c r="J10" i="2"/>
  <c r="H12" i="7"/>
  <c r="J13" i="7"/>
  <c r="K13" i="7"/>
  <c r="I13" i="7"/>
  <c r="I11" i="7"/>
  <c r="J11" i="7"/>
  <c r="K11" i="7"/>
  <c r="J28" i="7"/>
  <c r="I28" i="7"/>
  <c r="K28" i="7"/>
  <c r="J31" i="7"/>
  <c r="I31" i="7"/>
  <c r="K31" i="7"/>
  <c r="J20" i="7"/>
  <c r="I20" i="7"/>
  <c r="K20" i="7"/>
  <c r="K18" i="7"/>
  <c r="J18" i="7"/>
  <c r="I18" i="7"/>
  <c r="I22" i="7"/>
  <c r="J22" i="7"/>
  <c r="K22" i="7"/>
  <c r="I25" i="7"/>
  <c r="K25" i="7"/>
  <c r="J25" i="7"/>
  <c r="K10" i="7"/>
  <c r="I10" i="7"/>
  <c r="J10" i="7"/>
  <c r="I19" i="7"/>
  <c r="J19" i="7"/>
  <c r="K19" i="7"/>
  <c r="I17" i="7"/>
  <c r="K17" i="7"/>
  <c r="J17" i="7"/>
  <c r="J29" i="7"/>
  <c r="K29" i="7"/>
  <c r="I29" i="7"/>
  <c r="I24" i="7"/>
  <c r="J24" i="7"/>
  <c r="K24" i="7"/>
  <c r="K26" i="7"/>
  <c r="I26" i="7"/>
  <c r="J26" i="7"/>
  <c r="I32" i="7"/>
  <c r="J32" i="7"/>
  <c r="K32" i="7"/>
  <c r="J21" i="7"/>
  <c r="K21" i="7"/>
  <c r="I21" i="7"/>
  <c r="I9" i="7"/>
  <c r="K9" i="7"/>
  <c r="J9" i="7"/>
  <c r="I15" i="7"/>
  <c r="J15" i="7"/>
  <c r="K15" i="7"/>
  <c r="I27" i="7"/>
  <c r="J27" i="7"/>
  <c r="K27" i="7"/>
  <c r="I30" i="7"/>
  <c r="J30" i="7"/>
  <c r="K30" i="7"/>
  <c r="I23" i="7"/>
  <c r="J23" i="7"/>
  <c r="K23" i="7"/>
  <c r="H16" i="7"/>
  <c r="H14" i="7"/>
  <c r="P13" i="9"/>
  <c r="N11" i="9"/>
  <c r="D8" i="6" s="1"/>
  <c r="J6" i="9"/>
  <c r="I6" i="9" s="1"/>
  <c r="AD7" i="4"/>
  <c r="AD30" i="4" s="1"/>
  <c r="AD11" i="4"/>
  <c r="AD34" i="4" s="1"/>
  <c r="AD10" i="4"/>
  <c r="AD33" i="4" s="1"/>
  <c r="AD12" i="4"/>
  <c r="AD35" i="4" s="1"/>
  <c r="AD9" i="4"/>
  <c r="AD32" i="4" s="1"/>
  <c r="AD14" i="4"/>
  <c r="AD37" i="4" s="1"/>
  <c r="AD6" i="4"/>
  <c r="AD29" i="4" s="1"/>
  <c r="AD8" i="4"/>
  <c r="AD31" i="4" s="1"/>
  <c r="AD13" i="4"/>
  <c r="AD36" i="4" s="1"/>
  <c r="AD15" i="4"/>
  <c r="AD38" i="4" s="1"/>
  <c r="S14" i="4"/>
  <c r="S13" i="4"/>
  <c r="S15" i="4"/>
  <c r="J14" i="2" l="1"/>
  <c r="I29" i="8"/>
  <c r="O53" i="9" s="1"/>
  <c r="C75" i="6"/>
  <c r="C84" i="6"/>
  <c r="C34" i="6"/>
  <c r="C79" i="6"/>
  <c r="D87" i="6"/>
  <c r="C72" i="6"/>
  <c r="C82" i="6"/>
  <c r="D52" i="6"/>
  <c r="E74" i="6"/>
  <c r="D76" i="6"/>
  <c r="E67" i="6"/>
  <c r="E75" i="6"/>
  <c r="C73" i="6"/>
  <c r="C68" i="6"/>
  <c r="E80" i="6"/>
  <c r="E59" i="6"/>
  <c r="E65" i="6"/>
  <c r="E85" i="6"/>
  <c r="E52" i="6"/>
  <c r="D60" i="6"/>
  <c r="M5" i="9"/>
  <c r="D65" i="6"/>
  <c r="D72" i="6"/>
  <c r="D54" i="6"/>
  <c r="E57" i="6"/>
  <c r="D57" i="6"/>
  <c r="E68" i="6"/>
  <c r="C63" i="6"/>
  <c r="E83" i="6"/>
  <c r="E62" i="6"/>
  <c r="C70" i="6"/>
  <c r="D82" i="6"/>
  <c r="E86" i="6"/>
  <c r="D33" i="6"/>
  <c r="D85" i="6"/>
  <c r="D61" i="6"/>
  <c r="D58" i="6"/>
  <c r="D78" i="6"/>
  <c r="E63" i="6"/>
  <c r="D67" i="6"/>
  <c r="D75" i="6"/>
  <c r="D63" i="6"/>
  <c r="D56" i="6"/>
  <c r="D62" i="6"/>
  <c r="C53" i="6"/>
  <c r="E66" i="6"/>
  <c r="C56" i="6"/>
  <c r="E81" i="6"/>
  <c r="D68" i="6"/>
  <c r="D80" i="6"/>
  <c r="D53" i="6"/>
  <c r="E64" i="6"/>
  <c r="C80" i="6"/>
  <c r="C52" i="6"/>
  <c r="C87" i="6"/>
  <c r="D70" i="6"/>
  <c r="C74" i="6"/>
  <c r="D64" i="6"/>
  <c r="C61" i="6"/>
  <c r="D77" i="6"/>
  <c r="E60" i="6"/>
  <c r="E76" i="6"/>
  <c r="C58" i="6"/>
  <c r="E70" i="6"/>
  <c r="E87" i="6"/>
  <c r="E78" i="6"/>
  <c r="C57" i="6"/>
  <c r="E58" i="6"/>
  <c r="C62" i="6"/>
  <c r="C77" i="6"/>
  <c r="C71" i="6"/>
  <c r="E82" i="6"/>
  <c r="C60" i="6"/>
  <c r="D69" i="6"/>
  <c r="E61" i="6"/>
  <c r="E72" i="6"/>
  <c r="C78" i="6"/>
  <c r="C64" i="6"/>
  <c r="E79" i="6"/>
  <c r="E55" i="6"/>
  <c r="D59" i="6"/>
  <c r="E54" i="6"/>
  <c r="E56" i="6"/>
  <c r="D86" i="6"/>
  <c r="C54" i="6"/>
  <c r="D84" i="6"/>
  <c r="C69" i="6"/>
  <c r="D73" i="6"/>
  <c r="E73" i="6"/>
  <c r="C66" i="6"/>
  <c r="C67" i="6"/>
  <c r="D71" i="6"/>
  <c r="D83" i="6"/>
  <c r="C85" i="6"/>
  <c r="E77" i="6"/>
  <c r="D81" i="6"/>
  <c r="C76" i="6"/>
  <c r="C65" i="6"/>
  <c r="D74" i="6"/>
  <c r="E69" i="6"/>
  <c r="C55" i="6"/>
  <c r="C59" i="6"/>
  <c r="D55" i="6"/>
  <c r="C83" i="6"/>
  <c r="C86" i="6"/>
  <c r="D79" i="6"/>
  <c r="E53" i="6"/>
  <c r="E84" i="6"/>
  <c r="C81" i="6"/>
  <c r="E43" i="6"/>
  <c r="C46" i="6"/>
  <c r="D45" i="6"/>
  <c r="C45" i="6"/>
  <c r="E51" i="6"/>
  <c r="E44" i="6"/>
  <c r="C50" i="6"/>
  <c r="C48" i="6"/>
  <c r="C51" i="6"/>
  <c r="E50" i="6"/>
  <c r="C38" i="6"/>
  <c r="C49" i="6"/>
  <c r="C44" i="6"/>
  <c r="E37" i="6"/>
  <c r="E45" i="6"/>
  <c r="D51" i="6"/>
  <c r="D49" i="6"/>
  <c r="C43" i="6"/>
  <c r="E49" i="6"/>
  <c r="P5" i="9"/>
  <c r="O38" i="9"/>
  <c r="O33" i="9"/>
  <c r="O79" i="9"/>
  <c r="O37" i="9"/>
  <c r="O43" i="9"/>
  <c r="O39" i="9"/>
  <c r="D27" i="6"/>
  <c r="D17" i="6"/>
  <c r="C20" i="6"/>
  <c r="D23" i="6"/>
  <c r="D19" i="6"/>
  <c r="C31" i="6"/>
  <c r="D32" i="6"/>
  <c r="C15" i="6"/>
  <c r="C30" i="6"/>
  <c r="C25" i="6"/>
  <c r="E32" i="6"/>
  <c r="C27" i="6"/>
  <c r="D28" i="6"/>
  <c r="C41" i="6"/>
  <c r="E16" i="6"/>
  <c r="C21" i="6"/>
  <c r="C19" i="6"/>
  <c r="E30" i="6"/>
  <c r="D22" i="6"/>
  <c r="C29" i="6"/>
  <c r="D40" i="6"/>
  <c r="D26" i="6"/>
  <c r="E29" i="6"/>
  <c r="C32" i="6"/>
  <c r="C26" i="6"/>
  <c r="D16" i="6"/>
  <c r="C23" i="6"/>
  <c r="E42" i="6"/>
  <c r="E17" i="6"/>
  <c r="C16" i="6"/>
  <c r="D18" i="6"/>
  <c r="D20" i="6"/>
  <c r="D15" i="6"/>
  <c r="E41" i="6"/>
  <c r="C18" i="6"/>
  <c r="C17" i="6"/>
  <c r="C36" i="6"/>
  <c r="D34" i="6"/>
  <c r="C42" i="6"/>
  <c r="E31" i="6"/>
  <c r="C24" i="6"/>
  <c r="E22" i="6"/>
  <c r="C40" i="6"/>
  <c r="C33" i="6"/>
  <c r="D39" i="6"/>
  <c r="E25" i="6"/>
  <c r="D37" i="6"/>
  <c r="E14" i="6"/>
  <c r="C13" i="6"/>
  <c r="E15" i="6"/>
  <c r="E13" i="6"/>
  <c r="C35" i="6"/>
  <c r="E40" i="6"/>
  <c r="E18" i="6"/>
  <c r="D14" i="6"/>
  <c r="E21" i="6"/>
  <c r="E33" i="6"/>
  <c r="C14" i="6"/>
  <c r="D13" i="6"/>
  <c r="D41" i="6"/>
  <c r="D21" i="6"/>
  <c r="D36" i="6"/>
  <c r="D38" i="6"/>
  <c r="C37" i="6"/>
  <c r="E38" i="6"/>
  <c r="E35" i="6"/>
  <c r="D29" i="6"/>
  <c r="D31" i="6"/>
  <c r="D42" i="6"/>
  <c r="D25" i="6"/>
  <c r="D24" i="6"/>
  <c r="C22" i="6"/>
  <c r="C28" i="6"/>
  <c r="E26" i="6"/>
  <c r="E36" i="6"/>
  <c r="C39" i="6"/>
  <c r="E28" i="6"/>
  <c r="E27" i="6"/>
  <c r="E34" i="6"/>
  <c r="E24" i="6"/>
  <c r="D30" i="6"/>
  <c r="E20" i="6"/>
  <c r="E23" i="6"/>
  <c r="E39" i="6"/>
  <c r="E19" i="6"/>
  <c r="D35" i="6"/>
  <c r="O32" i="9"/>
  <c r="O17" i="9"/>
  <c r="O26" i="9"/>
  <c r="O27" i="9"/>
  <c r="O29" i="9"/>
  <c r="O12" i="9"/>
  <c r="O14" i="9"/>
  <c r="O16" i="9"/>
  <c r="O6" i="9"/>
  <c r="O15" i="9"/>
  <c r="O7" i="9"/>
  <c r="O28" i="9"/>
  <c r="O21" i="9"/>
  <c r="O20" i="9"/>
  <c r="O5" i="9"/>
  <c r="O19" i="9"/>
  <c r="O9" i="9"/>
  <c r="O13" i="9"/>
  <c r="O24" i="9"/>
  <c r="O18" i="9"/>
  <c r="O22" i="9"/>
  <c r="O8" i="9"/>
  <c r="O31" i="9"/>
  <c r="O30" i="9"/>
  <c r="O10" i="9"/>
  <c r="O25" i="9"/>
  <c r="O23" i="9"/>
  <c r="D7" i="6"/>
  <c r="O11" i="9"/>
  <c r="J12" i="7"/>
  <c r="K12" i="7"/>
  <c r="I12" i="7"/>
  <c r="I14" i="7"/>
  <c r="J14" i="7"/>
  <c r="K14" i="7"/>
  <c r="I16" i="7"/>
  <c r="J16" i="7"/>
  <c r="K16" i="7"/>
  <c r="H8" i="7"/>
  <c r="H7" i="7"/>
  <c r="K7" i="7" s="1"/>
  <c r="H5" i="7"/>
  <c r="P6" i="9"/>
  <c r="T6" i="9" s="1"/>
  <c r="P11" i="9"/>
  <c r="J10" i="9"/>
  <c r="J7" i="9"/>
  <c r="I7" i="9" s="1"/>
  <c r="J9" i="9"/>
  <c r="D3" i="6"/>
  <c r="O34" i="9" l="1"/>
  <c r="O41" i="9"/>
  <c r="O35" i="9"/>
  <c r="O36" i="9"/>
  <c r="O42" i="9"/>
  <c r="O40" i="9"/>
  <c r="O60" i="9"/>
  <c r="O59" i="9"/>
  <c r="O67" i="9"/>
  <c r="O62" i="9"/>
  <c r="K59" i="2"/>
  <c r="K10" i="2"/>
  <c r="K69" i="2"/>
  <c r="K11" i="2"/>
  <c r="K70" i="2"/>
  <c r="K22" i="2"/>
  <c r="K71" i="2"/>
  <c r="K23" i="2"/>
  <c r="K81" i="2"/>
  <c r="K31" i="2"/>
  <c r="K82" i="2"/>
  <c r="K34" i="2"/>
  <c r="K83" i="2"/>
  <c r="K35" i="2"/>
  <c r="K47" i="2"/>
  <c r="K45" i="2"/>
  <c r="K58" i="2"/>
  <c r="K46" i="2"/>
  <c r="K12" i="2"/>
  <c r="K32" i="2"/>
  <c r="K52" i="2"/>
  <c r="K79" i="2"/>
  <c r="K25" i="2"/>
  <c r="K33" i="2"/>
  <c r="K55" i="2"/>
  <c r="K28" i="2"/>
  <c r="K30" i="2"/>
  <c r="K13" i="2"/>
  <c r="K68" i="2"/>
  <c r="K66" i="2"/>
  <c r="K75" i="2"/>
  <c r="K65" i="2"/>
  <c r="K51" i="2"/>
  <c r="K18" i="2"/>
  <c r="K77" i="2"/>
  <c r="K9" i="2"/>
  <c r="K27" i="2"/>
  <c r="K80" i="2"/>
  <c r="K64" i="2"/>
  <c r="K74" i="2"/>
  <c r="K40" i="2"/>
  <c r="K72" i="2"/>
  <c r="K16" i="2"/>
  <c r="K41" i="2"/>
  <c r="K21" i="2"/>
  <c r="K37" i="2"/>
  <c r="K56" i="2"/>
  <c r="K15" i="2"/>
  <c r="K62" i="2"/>
  <c r="K60" i="2"/>
  <c r="K61" i="2"/>
  <c r="K17" i="2"/>
  <c r="K67" i="2"/>
  <c r="K57" i="2"/>
  <c r="K50" i="2"/>
  <c r="K63" i="2"/>
  <c r="K48" i="2"/>
  <c r="K24" i="2"/>
  <c r="K29" i="2"/>
  <c r="K49" i="2"/>
  <c r="K44" i="2"/>
  <c r="K19" i="2"/>
  <c r="K20" i="2"/>
  <c r="K38" i="2"/>
  <c r="K39" i="2"/>
  <c r="K36" i="2"/>
  <c r="K14" i="2"/>
  <c r="K53" i="2"/>
  <c r="K54" i="2"/>
  <c r="K43" i="2"/>
  <c r="K26" i="2"/>
  <c r="K73" i="2"/>
  <c r="K78" i="2"/>
  <c r="K42" i="2"/>
  <c r="K76" i="2"/>
  <c r="O68" i="9"/>
  <c r="O54" i="9"/>
  <c r="O45" i="9"/>
  <c r="S5" i="9"/>
  <c r="T5" i="9" s="1"/>
  <c r="O75" i="9"/>
  <c r="O70" i="9"/>
  <c r="O46" i="9"/>
  <c r="O78" i="9"/>
  <c r="O63" i="9"/>
  <c r="O73" i="9"/>
  <c r="O76" i="9"/>
  <c r="O64" i="9"/>
  <c r="O65" i="9"/>
  <c r="O61" i="9"/>
  <c r="O72" i="9"/>
  <c r="O55" i="9"/>
  <c r="O66" i="9"/>
  <c r="O71" i="9"/>
  <c r="O48" i="9"/>
  <c r="O44" i="9"/>
  <c r="O47" i="9"/>
  <c r="O56" i="9"/>
  <c r="O52" i="9"/>
  <c r="O57" i="9"/>
  <c r="O49" i="9"/>
  <c r="O69" i="9"/>
  <c r="O74" i="9"/>
  <c r="O58" i="9"/>
  <c r="O77" i="9"/>
  <c r="O50" i="9"/>
  <c r="O51" i="9"/>
  <c r="D43" i="6"/>
  <c r="E48" i="6"/>
  <c r="D44" i="6"/>
  <c r="D50" i="6"/>
  <c r="E46" i="6"/>
  <c r="C47" i="6"/>
  <c r="D48" i="6"/>
  <c r="E47" i="6"/>
  <c r="D47" i="6"/>
  <c r="D46" i="6"/>
  <c r="N43" i="7"/>
  <c r="O64" i="7"/>
  <c r="E149" i="7" s="1"/>
  <c r="M65" i="7"/>
  <c r="M57" i="7"/>
  <c r="O68" i="7"/>
  <c r="E153" i="7" s="1"/>
  <c r="M60" i="7"/>
  <c r="N68" i="7"/>
  <c r="O57" i="7"/>
  <c r="E142" i="7" s="1"/>
  <c r="O76" i="7"/>
  <c r="E161" i="7" s="1"/>
  <c r="O63" i="7"/>
  <c r="E148" i="7" s="1"/>
  <c r="O61" i="7"/>
  <c r="E146" i="7" s="1"/>
  <c r="M56" i="7"/>
  <c r="N77" i="7"/>
  <c r="M75" i="7"/>
  <c r="O52" i="7"/>
  <c r="E137" i="7" s="1"/>
  <c r="M59" i="7"/>
  <c r="M46" i="7"/>
  <c r="N67" i="7"/>
  <c r="N63" i="7"/>
  <c r="O67" i="7"/>
  <c r="E152" i="7" s="1"/>
  <c r="M74" i="7"/>
  <c r="O62" i="7"/>
  <c r="E147" i="7" s="1"/>
  <c r="N47" i="7"/>
  <c r="N60" i="7"/>
  <c r="M45" i="7"/>
  <c r="N66" i="7"/>
  <c r="N64" i="7"/>
  <c r="O58" i="7"/>
  <c r="E143" i="7" s="1"/>
  <c r="M43" i="7"/>
  <c r="O51" i="7"/>
  <c r="E136" i="7" s="1"/>
  <c r="N72" i="7"/>
  <c r="O48" i="7"/>
  <c r="E133" i="7" s="1"/>
  <c r="M70" i="7"/>
  <c r="M66" i="7"/>
  <c r="N70" i="7"/>
  <c r="M44" i="7"/>
  <c r="N65" i="7"/>
  <c r="M58" i="7"/>
  <c r="M63" i="7"/>
  <c r="O47" i="7"/>
  <c r="E132" i="7" s="1"/>
  <c r="M69" i="7"/>
  <c r="M67" i="7"/>
  <c r="N61" i="7"/>
  <c r="O45" i="7"/>
  <c r="E130" i="7" s="1"/>
  <c r="O65" i="7"/>
  <c r="E150" i="7" s="1"/>
  <c r="N53" i="7"/>
  <c r="N51" i="7"/>
  <c r="O72" i="7"/>
  <c r="E157" i="7" s="1"/>
  <c r="N71" i="7"/>
  <c r="M73" i="7"/>
  <c r="O46" i="7"/>
  <c r="E131" i="7" s="1"/>
  <c r="M68" i="7"/>
  <c r="N44" i="7"/>
  <c r="M71" i="7"/>
  <c r="N50" i="7"/>
  <c r="O71" i="7"/>
  <c r="E156" i="7" s="1"/>
  <c r="O77" i="7"/>
  <c r="E162" i="7" s="1"/>
  <c r="M64" i="7"/>
  <c r="N48" i="7"/>
  <c r="N57" i="7"/>
  <c r="M54" i="7"/>
  <c r="N75" i="7"/>
  <c r="O43" i="7"/>
  <c r="E128" i="7" s="1"/>
  <c r="O75" i="7"/>
  <c r="E160" i="7" s="1"/>
  <c r="N49" i="7"/>
  <c r="O70" i="7"/>
  <c r="E155" i="7" s="1"/>
  <c r="M47" i="7"/>
  <c r="O73" i="7"/>
  <c r="E158" i="7" s="1"/>
  <c r="M53" i="7"/>
  <c r="N74" i="7"/>
  <c r="N45" i="7"/>
  <c r="O66" i="7"/>
  <c r="E151" i="7" s="1"/>
  <c r="M51" i="7"/>
  <c r="M55" i="7"/>
  <c r="O56" i="7"/>
  <c r="E141" i="7" s="1"/>
  <c r="N54" i="7"/>
  <c r="N46" i="7"/>
  <c r="O44" i="7"/>
  <c r="E129" i="7" s="1"/>
  <c r="M52" i="7"/>
  <c r="N73" i="7"/>
  <c r="O49" i="7"/>
  <c r="E134" i="7" s="1"/>
  <c r="N76" i="7"/>
  <c r="O55" i="7"/>
  <c r="E140" i="7" s="1"/>
  <c r="M77" i="7"/>
  <c r="M48" i="7"/>
  <c r="N69" i="7"/>
  <c r="N56" i="7"/>
  <c r="N62" i="7"/>
  <c r="M61" i="7"/>
  <c r="N59" i="7"/>
  <c r="O59" i="7"/>
  <c r="E144" i="7" s="1"/>
  <c r="M49" i="7"/>
  <c r="M50" i="7"/>
  <c r="O54" i="7"/>
  <c r="E139" i="7" s="1"/>
  <c r="M76" i="7"/>
  <c r="N52" i="7"/>
  <c r="N55" i="7"/>
  <c r="N58" i="7"/>
  <c r="O53" i="7"/>
  <c r="E138" i="7" s="1"/>
  <c r="O50" i="7"/>
  <c r="E135" i="7" s="1"/>
  <c r="M72" i="7"/>
  <c r="O69" i="7"/>
  <c r="E154" i="7" s="1"/>
  <c r="M62" i="7"/>
  <c r="O60" i="7"/>
  <c r="E145" i="7" s="1"/>
  <c r="O74" i="7"/>
  <c r="E159" i="7" s="1"/>
  <c r="M34" i="7"/>
  <c r="N38" i="7"/>
  <c r="N37" i="7"/>
  <c r="N36" i="7"/>
  <c r="N39" i="7"/>
  <c r="O35" i="7"/>
  <c r="E120" i="7" s="1"/>
  <c r="M33" i="7"/>
  <c r="N41" i="7"/>
  <c r="N40" i="7"/>
  <c r="M38" i="7"/>
  <c r="O34" i="7"/>
  <c r="E119" i="7" s="1"/>
  <c r="O33" i="7"/>
  <c r="E118" i="7" s="1"/>
  <c r="M35" i="7"/>
  <c r="O39" i="7"/>
  <c r="E124" i="7" s="1"/>
  <c r="M37" i="7"/>
  <c r="M36" i="7"/>
  <c r="O36" i="7"/>
  <c r="E121" i="7" s="1"/>
  <c r="M42" i="7"/>
  <c r="O38" i="7"/>
  <c r="E123" i="7" s="1"/>
  <c r="O37" i="7"/>
  <c r="E122" i="7" s="1"/>
  <c r="M39" i="7"/>
  <c r="M41" i="7"/>
  <c r="O40" i="7"/>
  <c r="E125" i="7" s="1"/>
  <c r="O78" i="7"/>
  <c r="E163" i="7" s="1"/>
  <c r="M40" i="7"/>
  <c r="N42" i="7"/>
  <c r="O42" i="7"/>
  <c r="E127" i="7" s="1"/>
  <c r="O41" i="7"/>
  <c r="E126" i="7" s="1"/>
  <c r="M78" i="7"/>
  <c r="C163" i="7" s="1"/>
  <c r="N34" i="7"/>
  <c r="N33" i="7"/>
  <c r="N78" i="7"/>
  <c r="D163" i="7" s="1"/>
  <c r="N35" i="7"/>
  <c r="P9" i="9"/>
  <c r="O23" i="7"/>
  <c r="E108" i="7" s="1"/>
  <c r="O25" i="7"/>
  <c r="E110" i="7" s="1"/>
  <c r="M24" i="7"/>
  <c r="C109" i="7" s="1"/>
  <c r="M11" i="7"/>
  <c r="C96" i="7" s="1"/>
  <c r="N32" i="7"/>
  <c r="D117" i="7" s="1"/>
  <c r="N11" i="7"/>
  <c r="D96" i="7" s="1"/>
  <c r="O32" i="7"/>
  <c r="E117" i="7" s="1"/>
  <c r="N14" i="7"/>
  <c r="D99" i="7" s="1"/>
  <c r="N9" i="7"/>
  <c r="D94" i="7" s="1"/>
  <c r="M18" i="7"/>
  <c r="C103" i="7" s="1"/>
  <c r="N25" i="7"/>
  <c r="D110" i="7" s="1"/>
  <c r="O8" i="7"/>
  <c r="E93" i="7" s="1"/>
  <c r="N26" i="7"/>
  <c r="D111" i="7" s="1"/>
  <c r="O26" i="7"/>
  <c r="E111" i="7" s="1"/>
  <c r="O13" i="7"/>
  <c r="E98" i="7" s="1"/>
  <c r="N17" i="7"/>
  <c r="D102" i="7" s="1"/>
  <c r="M14" i="7"/>
  <c r="C99" i="7" s="1"/>
  <c r="O6" i="7"/>
  <c r="E91" i="7" s="1"/>
  <c r="M17" i="7"/>
  <c r="C102" i="7" s="1"/>
  <c r="M28" i="7"/>
  <c r="C113" i="7" s="1"/>
  <c r="O20" i="7"/>
  <c r="E105" i="7" s="1"/>
  <c r="M7" i="7"/>
  <c r="C92" i="7" s="1"/>
  <c r="N8" i="7"/>
  <c r="D93" i="7" s="1"/>
  <c r="N15" i="7"/>
  <c r="D100" i="7" s="1"/>
  <c r="O7" i="7"/>
  <c r="E92" i="7" s="1"/>
  <c r="M29" i="7"/>
  <c r="C114" i="7" s="1"/>
  <c r="M8" i="7"/>
  <c r="C93" i="7" s="1"/>
  <c r="N29" i="7"/>
  <c r="D114" i="7" s="1"/>
  <c r="N16" i="7"/>
  <c r="D101" i="7" s="1"/>
  <c r="O22" i="7"/>
  <c r="E107" i="7" s="1"/>
  <c r="O16" i="7"/>
  <c r="E101" i="7" s="1"/>
  <c r="O19" i="7"/>
  <c r="E104" i="7" s="1"/>
  <c r="O9" i="7"/>
  <c r="E94" i="7" s="1"/>
  <c r="N23" i="7"/>
  <c r="D108" i="7" s="1"/>
  <c r="M23" i="7"/>
  <c r="C108" i="7" s="1"/>
  <c r="M15" i="7"/>
  <c r="C100" i="7" s="1"/>
  <c r="N10" i="7"/>
  <c r="D95" i="7" s="1"/>
  <c r="O31" i="7"/>
  <c r="E116" i="7" s="1"/>
  <c r="O10" i="7"/>
  <c r="E95" i="7" s="1"/>
  <c r="M32" i="7"/>
  <c r="C117" i="7" s="1"/>
  <c r="M19" i="7"/>
  <c r="C104" i="7" s="1"/>
  <c r="N12" i="7"/>
  <c r="D97" i="7" s="1"/>
  <c r="N19" i="7"/>
  <c r="D104" i="7" s="1"/>
  <c r="O17" i="7"/>
  <c r="E102" i="7" s="1"/>
  <c r="N22" i="7"/>
  <c r="D107" i="7" s="1"/>
  <c r="N28" i="7"/>
  <c r="D113" i="7" s="1"/>
  <c r="M26" i="7"/>
  <c r="C111" i="7" s="1"/>
  <c r="M21" i="7"/>
  <c r="C106" i="7" s="1"/>
  <c r="O11" i="7"/>
  <c r="E96" i="7" s="1"/>
  <c r="M13" i="7"/>
  <c r="C98" i="7" s="1"/>
  <c r="N13" i="7"/>
  <c r="D98" i="7" s="1"/>
  <c r="O21" i="7"/>
  <c r="E106" i="7" s="1"/>
  <c r="N20" i="7"/>
  <c r="D105" i="7" s="1"/>
  <c r="M22" i="7"/>
  <c r="C107" i="7" s="1"/>
  <c r="M31" i="7"/>
  <c r="C116" i="7" s="1"/>
  <c r="M25" i="7"/>
  <c r="C110" i="7" s="1"/>
  <c r="N7" i="7"/>
  <c r="D92" i="7" s="1"/>
  <c r="O28" i="7"/>
  <c r="E113" i="7" s="1"/>
  <c r="O15" i="7"/>
  <c r="E100" i="7" s="1"/>
  <c r="M12" i="7"/>
  <c r="C97" i="7" s="1"/>
  <c r="M16" i="7"/>
  <c r="C101" i="7" s="1"/>
  <c r="M20" i="7"/>
  <c r="C105" i="7" s="1"/>
  <c r="N24" i="7"/>
  <c r="D109" i="7" s="1"/>
  <c r="O24" i="7"/>
  <c r="E109" i="7" s="1"/>
  <c r="O27" i="7"/>
  <c r="E112" i="7" s="1"/>
  <c r="M10" i="7"/>
  <c r="C95" i="7" s="1"/>
  <c r="N31" i="7"/>
  <c r="D116" i="7" s="1"/>
  <c r="N21" i="7"/>
  <c r="D106" i="7" s="1"/>
  <c r="O14" i="7"/>
  <c r="E99" i="7" s="1"/>
  <c r="N18" i="7"/>
  <c r="D103" i="7" s="1"/>
  <c r="O30" i="7"/>
  <c r="E115" i="7" s="1"/>
  <c r="O18" i="7"/>
  <c r="E103" i="7" s="1"/>
  <c r="M27" i="7"/>
  <c r="C112" i="7" s="1"/>
  <c r="N27" i="7"/>
  <c r="D112" i="7" s="1"/>
  <c r="M9" i="7"/>
  <c r="C94" i="7" s="1"/>
  <c r="N30" i="7"/>
  <c r="D115" i="7" s="1"/>
  <c r="O12" i="7"/>
  <c r="E97" i="7" s="1"/>
  <c r="O29" i="7"/>
  <c r="E114" i="7" s="1"/>
  <c r="M30" i="7"/>
  <c r="C115" i="7" s="1"/>
  <c r="I8" i="7"/>
  <c r="J8" i="7"/>
  <c r="K8" i="7"/>
  <c r="I5" i="7"/>
  <c r="J5" i="7"/>
  <c r="K5" i="7"/>
  <c r="I7" i="7"/>
  <c r="M6" i="7" s="1"/>
  <c r="C91" i="7" s="1"/>
  <c r="J7" i="7"/>
  <c r="X11" i="9"/>
  <c r="P7" i="9"/>
  <c r="T7" i="9" s="1"/>
  <c r="P10" i="9"/>
  <c r="J8" i="9"/>
  <c r="I8" i="9" s="1"/>
  <c r="L12" i="2"/>
  <c r="B9" i="2"/>
  <c r="D9" i="6" l="1"/>
  <c r="D10" i="6"/>
  <c r="P52" i="7"/>
  <c r="F137" i="7" s="1"/>
  <c r="D137" i="7"/>
  <c r="P62" i="7"/>
  <c r="F147" i="7" s="1"/>
  <c r="D147" i="7"/>
  <c r="P73" i="7"/>
  <c r="F158" i="7" s="1"/>
  <c r="D158" i="7"/>
  <c r="P60" i="7"/>
  <c r="F145" i="7" s="1"/>
  <c r="D145" i="7"/>
  <c r="L59" i="7"/>
  <c r="B144" i="7" s="1"/>
  <c r="C144" i="7"/>
  <c r="L62" i="7"/>
  <c r="B147" i="7" s="1"/>
  <c r="C147" i="7"/>
  <c r="L76" i="7"/>
  <c r="B161" i="7" s="1"/>
  <c r="C161" i="7"/>
  <c r="P56" i="7"/>
  <c r="F141" i="7" s="1"/>
  <c r="D141" i="7"/>
  <c r="L52" i="7"/>
  <c r="B137" i="7" s="1"/>
  <c r="C137" i="7"/>
  <c r="P45" i="7"/>
  <c r="F130" i="7" s="1"/>
  <c r="D130" i="7"/>
  <c r="P50" i="7"/>
  <c r="F135" i="7" s="1"/>
  <c r="D135" i="7"/>
  <c r="P51" i="7"/>
  <c r="F136" i="7" s="1"/>
  <c r="D136" i="7"/>
  <c r="L63" i="7"/>
  <c r="B148" i="7" s="1"/>
  <c r="C148" i="7"/>
  <c r="P72" i="7"/>
  <c r="F157" i="7" s="1"/>
  <c r="D157" i="7"/>
  <c r="P47" i="7"/>
  <c r="F132" i="7" s="1"/>
  <c r="D132" i="7"/>
  <c r="P68" i="7"/>
  <c r="F153" i="7" s="1"/>
  <c r="D153" i="7"/>
  <c r="P69" i="7"/>
  <c r="F154" i="7" s="1"/>
  <c r="D154" i="7"/>
  <c r="P74" i="7"/>
  <c r="F159" i="7" s="1"/>
  <c r="D159" i="7"/>
  <c r="P75" i="7"/>
  <c r="F160" i="7" s="1"/>
  <c r="D160" i="7"/>
  <c r="L71" i="7"/>
  <c r="B156" i="7" s="1"/>
  <c r="C156" i="7"/>
  <c r="P53" i="7"/>
  <c r="F138" i="7" s="1"/>
  <c r="D138" i="7"/>
  <c r="L58" i="7"/>
  <c r="B143" i="7" s="1"/>
  <c r="C143" i="7"/>
  <c r="L75" i="7"/>
  <c r="B160" i="7" s="1"/>
  <c r="C160" i="7"/>
  <c r="L60" i="7"/>
  <c r="B145" i="7" s="1"/>
  <c r="C145" i="7"/>
  <c r="L72" i="7"/>
  <c r="B157" i="7" s="1"/>
  <c r="C157" i="7"/>
  <c r="L50" i="7"/>
  <c r="B135" i="7" s="1"/>
  <c r="C135" i="7"/>
  <c r="L48" i="7"/>
  <c r="B133" i="7" s="1"/>
  <c r="C133" i="7"/>
  <c r="P46" i="7"/>
  <c r="F131" i="7" s="1"/>
  <c r="D131" i="7"/>
  <c r="L53" i="7"/>
  <c r="B138" i="7" s="1"/>
  <c r="C138" i="7"/>
  <c r="L54" i="7"/>
  <c r="B139" i="7" s="1"/>
  <c r="C139" i="7"/>
  <c r="P44" i="7"/>
  <c r="F129" i="7" s="1"/>
  <c r="D129" i="7"/>
  <c r="P65" i="7"/>
  <c r="F150" i="7" s="1"/>
  <c r="D150" i="7"/>
  <c r="L43" i="7"/>
  <c r="B128" i="7" s="1"/>
  <c r="C128" i="7"/>
  <c r="L74" i="7"/>
  <c r="B159" i="7" s="1"/>
  <c r="C159" i="7"/>
  <c r="P77" i="7"/>
  <c r="F162" i="7" s="1"/>
  <c r="D162" i="7"/>
  <c r="L49" i="7"/>
  <c r="B134" i="7" s="1"/>
  <c r="C134" i="7"/>
  <c r="L77" i="7"/>
  <c r="B162" i="7" s="1"/>
  <c r="C162" i="7"/>
  <c r="P54" i="7"/>
  <c r="F139" i="7" s="1"/>
  <c r="D139" i="7"/>
  <c r="P57" i="7"/>
  <c r="F142" i="7" s="1"/>
  <c r="D142" i="7"/>
  <c r="L68" i="7"/>
  <c r="B153" i="7" s="1"/>
  <c r="C153" i="7"/>
  <c r="L44" i="7"/>
  <c r="B129" i="7" s="1"/>
  <c r="C129" i="7"/>
  <c r="L56" i="7"/>
  <c r="B141" i="7" s="1"/>
  <c r="C141" i="7"/>
  <c r="L57" i="7"/>
  <c r="B142" i="7" s="1"/>
  <c r="C142" i="7"/>
  <c r="L47" i="7"/>
  <c r="B132" i="7" s="1"/>
  <c r="C132" i="7"/>
  <c r="P48" i="7"/>
  <c r="F133" i="7" s="1"/>
  <c r="D133" i="7"/>
  <c r="P61" i="7"/>
  <c r="F146" i="7" s="1"/>
  <c r="D146" i="7"/>
  <c r="P70" i="7"/>
  <c r="F155" i="7" s="1"/>
  <c r="D155" i="7"/>
  <c r="P64" i="7"/>
  <c r="F149" i="7" s="1"/>
  <c r="D149" i="7"/>
  <c r="P63" i="7"/>
  <c r="F148" i="7" s="1"/>
  <c r="D148" i="7"/>
  <c r="L65" i="7"/>
  <c r="B150" i="7" s="1"/>
  <c r="C150" i="7"/>
  <c r="P58" i="7"/>
  <c r="F143" i="7" s="1"/>
  <c r="D143" i="7"/>
  <c r="P59" i="7"/>
  <c r="F144" i="7" s="1"/>
  <c r="D144" i="7"/>
  <c r="P76" i="7"/>
  <c r="F161" i="7" s="1"/>
  <c r="D161" i="7"/>
  <c r="L55" i="7"/>
  <c r="B140" i="7" s="1"/>
  <c r="C140" i="7"/>
  <c r="L64" i="7"/>
  <c r="B149" i="7" s="1"/>
  <c r="C149" i="7"/>
  <c r="L73" i="7"/>
  <c r="B158" i="7" s="1"/>
  <c r="C158" i="7"/>
  <c r="L67" i="7"/>
  <c r="B152" i="7" s="1"/>
  <c r="C152" i="7"/>
  <c r="L66" i="7"/>
  <c r="B151" i="7" s="1"/>
  <c r="C151" i="7"/>
  <c r="P66" i="7"/>
  <c r="F151" i="7" s="1"/>
  <c r="D151" i="7"/>
  <c r="P67" i="7"/>
  <c r="F152" i="7" s="1"/>
  <c r="D152" i="7"/>
  <c r="P55" i="7"/>
  <c r="F140" i="7" s="1"/>
  <c r="D140" i="7"/>
  <c r="L61" i="7"/>
  <c r="B146" i="7" s="1"/>
  <c r="C146" i="7"/>
  <c r="L51" i="7"/>
  <c r="B136" i="7" s="1"/>
  <c r="C136" i="7"/>
  <c r="P49" i="7"/>
  <c r="F134" i="7" s="1"/>
  <c r="D134" i="7"/>
  <c r="P71" i="7"/>
  <c r="F156" i="7" s="1"/>
  <c r="D156" i="7"/>
  <c r="L69" i="7"/>
  <c r="B154" i="7" s="1"/>
  <c r="C154" i="7"/>
  <c r="L70" i="7"/>
  <c r="B155" i="7" s="1"/>
  <c r="C155" i="7"/>
  <c r="L45" i="7"/>
  <c r="B130" i="7" s="1"/>
  <c r="C130" i="7"/>
  <c r="L46" i="7"/>
  <c r="B131" i="7" s="1"/>
  <c r="C131" i="7"/>
  <c r="P43" i="7"/>
  <c r="F128" i="7" s="1"/>
  <c r="D128" i="7"/>
  <c r="X5" i="9"/>
  <c r="P78" i="7"/>
  <c r="F163" i="7" s="1"/>
  <c r="L36" i="7"/>
  <c r="B121" i="7" s="1"/>
  <c r="C121" i="7"/>
  <c r="P33" i="7"/>
  <c r="F118" i="7" s="1"/>
  <c r="D118" i="7"/>
  <c r="L37" i="7"/>
  <c r="B122" i="7" s="1"/>
  <c r="C122" i="7"/>
  <c r="L33" i="7"/>
  <c r="B118" i="7" s="1"/>
  <c r="C118" i="7"/>
  <c r="P41" i="7"/>
  <c r="F126" i="7" s="1"/>
  <c r="D126" i="7"/>
  <c r="P34" i="7"/>
  <c r="F119" i="7" s="1"/>
  <c r="D119" i="7"/>
  <c r="L41" i="7"/>
  <c r="B126" i="7" s="1"/>
  <c r="C126" i="7"/>
  <c r="L78" i="7"/>
  <c r="B163" i="7" s="1"/>
  <c r="L39" i="7"/>
  <c r="B124" i="7" s="1"/>
  <c r="C124" i="7"/>
  <c r="L35" i="7"/>
  <c r="B120" i="7" s="1"/>
  <c r="C120" i="7"/>
  <c r="P39" i="7"/>
  <c r="F124" i="7" s="1"/>
  <c r="D124" i="7"/>
  <c r="P36" i="7"/>
  <c r="F121" i="7" s="1"/>
  <c r="D121" i="7"/>
  <c r="P37" i="7"/>
  <c r="F122" i="7" s="1"/>
  <c r="D122" i="7"/>
  <c r="P42" i="7"/>
  <c r="F127" i="7" s="1"/>
  <c r="D127" i="7"/>
  <c r="L42" i="7"/>
  <c r="B127" i="7" s="1"/>
  <c r="C127" i="7"/>
  <c r="L38" i="7"/>
  <c r="B123" i="7" s="1"/>
  <c r="C123" i="7"/>
  <c r="P38" i="7"/>
  <c r="F123" i="7" s="1"/>
  <c r="D123" i="7"/>
  <c r="P35" i="7"/>
  <c r="F120" i="7" s="1"/>
  <c r="D120" i="7"/>
  <c r="L40" i="7"/>
  <c r="B125" i="7" s="1"/>
  <c r="C125" i="7"/>
  <c r="P40" i="7"/>
  <c r="F125" i="7" s="1"/>
  <c r="D125" i="7"/>
  <c r="L34" i="7"/>
  <c r="B119" i="7" s="1"/>
  <c r="C119" i="7"/>
  <c r="X6" i="9"/>
  <c r="X10" i="9"/>
  <c r="X9" i="9"/>
  <c r="X7" i="9"/>
  <c r="N4" i="7"/>
  <c r="D89" i="7" s="1"/>
  <c r="N6" i="7"/>
  <c r="D91" i="7" s="1"/>
  <c r="O5" i="7"/>
  <c r="E90" i="7" s="1"/>
  <c r="N5" i="7"/>
  <c r="P5" i="7" s="1"/>
  <c r="F90" i="7" s="1"/>
  <c r="M4" i="7"/>
  <c r="L4" i="7" s="1"/>
  <c r="B89" i="7" s="1"/>
  <c r="O4" i="7"/>
  <c r="E89" i="7" s="1"/>
  <c r="P13" i="7"/>
  <c r="F98" i="7" s="1"/>
  <c r="P11" i="7"/>
  <c r="F96" i="7" s="1"/>
  <c r="P28" i="7"/>
  <c r="F113" i="7" s="1"/>
  <c r="P15" i="7"/>
  <c r="F100" i="7" s="1"/>
  <c r="P17" i="7"/>
  <c r="F102" i="7" s="1"/>
  <c r="P14" i="7"/>
  <c r="F99" i="7" s="1"/>
  <c r="P10" i="7"/>
  <c r="F95" i="7" s="1"/>
  <c r="P7" i="7"/>
  <c r="F92" i="7" s="1"/>
  <c r="P19" i="7"/>
  <c r="F104" i="7" s="1"/>
  <c r="P16" i="7"/>
  <c r="F101" i="7" s="1"/>
  <c r="P26" i="7"/>
  <c r="F111" i="7" s="1"/>
  <c r="P32" i="7"/>
  <c r="F117" i="7" s="1"/>
  <c r="P22" i="7"/>
  <c r="F107" i="7" s="1"/>
  <c r="P18" i="7"/>
  <c r="F103" i="7" s="1"/>
  <c r="P12" i="7"/>
  <c r="F97" i="7" s="1"/>
  <c r="P29" i="7"/>
  <c r="F114" i="7" s="1"/>
  <c r="P8" i="7"/>
  <c r="F93" i="7" s="1"/>
  <c r="P24" i="7"/>
  <c r="F109" i="7" s="1"/>
  <c r="P23" i="7"/>
  <c r="F108" i="7" s="1"/>
  <c r="P25" i="7"/>
  <c r="F110" i="7" s="1"/>
  <c r="P21" i="7"/>
  <c r="F106" i="7" s="1"/>
  <c r="P30" i="7"/>
  <c r="F115" i="7" s="1"/>
  <c r="P27" i="7"/>
  <c r="F112" i="7" s="1"/>
  <c r="P31" i="7"/>
  <c r="F116" i="7" s="1"/>
  <c r="P20" i="7"/>
  <c r="F105" i="7" s="1"/>
  <c r="P9" i="7"/>
  <c r="F94" i="7" s="1"/>
  <c r="M5" i="7"/>
  <c r="C90" i="7" s="1"/>
  <c r="L15" i="7"/>
  <c r="B100" i="7" s="1"/>
  <c r="L25" i="7"/>
  <c r="B110" i="7" s="1"/>
  <c r="L13" i="7"/>
  <c r="B98" i="7" s="1"/>
  <c r="L23" i="7"/>
  <c r="B108" i="7" s="1"/>
  <c r="L28" i="7"/>
  <c r="B113" i="7" s="1"/>
  <c r="L30" i="7"/>
  <c r="B115" i="7" s="1"/>
  <c r="L31" i="7"/>
  <c r="B116" i="7" s="1"/>
  <c r="L19" i="7"/>
  <c r="B104" i="7" s="1"/>
  <c r="L8" i="7"/>
  <c r="B93" i="7" s="1"/>
  <c r="L17" i="7"/>
  <c r="B102" i="7" s="1"/>
  <c r="L11" i="7"/>
  <c r="B96" i="7" s="1"/>
  <c r="L27" i="7"/>
  <c r="B112" i="7" s="1"/>
  <c r="L7" i="7"/>
  <c r="B92" i="7" s="1"/>
  <c r="L9" i="7"/>
  <c r="B94" i="7" s="1"/>
  <c r="L20" i="7"/>
  <c r="B105" i="7" s="1"/>
  <c r="L22" i="7"/>
  <c r="B107" i="7" s="1"/>
  <c r="L21" i="7"/>
  <c r="B106" i="7" s="1"/>
  <c r="L32" i="7"/>
  <c r="B117" i="7" s="1"/>
  <c r="L29" i="7"/>
  <c r="B114" i="7" s="1"/>
  <c r="L24" i="7"/>
  <c r="B109" i="7" s="1"/>
  <c r="L16" i="7"/>
  <c r="B101" i="7" s="1"/>
  <c r="L26" i="7"/>
  <c r="B111" i="7" s="1"/>
  <c r="L14" i="7"/>
  <c r="B99" i="7" s="1"/>
  <c r="L18" i="7"/>
  <c r="B103" i="7" s="1"/>
  <c r="L6" i="7"/>
  <c r="B91" i="7" s="1"/>
  <c r="L10" i="7"/>
  <c r="B95" i="7" s="1"/>
  <c r="L12" i="7"/>
  <c r="B97" i="7" s="1"/>
  <c r="L14" i="2"/>
  <c r="L10" i="2"/>
  <c r="L11" i="2"/>
  <c r="L47" i="2"/>
  <c r="L22" i="2"/>
  <c r="L19" i="2"/>
  <c r="L28" i="2"/>
  <c r="L24" i="2"/>
  <c r="L34" i="2"/>
  <c r="P8" i="9"/>
  <c r="T8" i="9" s="1"/>
  <c r="L13" i="2"/>
  <c r="L17" i="2"/>
  <c r="L23" i="2"/>
  <c r="L20" i="2"/>
  <c r="L32" i="2"/>
  <c r="L30" i="2"/>
  <c r="L18" i="2"/>
  <c r="L15" i="2"/>
  <c r="L16" i="2"/>
  <c r="L21" i="2"/>
  <c r="L31" i="2"/>
  <c r="L33" i="2"/>
  <c r="L26" i="2"/>
  <c r="L36" i="2"/>
  <c r="L25" i="2"/>
  <c r="L27" i="2"/>
  <c r="L29" i="2"/>
  <c r="L35" i="2"/>
  <c r="F9" i="2" l="1"/>
  <c r="G9" i="2" s="1"/>
  <c r="D90" i="7"/>
  <c r="X8" i="9"/>
  <c r="P4" i="7"/>
  <c r="F89" i="7" s="1"/>
  <c r="P6" i="7"/>
  <c r="F91" i="7" s="1"/>
  <c r="C89" i="7"/>
  <c r="L5" i="7"/>
  <c r="B90" i="7" s="1"/>
  <c r="L83" i="2"/>
  <c r="H9" i="2" l="1"/>
  <c r="J9" i="2" s="1"/>
  <c r="L9" i="2" s="1"/>
  <c r="J8" i="2" l="1"/>
</calcChain>
</file>

<file path=xl/sharedStrings.xml><?xml version="1.0" encoding="utf-8"?>
<sst xmlns="http://schemas.openxmlformats.org/spreadsheetml/2006/main" count="319" uniqueCount="241">
  <si>
    <t>ORDEN</t>
  </si>
  <si>
    <t>PROVEEDOR</t>
  </si>
  <si>
    <t>NIF/CIF PROVEEDOR</t>
  </si>
  <si>
    <t>CONCEPTO FACTURA</t>
  </si>
  <si>
    <t>BASE IMPONIBLE</t>
  </si>
  <si>
    <t>TOTAL RETENCIÓN</t>
  </si>
  <si>
    <t>TOTAL</t>
  </si>
  <si>
    <t>OBSERVACIONES</t>
  </si>
  <si>
    <t>NÚMERO DE
FACTURA</t>
  </si>
  <si>
    <t>CUENTA
CONTABLE</t>
  </si>
  <si>
    <t>BASE
IMPONIBLE IMPUTADA</t>
  </si>
  <si>
    <t xml:space="preserve">BASE
IMPONIBLE ELEGIBLE </t>
  </si>
  <si>
    <t>RETENCIÓN
PROFESIONAL
(%)</t>
  </si>
  <si>
    <t>TIPO
IVA
(%)</t>
  </si>
  <si>
    <t>TOTAL
FACTURA</t>
  </si>
  <si>
    <t>TIPO GASTO</t>
  </si>
  <si>
    <t>FECHA
(dd/mm/aa)</t>
  </si>
  <si>
    <t>FECHA PAGO 
(dd/mm/aa)</t>
  </si>
  <si>
    <t>INSERTAR ARCHIVO FACTURA
(PDF)</t>
  </si>
  <si>
    <t>INSERTAR DOCUMENTO(S) DE PAGO DE FACTURA
(PDF)</t>
  </si>
  <si>
    <t>INSERTAR CONTRATO o PEDIDO
(PDF)</t>
  </si>
  <si>
    <t>INSERTAR ALBARÁN
DEL BIEN
(PDF)</t>
  </si>
  <si>
    <t>MOD-50: RELACIÓN DE FACTURAS DEL EXPEDIENTE</t>
  </si>
  <si>
    <t>TIPO DE GASTO O INVERSIÓN</t>
  </si>
  <si>
    <t>Nº DE EXPEDIENTE:</t>
  </si>
  <si>
    <t>RAZÓN SOCIAL OFERTANTE</t>
  </si>
  <si>
    <t>NIF/CIF
OFERTANTE</t>
  </si>
  <si>
    <t>FECHA FINAL PLAZO JUSTIFICACIÓN:</t>
  </si>
  <si>
    <t>PROGRAMA:</t>
  </si>
  <si>
    <t>AÑO:</t>
  </si>
  <si>
    <t>DIVISIÓN:</t>
  </si>
  <si>
    <t>LÍNEA:</t>
  </si>
  <si>
    <t>Nº EXPEDIENTE:</t>
  </si>
  <si>
    <t>meses</t>
  </si>
  <si>
    <t>DIA FINAL EJECUCIÓN</t>
  </si>
  <si>
    <t>MES FINAL EJECUCIÓN</t>
  </si>
  <si>
    <t>AÑO FINAL DE EJECUCIÓN</t>
  </si>
  <si>
    <t>FECHA FINAL EJECUCIÓN</t>
  </si>
  <si>
    <t>FECHA FINAL PROV. JUSTIFICACIÓN</t>
  </si>
  <si>
    <t>FECHA FINAL DE JUSTIFICACIÓN</t>
  </si>
  <si>
    <t>NUEVA FACTURA</t>
  </si>
  <si>
    <t>CÓDIGO ERROR</t>
  </si>
  <si>
    <t>FACTURA FUERA PLAZO DE EJECUCIÓN</t>
  </si>
  <si>
    <t>EN SU CASO,
OBSERVACIONES DEL BENEFICIARIO</t>
  </si>
  <si>
    <t>PAGO FUERA PLAZO DE JUSTIFICACIÓN</t>
  </si>
  <si>
    <t>FALTAN DATOS IDENTIFICATIVOS FACTURA</t>
  </si>
  <si>
    <t>TIPO
LÍNEA</t>
  </si>
  <si>
    <t>FACTURA</t>
  </si>
  <si>
    <t>FECHA
FACTURA</t>
  </si>
  <si>
    <t>FECHA
PAGO</t>
  </si>
  <si>
    <t>TIPO</t>
  </si>
  <si>
    <t>FACTURA
FUERA
PLAZO</t>
  </si>
  <si>
    <t>PAGO
FUERA
PLAZO</t>
  </si>
  <si>
    <t>COMENTARIO INFO</t>
  </si>
  <si>
    <t>RESULTADO</t>
  </si>
  <si>
    <t>IMPUTADO
(BENEFICIARIO)</t>
  </si>
  <si>
    <t>ELEGIBLE
(INFO)</t>
  </si>
  <si>
    <t>IMPUTADO vs ELEGIBLE</t>
  </si>
  <si>
    <t>IDENTIFICACIÓN FACTURAS BENEFICIARIO</t>
  </si>
  <si>
    <t>BENEF.</t>
  </si>
  <si>
    <t>INFO</t>
  </si>
  <si>
    <t>FECHA
FACTURA
DEFINITIVA</t>
  </si>
  <si>
    <t>FECHA
PAGO
DEFINITIVA</t>
  </si>
  <si>
    <t>FECHA FACTURA</t>
  </si>
  <si>
    <t>FECHA PAGO</t>
  </si>
  <si>
    <t>EN SU CASO, OBSERVACIONES
DEL BENEFICIARIO</t>
  </si>
  <si>
    <t>SEGUNDO PAGO O POSTERIORES</t>
  </si>
  <si>
    <t>NUEVA FACTURA
O
SEGUNDO PAGO
(O POSTERIORES) DE
FACTURA ANTERIOR</t>
  </si>
  <si>
    <t>CONTROL
TIPO
LÍNEA</t>
  </si>
  <si>
    <t>IMPORTE</t>
  </si>
  <si>
    <t>TIPO
ERROR</t>
  </si>
  <si>
    <t>DATOS IDENTIFICATIVOS DE LA FACTURA</t>
  </si>
  <si>
    <t>DATOS
IDENTIF
FACTURA</t>
  </si>
  <si>
    <t>FALTAN DATOS ECONÓMICOS FACTURA</t>
  </si>
  <si>
    <t>DATOS
ECONO
FACTURA</t>
  </si>
  <si>
    <t>DATOS ECONÓMICOS DE LA FACTURA</t>
  </si>
  <si>
    <t>DATOS PAGO FACTURA</t>
  </si>
  <si>
    <t>CUMPLIMENTAR DATOS DE PAGO FACTURA</t>
  </si>
  <si>
    <t>DATOS
PAGO
FACTURA</t>
  </si>
  <si>
    <t>NIF</t>
  </si>
  <si>
    <t>NIF&gt;15000</t>
  </si>
  <si>
    <t>Nº FACTURAS</t>
  </si>
  <si>
    <t>PROVEDORES &gt; 15000 CON Nº DE ORDEN</t>
  </si>
  <si>
    <t>PROVEDORES &gt; 15000 ORDENADOS</t>
  </si>
  <si>
    <t>NIF/CIF
PROVEEDOR</t>
  </si>
  <si>
    <t>FECHAS</t>
  </si>
  <si>
    <t>PRIMER PAGO</t>
  </si>
  <si>
    <t>ÚLTIMO PAGO</t>
  </si>
  <si>
    <t>PRIMER PAGO
VÁLIDO</t>
  </si>
  <si>
    <t>ÚLTIMO PAGO
VÁLIDO</t>
  </si>
  <si>
    <t>CONTROL
FECHA
PAGOS</t>
  </si>
  <si>
    <t>CONTROL
FECHAS
PAGOS</t>
  </si>
  <si>
    <t>(dd/mm/aa)</t>
  </si>
  <si>
    <t>FALTA
FECHAS</t>
  </si>
  <si>
    <t>NO HA INDICADO FECHA INICIO Y FIN DEL PROYECTO</t>
  </si>
  <si>
    <t>IMPORTE PAGADO</t>
  </si>
  <si>
    <t>Nº TOTAL
DE
FACTURAS
DEL
PROVEEDOR</t>
  </si>
  <si>
    <t>OFERTA
SELECCIONADA</t>
  </si>
  <si>
    <t>OFERTA
ALTERNATIVA</t>
  </si>
  <si>
    <t>OFERTAS ALTERNATIVAS DE PROVEEDORES PARA GASTOS/INVERSIONES DEL EXPEDIENTE CUYO IMPORTE ES SUPERIOR A 15.000 EUROS (IVA EXCLUIDO)</t>
  </si>
  <si>
    <t>EN SU CASO,
INSERTAR MEMORIA
JUSTIFICANDO ELECCIÓN
(PDF)</t>
  </si>
  <si>
    <t>OFERTAS / PROFORMAS</t>
  </si>
  <si>
    <t>HOJA/PESTAÑA "EXPEDIENTE"</t>
  </si>
  <si>
    <t>a) Digitalizar, en formato pdf, los documentos a incorporar.</t>
  </si>
  <si>
    <t>b) Guardar y cerrar el archivo generado.</t>
  </si>
  <si>
    <t>c) Situar el cursor en las celdas de color naranja donde se vaya a insertar el archivo digitalizado.</t>
  </si>
  <si>
    <t>d) De las opciones del menú, seleccionamos la de "Insertar" y, a continuación, la de "Objeto".</t>
  </si>
  <si>
    <r>
      <t>f) Seleccionamos el archivo PDF correspondiente a dicha Factura</t>
    </r>
    <r>
      <rPr>
        <b/>
        <sz val="10"/>
        <color rgb="FFFF0000"/>
        <rFont val="Century Gothic"/>
        <family val="2"/>
      </rPr>
      <t xml:space="preserve"> (IMPORTANTE: ESTE DOCUMENTO DEBE ESTAR CERRADO ANTES DE SELECCIONARLO)</t>
    </r>
    <r>
      <rPr>
        <sz val="10"/>
        <rFont val="Century Gothic"/>
        <family val="2"/>
      </rPr>
      <t xml:space="preserve"> y pulsamos el botón "Abrir"</t>
    </r>
  </si>
  <si>
    <t>g) De forma automática se incluye una imagen con el logotipo de Archivo PDF, que corresponde al archivo recién insertado.</t>
  </si>
  <si>
    <t>-. En la Hoja/Pestaña "EXPEDIENTE" se deberá cumplimentar:</t>
  </si>
  <si>
    <t>(**): La fecha final del plazo de ejecución del proyecto/actividad viene reflejada en el segundo punto de las condiciones particulares de la Resolución Individual de Concesión de Ayuda.</t>
  </si>
  <si>
    <t>-. La Hoja/Pestaña "RELACIÓN DE FACTURAS" está estructurada en los siguintes bloques:</t>
  </si>
  <si>
    <t>a) BLOQUE 1 (Columna "K"): en esta columna se van reflejando diferentes avisos en función de los datos que se van completando.</t>
  </si>
  <si>
    <t>b) BLOQUE 2 (Columnas "N" a "U"): se corresponden con los datos identificativos de la factura o pago que se va a dar de alta</t>
  </si>
  <si>
    <t>c) BLOQUE 3 (Columnas "V" a "AC"): se corresponden con los datos de carácter económico de la factura o pago que se va a dar de alta.</t>
  </si>
  <si>
    <t>d) BLOQUE 4 (Columnas "AD" y "AE"): se corresponde con los datos de pago de la factura o pago que se va a dar de alta.</t>
  </si>
  <si>
    <t>e). BLOQUE 5 (Columnas "AF" a "AI"): son las columnas disponibles para insertar los artchivos, en formato pdf, correspondientes a la factura o pago que se va a dar de alta.</t>
  </si>
  <si>
    <t>f) BLOQUE 6 (Columna "AJ"): espacio disponible para insertar, en su caso, cualquier observación que estime conveniente el beneficiario en relación con la factura o pago que se va a dar de alta.</t>
  </si>
  <si>
    <t>-. BLOQUE 1 (Columna "K"):</t>
  </si>
  <si>
    <t>-. El texto que, en su caso, aparece sirve de información sobre los datos que o no se han cumplimentado o, al menos a priori y con los datos cumplimentados por el beneficiario hasta ese momento, pueden estar incumpliendo alguno de los requisitos reflejados en las bases reguladoras del programa de ayuda.</t>
  </si>
  <si>
    <t>-. El texto que, en su caso, aparece tiene un "carácter secuencial". Es decir, refleja únicamente el primer error detectado en la cumplimentación de las celdas atendiendo al orden de las columnas. Por lo tanto, una vez subsanado un error, puede seguir apareciendo un nuevo error relativo a datos de columnas posteriores.</t>
  </si>
  <si>
    <t>-. Columna "U": en esta columna hay que seleccionar una de las dos opciones: "Nueva factura" o "Segundo pago o posteriores":</t>
  </si>
  <si>
    <t>-. "Nueva factura": en este caso, al tratarse de una nueva factura que se quiere dar de alta, será necesario cumplimentar todos los datos solicitados en las siguientes columnas.</t>
  </si>
  <si>
    <t>-. "Segundo pago o posteriores": en este caso, se autocompletará en verde las columnas correspondientes a los datos identificativos y económicos de la factura.</t>
  </si>
  <si>
    <t>HOJA/PESTAÑA "RELACIÓN DE FACTURAS"</t>
  </si>
  <si>
    <t>-. BLOQUE 2 (Columnas "N" a "U"):</t>
  </si>
  <si>
    <t>-. Las columnas "O" a "S" se deben completar con los datos identificativos de la factura.</t>
  </si>
  <si>
    <t>-. La columna "T" hay que seleccionar un tipo de gasto del desplegable.</t>
  </si>
  <si>
    <t>-. En cuanto a la columna "U" "CUENTA CONTABLE" es obligatorio su cumplimentación salvo para aquellos beneficiarios que no estén obligados a ello, de acuerdo con la normativa fiscal vigente.</t>
  </si>
  <si>
    <t>-.  BLOQUE 3 (Columnas "V" a "AC"):</t>
  </si>
  <si>
    <t>-. Columna "V" "BASE IMPONIBLE": se indicará la base imponible de la factura.</t>
  </si>
  <si>
    <t>-. Columna "W" "BASE IMPONIBLE IMPUTADA": en el caso de que la base imponible de la factura coincida con la base imponible a subvencionar se reflejará el mimo importe. En caso contrario, se reflejará la parte de la base imponible de la factura que el beneficiario entiende que es subvencionable.</t>
  </si>
  <si>
    <t>-. Columna "Y" "RETENCIÓN PROFESIONAL": en el caso de que la factura tenga contemple la retención profesional se incluirá el valor en porcentaje.</t>
  </si>
  <si>
    <t>NOTA: si la factura no contempla la retención profesional se puede dejar en blanco o incluir el valor 0,00 %</t>
  </si>
  <si>
    <t>-. Columna "AA" "TIPO DE IVA": es necesario incluir el valor correspondiente al tipo de IVA o, en su caso, indicar el valor 0,00 %</t>
  </si>
  <si>
    <t>-.  BLOQUE 4 (Columnas "AD" y "AE"):</t>
  </si>
  <si>
    <t>-. Columna "AD" "IMPORTE PAGADO": hay que reflejar el importe abonado. En el caso de que se hubiese seleccionado en la columna "U", la opción "NUEVA FACTURA", indicar el importe total abonado de la factura. Por el contrario, en el caso de que se hubiese seleccioando en la columna "U", la opción "Segundo pago o posteriores", indicar el importe abonado correspondiente a ese pago</t>
  </si>
  <si>
    <t>-. Columna "AE" "FECHA PAGO": hay que reflejar la fecha en la que se acredite que el proveedor ha recibido el importe de la factura o pago.</t>
  </si>
  <si>
    <t>-.  BLOQUE 5 (Columnas "AF" a "AI"):</t>
  </si>
  <si>
    <t>-. Hay que insertar el archivo correspondiente digitalizado, en formato pdf, de la siguinte manera:</t>
  </si>
  <si>
    <t>-.  BLOQUE 6 (Columna "AJ"):</t>
  </si>
  <si>
    <t>-. Espacio disponible para insertar, en su caso, cualquier observación que estime conveniente el beneficiario en relación con la factura o pago que se va a dar de alta.</t>
  </si>
  <si>
    <t>HOJA/PESTAÑA "LISTADO PROVEEDORES &gt; 15.000 €"</t>
  </si>
  <si>
    <t>-. El contenido de esta Hoja/Pestaña es de carácter meramente informativo y basado en los datos reflejados por el beneficiario en la Hoja/Pestaña "RELACIÓN DE FACTURAS".</t>
  </si>
  <si>
    <t>INSTRUCCIONES PARA LA CORRECTA CUMPLIMENTACIÓN DEL MOD50.
 FACTURAS IMPUTADAS</t>
  </si>
  <si>
    <t>HOJA/PESTAÑA "RELACIÓN DE OFERTAS &gt; 15.000 €"</t>
  </si>
  <si>
    <r>
      <t>-. Para</t>
    </r>
    <r>
      <rPr>
        <b/>
        <sz val="10"/>
        <rFont val="Century Gothic"/>
        <family val="2"/>
      </rPr>
      <t xml:space="preserve"> todas y cada una</t>
    </r>
    <r>
      <rPr>
        <sz val="10"/>
        <rFont val="Century Gothic"/>
        <family val="2"/>
      </rPr>
      <t xml:space="preserve"> de las facturas correspondientes a aquellos proveedores cuya suma de importes facturados sea superior a 15.000 euros, hay que relacionar y aportar dos ofertas alternativas.</t>
    </r>
  </si>
  <si>
    <t>-. De forma resumida, se recogen aquellos proveedores que tienen una suma de importes facturados superior a 15,000 euros por lo que se tendrá que aportar, en la pestaña "RELACIÓN DE OFERTAS &gt; 15.000 €", al menos dos ofertas alternativas</t>
  </si>
  <si>
    <t>-. En cada bloque, se incluirá, en primer lugar, los datos y archivos correspondiente a la oferta seleccionada (Columnas "C" a "K"). De forma análoga, también se incluirán los datos y archivos correspondientes a las dos ofetas alternativas (Columnas "C" a "K").</t>
  </si>
  <si>
    <t>-. En el caso de que no se hubiese seleccionado la oferta económicamente más ventajosa, habrá que insertar en la columna "M", memoria justificativa de la elección efectuada.</t>
  </si>
  <si>
    <t>-. Columna "N": espacio disponible para insertar, en su caso, cualquier observación que estime conveniente el beneficiario en relación con las ofertas.</t>
  </si>
  <si>
    <t>-. NOTA: la inserción de archivos digitalizados, en formato pdf, se realizará de acuerdo con lo dispuesto en las instrucciones correspondientes al BLOQUE 5 de la Hoja/pestaña "RELACIÓN DE FACTURAS"</t>
  </si>
  <si>
    <t>BENEFICIARIO:</t>
  </si>
  <si>
    <t>-. Debe cumplimentar esta Hoja Excel y anexarla a la cuenta justificativa (Solicitud de Cobro) del expediente.</t>
  </si>
  <si>
    <t>(*): Se deberá indicar la fecha de presentación de la solicitud de ayuda o la fecha de inicio del plazo de ejecución de acuerdo con lo dispuesto en el segundo punto de las condiciones particulares de la Resolución Individual de Concesión de Ayuda.</t>
  </si>
  <si>
    <t>VALIDACIÓN INFO FECHAS PAGO-MOROSIDAD</t>
  </si>
  <si>
    <t>FECHA
MAXIMA
PAGO</t>
  </si>
  <si>
    <t>IMPORTES</t>
  </si>
  <si>
    <t>EJECUTADO SEGÚN BENEFICIARIO</t>
  </si>
  <si>
    <t>ELEGIBLE SEGÚN INFO</t>
  </si>
  <si>
    <t>LÍNEA ÚNICA:</t>
  </si>
  <si>
    <t>SÍ</t>
  </si>
  <si>
    <t>ACRÓNIMO</t>
  </si>
  <si>
    <t>NOMBRE PROGRAMA</t>
  </si>
  <si>
    <t>BORM BBRR</t>
  </si>
  <si>
    <t>DEPT</t>
  </si>
  <si>
    <t>INICIAL</t>
  </si>
  <si>
    <t>MODIFICACIÓN 2</t>
  </si>
  <si>
    <t>MODIFICACIÓN 1</t>
  </si>
  <si>
    <t>PROGRAMA</t>
  </si>
  <si>
    <t>CONVOCATORIA</t>
  </si>
  <si>
    <t>PLAZO DE EJECUCIÓN</t>
  </si>
  <si>
    <t>INICIO COMÚN:</t>
  </si>
  <si>
    <t>FECHA INICIO (dd/mm/aa)</t>
  </si>
  <si>
    <t>MESES JUSTIFICACIÓN TRAS EJECUCIÓN</t>
  </si>
  <si>
    <t>TIPOS DE PAGOS</t>
  </si>
  <si>
    <t>BORM BASES REGULADORAS
(Y MODIFICACIONES):</t>
  </si>
  <si>
    <t>BORM EXTRACTO
CONVOCATORIA
(Y MODIFICACIONES):</t>
  </si>
  <si>
    <t>SRM</t>
  </si>
  <si>
    <t>USUARIOS</t>
  </si>
  <si>
    <t>VMA</t>
  </si>
  <si>
    <t>USUARIO:</t>
  </si>
  <si>
    <t>FJI</t>
  </si>
  <si>
    <t>FJM</t>
  </si>
  <si>
    <t>FPP</t>
  </si>
  <si>
    <t>FSL</t>
  </si>
  <si>
    <t>JJL</t>
  </si>
  <si>
    <t>MAR</t>
  </si>
  <si>
    <t>PCP</t>
  </si>
  <si>
    <r>
      <rPr>
        <b/>
        <sz val="10"/>
        <rFont val="Nunito Sans"/>
      </rPr>
      <t>TOTAL
IVA</t>
    </r>
    <r>
      <rPr>
        <b/>
        <sz val="6"/>
        <rFont val="Nunito Sans"/>
      </rPr>
      <t xml:space="preserve">
(NO
SUBVENCIONABLE)</t>
    </r>
  </si>
  <si>
    <t>De acuerdo con los datos aportados en la pestaña "RELACIÓN DE FACTURAS", los siguientes proveedores tienen una suma de importes facturados superior a 15,000 euros por lo que se tendrá que aportar en la pestaña "RELACIÓN DE OFERTAS &gt; 15.000 €" al menos dos ofertas alternativas.</t>
  </si>
  <si>
    <t>IMPORTE TOTAL
DEL GASTO O
INVERSIÓN
REALIZADO
(IVA EXCLUIDO)</t>
  </si>
  <si>
    <t>INSERTAR OFERTA
O
PROFORMA (PDF)</t>
  </si>
  <si>
    <t>NÚMERO OFERTA
O PROFORMA</t>
  </si>
  <si>
    <t>IMPORTE
OFERTA
O PROFORMA
(IVA EXCLUIDO)</t>
  </si>
  <si>
    <t>PAGO
POSTERIOR
A 30 DÍAS</t>
  </si>
  <si>
    <t>CONTINÚA
INCIDENCIA</t>
  </si>
  <si>
    <t>SUMA
IMPORTES
FACTURADOS
POR EL
PROVEEDOR</t>
  </si>
  <si>
    <t>NUEVA
FECHA
FACTURA</t>
  </si>
  <si>
    <t>NUEVA
FECHA
PAGO</t>
  </si>
  <si>
    <t>FECHA
ENTREGA O
PUESTA EN
MARCHA</t>
  </si>
  <si>
    <t>DÍAS
A SUMAR
(30 O ACUERDO
DE PAGO)</t>
  </si>
  <si>
    <t>OTRAS
INCIDENCIAS
(SI/NO)</t>
  </si>
  <si>
    <t>a) Celda C9: nombre o razón social del beneficiario.</t>
  </si>
  <si>
    <t>b) Celda C19: Modalidad del expediente.</t>
  </si>
  <si>
    <t>c) Celda D22: número de expediente.</t>
  </si>
  <si>
    <t>d) Celda F27: se deberá incluir la fecha final del plazo de ejecución del proyecto/actividad que viene reflejada en el segundo punto de las condiciones particulares de la Resolución Individual de Concesión de Ayuda.</t>
  </si>
  <si>
    <t>HOJA</t>
  </si>
  <si>
    <t>MAESTRO</t>
  </si>
  <si>
    <t>VISUALIZACIÓN</t>
  </si>
  <si>
    <t>USUARIOS INTERNOS</t>
  </si>
  <si>
    <t>USUARIOS EXTERNOS</t>
  </si>
  <si>
    <t>EX1</t>
  </si>
  <si>
    <t>EX2</t>
  </si>
  <si>
    <t>EX3</t>
  </si>
  <si>
    <t>EX4</t>
  </si>
  <si>
    <t>EX5</t>
  </si>
  <si>
    <t>COMODIN</t>
  </si>
  <si>
    <t>RANGO</t>
  </si>
  <si>
    <t>FECHAS DEFINITIVAS</t>
  </si>
  <si>
    <t>VER</t>
  </si>
  <si>
    <t>.</t>
  </si>
  <si>
    <t>CÓDIGOS ERROR E INTERMITENCIA</t>
  </si>
  <si>
    <t>Blancos en pestaña RELACIÓN DE FACTURAS</t>
  </si>
  <si>
    <t>BASE IMPUTADA SUPERIOR A LA IMPONIBLE</t>
  </si>
  <si>
    <t>BASE
IMPON.
SUP. A
IMPUT.</t>
  </si>
  <si>
    <t>-. Como norma general, hay que cumplimentar datos en las celdas de color azul. Las celdas en color naranja indican que en la celda o bien será necesario incorporar algún dato o bien habrá que insertar algún tipo de documento en formato pdf. Las celdas en color rojo indican posibles errores.</t>
  </si>
  <si>
    <t>CUMPLIMENTAR COLUMNA "O"</t>
  </si>
  <si>
    <t>NO</t>
  </si>
  <si>
    <t>EN SU CASO,
ACUERDO PAGO
CUMPLIMIENTO
LEY 3/2004 SOBRE
MOROSIDAD
(PDF)</t>
  </si>
  <si>
    <t>BORM BASES REGULADORAS
(Y MODIFICACIONES)</t>
  </si>
  <si>
    <t>APRO</t>
  </si>
  <si>
    <t>nº 82, de 11 de abril de 2023</t>
  </si>
  <si>
    <t>DOCUMENTACIÓN A INSERTAR</t>
  </si>
  <si>
    <t>CONTRATO O PEDIDO</t>
  </si>
  <si>
    <t xml:space="preserve">ALBARÁN </t>
  </si>
  <si>
    <t>Adquisición de activos materiales nuevos</t>
  </si>
  <si>
    <t>e) Dentro de la primera pestaña ("Crear nuevo") seleccionamos la opción "Package", marcamos la opción "Mostrar como icono" y pulsamos el botón "Aceptar".</t>
  </si>
  <si>
    <t>PROGRAMA DE APOYO A PYMES AUTÓNOMOS Y PYMES COMUNIDADES DE BIENES PARA INVERSIONES PRODUCTIVAS Y TECNOLÓGICAS, COFINANCIADAS POR EL FEDER</t>
  </si>
  <si>
    <t>nº 298, de 27 de diciembre de 2025</t>
  </si>
  <si>
    <t>nº 265, de 15 de noviembre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</si>
</sst>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mm/dd/yyyy"/>
    <numFmt numFmtId="165" formatCode="0.00\ %"/>
    <numFmt numFmtId="166" formatCode="dd/mm/yy"/>
    <numFmt numFmtId="167" formatCode="00"/>
    <numFmt numFmtId="168" formatCode="0000"/>
  </numFmts>
  <fonts count="25" x14ac:knownFonts="1">
    <font>
      <sz val="10"/>
      <name val="Arial"/>
      <charset val="1"/>
    </font>
    <font>
      <b/>
      <sz val="12"/>
      <name val="Century Gothic"/>
      <family val="2"/>
    </font>
    <font>
      <sz val="10"/>
      <name val="Century Gothic"/>
      <family val="2"/>
    </font>
    <font>
      <b/>
      <sz val="10"/>
      <name val="Century Gothic"/>
      <family val="2"/>
    </font>
    <font>
      <sz val="8"/>
      <name val="Arial"/>
      <family val="2"/>
    </font>
    <font>
      <sz val="10"/>
      <name val="Arial"/>
      <family val="2"/>
    </font>
    <font>
      <sz val="10"/>
      <color rgb="FFFF0000"/>
      <name val="Century Gothic"/>
      <family val="2"/>
    </font>
    <font>
      <b/>
      <sz val="10"/>
      <color rgb="FFFF0000"/>
      <name val="Century Gothic"/>
      <family val="2"/>
    </font>
    <font>
      <sz val="10"/>
      <name val="Nunito Sans"/>
    </font>
    <font>
      <b/>
      <sz val="10"/>
      <name val="Nunito Sans"/>
    </font>
    <font>
      <sz val="10"/>
      <color theme="0"/>
      <name val="Nunito Sans"/>
    </font>
    <font>
      <sz val="9"/>
      <name val="Nunito Sans"/>
    </font>
    <font>
      <b/>
      <sz val="9"/>
      <name val="Nunito Sans"/>
    </font>
    <font>
      <sz val="8"/>
      <name val="Nunito Sans"/>
    </font>
    <font>
      <b/>
      <sz val="14"/>
      <name val="Nunito Sans"/>
    </font>
    <font>
      <b/>
      <sz val="12"/>
      <name val="Nunito Sans"/>
    </font>
    <font>
      <b/>
      <sz val="8"/>
      <name val="Nunito Sans"/>
    </font>
    <font>
      <b/>
      <sz val="6"/>
      <name val="Nunito Sans"/>
    </font>
    <font>
      <b/>
      <sz val="11"/>
      <name val="Nunito Sans"/>
    </font>
    <font>
      <b/>
      <sz val="12"/>
      <color rgb="FFFF0000"/>
      <name val="Nunito Sans"/>
    </font>
    <font>
      <sz val="11"/>
      <name val="Nunito Sans"/>
    </font>
    <font>
      <b/>
      <sz val="10"/>
      <color rgb="FFFFC000"/>
      <name val="Nunito Sans"/>
    </font>
    <font>
      <b/>
      <sz val="9"/>
      <color rgb="FFFF0000"/>
      <name val="Nunito Sans"/>
    </font>
    <font>
      <b/>
      <sz val="10"/>
      <color rgb="FFFF0000"/>
      <name val="Nunito Sans"/>
    </font>
    <font>
      <b/>
      <sz val="8"/>
      <color rgb="FFFF0000"/>
      <name val="Nunito Sans"/>
    </font>
  </fonts>
  <fills count="17">
    <fill>
      <patternFill patternType="none"/>
    </fill>
    <fill>
      <patternFill patternType="gray125"/>
    </fill>
    <fill>
      <patternFill patternType="solid">
        <fgColor theme="8" tint="0.79998168889431442"/>
        <bgColor rgb="FFFFCC00"/>
      </patternFill>
    </fill>
    <fill>
      <patternFill patternType="solid">
        <fgColor rgb="FFFFE575"/>
        <bgColor rgb="FFFFFF00"/>
      </patternFill>
    </fill>
    <fill>
      <patternFill patternType="solid">
        <fgColor theme="8" tint="0.79998168889431442"/>
        <bgColor indexed="64"/>
      </patternFill>
    </fill>
    <fill>
      <patternFill patternType="solid">
        <fgColor rgb="FFE7F1F9"/>
        <bgColor rgb="FFFFCC00"/>
      </patternFill>
    </fill>
    <fill>
      <patternFill patternType="solid">
        <fgColor rgb="FFE7F1F9"/>
        <bgColor indexed="64"/>
      </patternFill>
    </fill>
    <fill>
      <patternFill patternType="solid">
        <fgColor rgb="FFE7F1F9"/>
        <bgColor rgb="FFFFFFCC"/>
      </patternFill>
    </fill>
    <fill>
      <patternFill patternType="solid">
        <fgColor theme="0" tint="-4.9989318521683403E-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FFE575"/>
        <bgColor indexed="64"/>
      </patternFill>
    </fill>
    <fill>
      <patternFill patternType="solid">
        <fgColor rgb="FFFFFF00"/>
        <bgColor indexed="64"/>
      </patternFill>
    </fill>
    <fill>
      <patternFill patternType="solid">
        <fgColor rgb="FF97999B"/>
        <bgColor indexed="64"/>
      </patternFill>
    </fill>
    <fill>
      <patternFill patternType="solid">
        <fgColor rgb="FFDDEE00"/>
        <bgColor indexed="64"/>
      </patternFill>
    </fill>
    <fill>
      <patternFill patternType="solid">
        <fgColor rgb="FFDDEE00"/>
        <bgColor rgb="FFCCFFFF"/>
      </patternFill>
    </fill>
    <fill>
      <patternFill patternType="lightGray">
        <fgColor rgb="FFDDEE00"/>
        <bgColor rgb="FFE7F1F9"/>
      </patternFill>
    </fill>
  </fills>
  <borders count="6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medium">
        <color auto="1"/>
      </top>
      <bottom style="medium">
        <color auto="1"/>
      </bottom>
      <diagonal/>
    </border>
    <border>
      <left style="thin">
        <color auto="1"/>
      </left>
      <right style="thin">
        <color auto="1"/>
      </right>
      <top style="medium">
        <color auto="1"/>
      </top>
      <bottom style="thin">
        <color auto="1"/>
      </bottom>
      <diagonal/>
    </border>
    <border>
      <left style="medium">
        <color indexed="64"/>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top style="medium">
        <color indexed="64"/>
      </top>
      <bottom/>
      <diagonal/>
    </border>
    <border>
      <left style="thin">
        <color auto="1"/>
      </left>
      <right style="medium">
        <color indexed="64"/>
      </right>
      <top style="medium">
        <color indexed="64"/>
      </top>
      <bottom style="thin">
        <color auto="1"/>
      </bottom>
      <diagonal/>
    </border>
    <border>
      <left style="medium">
        <color indexed="64"/>
      </left>
      <right/>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style="thin">
        <color auto="1"/>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top style="thin">
        <color auto="1"/>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auto="1"/>
      </right>
      <top style="medium">
        <color indexed="64"/>
      </top>
      <bottom style="medium">
        <color indexed="64"/>
      </bottom>
      <diagonal/>
    </border>
    <border>
      <left/>
      <right/>
      <top style="thin">
        <color indexed="64"/>
      </top>
      <bottom/>
      <diagonal/>
    </border>
    <border>
      <left/>
      <right/>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auto="1"/>
      </left>
      <right style="thin">
        <color auto="1"/>
      </right>
      <top/>
      <bottom style="medium">
        <color indexed="64"/>
      </bottom>
      <diagonal/>
    </border>
    <border>
      <left style="thin">
        <color auto="1"/>
      </left>
      <right/>
      <top style="medium">
        <color indexed="64"/>
      </top>
      <bottom style="thin">
        <color auto="1"/>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auto="1"/>
      </top>
      <bottom style="thin">
        <color auto="1"/>
      </bottom>
      <diagonal/>
    </border>
    <border>
      <left/>
      <right style="medium">
        <color indexed="64"/>
      </right>
      <top style="thin">
        <color auto="1"/>
      </top>
      <bottom style="medium">
        <color indexed="64"/>
      </bottom>
      <diagonal/>
    </border>
    <border>
      <left/>
      <right/>
      <top style="medium">
        <color indexed="64"/>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top style="thin">
        <color auto="1"/>
      </top>
      <bottom style="medium">
        <color indexed="64"/>
      </bottom>
      <diagonal/>
    </border>
    <border>
      <left style="medium">
        <color indexed="64"/>
      </left>
      <right style="medium">
        <color indexed="64"/>
      </right>
      <top style="thin">
        <color indexed="64"/>
      </top>
      <bottom/>
      <diagonal/>
    </border>
    <border>
      <left/>
      <right/>
      <top style="medium">
        <color indexed="64"/>
      </top>
      <bottom style="medium">
        <color indexed="64"/>
      </bottom>
      <diagonal/>
    </border>
    <border>
      <left style="medium">
        <color indexed="64"/>
      </left>
      <right/>
      <top style="medium">
        <color indexed="64"/>
      </top>
      <bottom style="medium">
        <color auto="1"/>
      </bottom>
      <diagonal/>
    </border>
    <border>
      <left/>
      <right style="medium">
        <color indexed="64"/>
      </right>
      <top style="medium">
        <color indexed="64"/>
      </top>
      <bottom style="medium">
        <color auto="1"/>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auto="1"/>
      </left>
      <right/>
      <top style="medium">
        <color auto="1"/>
      </top>
      <bottom style="medium">
        <color auto="1"/>
      </bottom>
      <diagonal/>
    </border>
    <border>
      <left style="thin">
        <color auto="1"/>
      </left>
      <right style="thin">
        <color auto="1"/>
      </right>
      <top/>
      <bottom style="thin">
        <color auto="1"/>
      </bottom>
      <diagonal/>
    </border>
    <border>
      <left style="medium">
        <color indexed="64"/>
      </left>
      <right style="thin">
        <color auto="1"/>
      </right>
      <top/>
      <bottom style="medium">
        <color indexed="64"/>
      </bottom>
      <diagonal/>
    </border>
    <border>
      <left style="thin">
        <color auto="1"/>
      </left>
      <right style="medium">
        <color indexed="64"/>
      </right>
      <top/>
      <bottom style="medium">
        <color indexed="64"/>
      </bottom>
      <diagonal/>
    </border>
    <border>
      <left/>
      <right style="thin">
        <color auto="1"/>
      </right>
      <top style="thin">
        <color auto="1"/>
      </top>
      <bottom style="thin">
        <color auto="1"/>
      </bottom>
      <diagonal/>
    </border>
    <border>
      <left style="thin">
        <color indexed="64"/>
      </left>
      <right/>
      <top/>
      <bottom/>
      <diagonal/>
    </border>
    <border>
      <left/>
      <right style="thin">
        <color indexed="64"/>
      </right>
      <top/>
      <bottom/>
      <diagonal/>
    </border>
    <border>
      <left style="thin">
        <color auto="1"/>
      </left>
      <right/>
      <top style="medium">
        <color auto="1"/>
      </top>
      <bottom/>
      <diagonal/>
    </border>
    <border>
      <left/>
      <right style="thin">
        <color auto="1"/>
      </right>
      <top style="medium">
        <color auto="1"/>
      </top>
      <bottom/>
      <diagonal/>
    </border>
    <border>
      <left style="thin">
        <color auto="1"/>
      </left>
      <right/>
      <top/>
      <bottom style="medium">
        <color indexed="64"/>
      </bottom>
      <diagonal/>
    </border>
    <border>
      <left/>
      <right style="thin">
        <color auto="1"/>
      </right>
      <top/>
      <bottom style="medium">
        <color indexed="64"/>
      </bottom>
      <diagonal/>
    </border>
    <border>
      <left style="thin">
        <color auto="1"/>
      </left>
      <right style="thin">
        <color auto="1"/>
      </right>
      <top style="medium">
        <color auto="1"/>
      </top>
      <bottom/>
      <diagonal/>
    </border>
    <border>
      <left style="thin">
        <color auto="1"/>
      </left>
      <right style="thin">
        <color auto="1"/>
      </right>
      <top/>
      <bottom/>
      <diagonal/>
    </border>
    <border>
      <left style="medium">
        <color indexed="64"/>
      </left>
      <right style="medium">
        <color indexed="64"/>
      </right>
      <top/>
      <bottom/>
      <diagonal/>
    </border>
    <border>
      <left style="medium">
        <color indexed="64"/>
      </left>
      <right style="thin">
        <color auto="1"/>
      </right>
      <top style="thin">
        <color auto="1"/>
      </top>
      <bottom/>
      <diagonal/>
    </border>
    <border>
      <left style="thin">
        <color auto="1"/>
      </left>
      <right style="thin">
        <color auto="1"/>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thin">
        <color auto="1"/>
      </left>
      <right style="medium">
        <color indexed="64"/>
      </right>
      <top style="medium">
        <color auto="1"/>
      </top>
      <bottom/>
      <diagonal/>
    </border>
  </borders>
  <cellStyleXfs count="2">
    <xf numFmtId="0" fontId="0" fillId="0" borderId="0"/>
    <xf numFmtId="0" fontId="5" fillId="0" borderId="0"/>
  </cellStyleXfs>
  <cellXfs count="454">
    <xf numFmtId="0" fontId="0" fillId="0" borderId="0" xfId="0"/>
    <xf numFmtId="0" fontId="8" fillId="0" borderId="0" xfId="0" applyFont="1"/>
    <xf numFmtId="0" fontId="8" fillId="0" borderId="0" xfId="0" applyFont="1" applyAlignment="1">
      <alignment vertical="center"/>
    </xf>
    <xf numFmtId="0" fontId="8" fillId="0" borderId="0" xfId="0" applyFont="1" applyAlignment="1">
      <alignment horizontal="center" vertical="center"/>
    </xf>
    <xf numFmtId="0" fontId="8" fillId="0" borderId="1" xfId="0" applyFont="1" applyBorder="1" applyAlignment="1">
      <alignment vertical="center"/>
    </xf>
    <xf numFmtId="0" fontId="8" fillId="4" borderId="1" xfId="0" applyFont="1" applyFill="1" applyBorder="1" applyAlignment="1">
      <alignment horizontal="center" vertical="center"/>
    </xf>
    <xf numFmtId="0" fontId="8" fillId="0" borderId="1" xfId="0" applyFont="1" applyBorder="1" applyAlignment="1">
      <alignment horizontal="center" vertical="center"/>
    </xf>
    <xf numFmtId="0" fontId="8" fillId="6" borderId="1" xfId="0" applyFont="1" applyFill="1" applyBorder="1" applyAlignment="1">
      <alignment vertical="center"/>
    </xf>
    <xf numFmtId="0" fontId="8" fillId="4" borderId="50" xfId="0" applyFont="1" applyFill="1" applyBorder="1" applyAlignment="1">
      <alignment vertical="center"/>
    </xf>
    <xf numFmtId="0" fontId="8" fillId="4" borderId="1" xfId="0" applyFont="1" applyFill="1" applyBorder="1" applyAlignment="1">
      <alignment horizontal="left" vertical="center"/>
    </xf>
    <xf numFmtId="14" fontId="8" fillId="4" borderId="1" xfId="0" applyNumberFormat="1" applyFont="1" applyFill="1" applyBorder="1" applyAlignment="1">
      <alignment vertical="center"/>
    </xf>
    <xf numFmtId="167" fontId="8" fillId="4" borderId="1" xfId="0" applyNumberFormat="1" applyFont="1" applyFill="1" applyBorder="1" applyAlignment="1">
      <alignment horizontal="center" vertical="center"/>
    </xf>
    <xf numFmtId="0" fontId="9" fillId="0" borderId="0" xfId="0" applyFont="1" applyAlignment="1">
      <alignment horizontal="left" vertical="center"/>
    </xf>
    <xf numFmtId="0" fontId="8" fillId="6" borderId="1" xfId="0" applyFont="1" applyFill="1" applyBorder="1" applyAlignment="1">
      <alignment horizontal="center" vertical="center"/>
    </xf>
    <xf numFmtId="0" fontId="8" fillId="0" borderId="0" xfId="0" applyFont="1" applyAlignment="1">
      <alignment horizontal="left" vertical="center"/>
    </xf>
    <xf numFmtId="166" fontId="8" fillId="0" borderId="1" xfId="0" applyNumberFormat="1" applyFont="1" applyBorder="1" applyAlignment="1">
      <alignment vertical="center"/>
    </xf>
    <xf numFmtId="0" fontId="8" fillId="0" borderId="1" xfId="0" applyFont="1" applyBorder="1"/>
    <xf numFmtId="0" fontId="9" fillId="0" borderId="0" xfId="0" applyFont="1" applyAlignment="1">
      <alignment vertical="center"/>
    </xf>
    <xf numFmtId="0" fontId="8" fillId="0" borderId="0" xfId="0" applyFont="1" applyAlignment="1">
      <alignment horizontal="center"/>
    </xf>
    <xf numFmtId="0" fontId="9" fillId="0" borderId="0" xfId="0" applyFont="1" applyAlignment="1">
      <alignment horizontal="center" vertical="center"/>
    </xf>
    <xf numFmtId="0" fontId="8" fillId="3" borderId="3" xfId="0" applyFont="1" applyFill="1" applyBorder="1" applyAlignment="1" applyProtection="1">
      <alignment vertical="center"/>
      <protection locked="0"/>
    </xf>
    <xf numFmtId="0" fontId="8" fillId="5" borderId="1" xfId="0" applyFont="1" applyFill="1" applyBorder="1" applyAlignment="1" applyProtection="1">
      <alignment horizontal="center" vertical="center"/>
      <protection locked="0"/>
    </xf>
    <xf numFmtId="4" fontId="8" fillId="5" borderId="1" xfId="0" applyNumberFormat="1" applyFont="1" applyFill="1" applyBorder="1" applyAlignment="1" applyProtection="1">
      <alignment vertical="center"/>
      <protection locked="0"/>
    </xf>
    <xf numFmtId="0" fontId="8" fillId="3" borderId="1" xfId="0" applyFont="1" applyFill="1" applyBorder="1" applyAlignment="1" applyProtection="1">
      <alignment vertical="center"/>
      <protection locked="0"/>
    </xf>
    <xf numFmtId="0" fontId="8" fillId="5" borderId="9" xfId="0" applyFont="1" applyFill="1" applyBorder="1" applyAlignment="1" applyProtection="1">
      <alignment horizontal="center" vertical="center"/>
      <protection locked="0"/>
    </xf>
    <xf numFmtId="4" fontId="8" fillId="5" borderId="9" xfId="0" applyNumberFormat="1" applyFont="1" applyFill="1" applyBorder="1" applyAlignment="1" applyProtection="1">
      <alignment vertical="center"/>
      <protection locked="0"/>
    </xf>
    <xf numFmtId="0" fontId="8" fillId="3" borderId="9" xfId="0" applyFont="1" applyFill="1" applyBorder="1" applyAlignment="1" applyProtection="1">
      <alignment vertical="center"/>
      <protection locked="0"/>
    </xf>
    <xf numFmtId="0" fontId="18" fillId="0" borderId="0" xfId="0" applyFont="1" applyAlignment="1">
      <alignment vertical="center"/>
    </xf>
    <xf numFmtId="0" fontId="8" fillId="0" borderId="0" xfId="0" applyFont="1" applyAlignment="1">
      <alignment horizontal="right" vertical="center"/>
    </xf>
    <xf numFmtId="4" fontId="8" fillId="0" borderId="1" xfId="0" applyNumberFormat="1" applyFont="1" applyBorder="1"/>
    <xf numFmtId="4" fontId="8" fillId="12" borderId="1" xfId="0" applyNumberFormat="1" applyFont="1" applyFill="1" applyBorder="1"/>
    <xf numFmtId="1" fontId="8" fillId="0" borderId="1" xfId="0" applyNumberFormat="1" applyFont="1" applyBorder="1"/>
    <xf numFmtId="4" fontId="8" fillId="0" borderId="0" xfId="0" applyNumberFormat="1" applyFont="1"/>
    <xf numFmtId="1" fontId="8" fillId="0" borderId="0" xfId="0" applyNumberFormat="1" applyFont="1"/>
    <xf numFmtId="0" fontId="8" fillId="0" borderId="0" xfId="0" applyFont="1" applyAlignment="1">
      <alignment wrapText="1"/>
    </xf>
    <xf numFmtId="0" fontId="8" fillId="0" borderId="0" xfId="0" applyFont="1" applyAlignment="1">
      <alignment vertical="center" wrapText="1"/>
    </xf>
    <xf numFmtId="4" fontId="8" fillId="0" borderId="0" xfId="0" applyNumberFormat="1" applyFont="1" applyAlignment="1">
      <alignment vertical="center"/>
    </xf>
    <xf numFmtId="0" fontId="20" fillId="0" borderId="0" xfId="0" applyFont="1" applyAlignment="1">
      <alignment vertical="center"/>
    </xf>
    <xf numFmtId="0" fontId="18" fillId="0" borderId="0" xfId="0" applyFont="1" applyAlignment="1">
      <alignment horizontal="center" vertical="center"/>
    </xf>
    <xf numFmtId="0" fontId="20" fillId="0" borderId="0" xfId="0" applyFont="1" applyAlignment="1">
      <alignment horizontal="center" vertical="center"/>
    </xf>
    <xf numFmtId="164" fontId="20" fillId="0" borderId="0" xfId="0" applyNumberFormat="1" applyFont="1" applyAlignment="1">
      <alignment vertical="center"/>
    </xf>
    <xf numFmtId="164" fontId="20" fillId="0" borderId="0" xfId="0" applyNumberFormat="1" applyFont="1" applyAlignment="1">
      <alignment horizontal="center" vertical="center"/>
    </xf>
    <xf numFmtId="4" fontId="20" fillId="0" borderId="0" xfId="0" applyNumberFormat="1" applyFont="1" applyAlignment="1">
      <alignment vertical="center"/>
    </xf>
    <xf numFmtId="0" fontId="18" fillId="0" borderId="0" xfId="0" applyFont="1" applyAlignment="1">
      <alignment horizontal="justify" vertical="center"/>
    </xf>
    <xf numFmtId="0" fontId="9" fillId="0" borderId="0" xfId="0" applyFont="1" applyAlignment="1">
      <alignment horizontal="justify" vertical="center"/>
    </xf>
    <xf numFmtId="0" fontId="8" fillId="7" borderId="7" xfId="0" applyFont="1" applyFill="1" applyBorder="1" applyAlignment="1" applyProtection="1">
      <alignment vertical="center" wrapText="1"/>
      <protection locked="0"/>
    </xf>
    <xf numFmtId="0" fontId="8" fillId="5" borderId="1" xfId="0" applyFont="1" applyFill="1" applyBorder="1" applyAlignment="1" applyProtection="1">
      <alignment horizontal="left" vertical="center"/>
      <protection locked="0"/>
    </xf>
    <xf numFmtId="0" fontId="8" fillId="5" borderId="1" xfId="0" applyFont="1" applyFill="1" applyBorder="1" applyAlignment="1" applyProtection="1">
      <alignment vertical="center"/>
      <protection locked="0"/>
    </xf>
    <xf numFmtId="14" fontId="8" fillId="5" borderId="1" xfId="0" applyNumberFormat="1" applyFont="1" applyFill="1" applyBorder="1" applyAlignment="1" applyProtection="1">
      <alignment horizontal="center" vertical="center"/>
      <protection locked="0"/>
    </xf>
    <xf numFmtId="0" fontId="8" fillId="7" borderId="13" xfId="0" applyFont="1" applyFill="1" applyBorder="1" applyAlignment="1" applyProtection="1">
      <alignment vertical="center" wrapText="1"/>
      <protection locked="0"/>
    </xf>
    <xf numFmtId="0" fontId="8" fillId="5" borderId="9" xfId="0" applyFont="1" applyFill="1" applyBorder="1" applyAlignment="1" applyProtection="1">
      <alignment horizontal="left" vertical="center"/>
      <protection locked="0"/>
    </xf>
    <xf numFmtId="0" fontId="8" fillId="5" borderId="9" xfId="0" applyFont="1" applyFill="1" applyBorder="1" applyAlignment="1" applyProtection="1">
      <alignment vertical="center"/>
      <protection locked="0"/>
    </xf>
    <xf numFmtId="14" fontId="8" fillId="5" borderId="9" xfId="0" applyNumberFormat="1" applyFont="1" applyFill="1" applyBorder="1" applyAlignment="1" applyProtection="1">
      <alignment horizontal="center" vertical="center"/>
      <protection locked="0"/>
    </xf>
    <xf numFmtId="0" fontId="8" fillId="7" borderId="10" xfId="0" applyFont="1" applyFill="1" applyBorder="1" applyAlignment="1" applyProtection="1">
      <alignment vertical="center" wrapText="1"/>
      <protection locked="0"/>
    </xf>
    <xf numFmtId="0" fontId="8" fillId="5" borderId="7" xfId="0" applyFont="1" applyFill="1" applyBorder="1" applyAlignment="1" applyProtection="1">
      <alignment vertical="center" wrapText="1"/>
      <protection locked="0"/>
    </xf>
    <xf numFmtId="0" fontId="8" fillId="5" borderId="13" xfId="0" applyFont="1" applyFill="1" applyBorder="1" applyAlignment="1" applyProtection="1">
      <alignment vertical="center" wrapText="1"/>
      <protection locked="0"/>
    </xf>
    <xf numFmtId="0" fontId="8" fillId="5" borderId="10" xfId="0" applyFont="1" applyFill="1" applyBorder="1" applyAlignment="1" applyProtection="1">
      <alignment vertical="center" wrapText="1"/>
      <protection locked="0"/>
    </xf>
    <xf numFmtId="0" fontId="15" fillId="0" borderId="0" xfId="0" applyFont="1" applyAlignment="1">
      <alignment horizontal="right" vertical="center"/>
    </xf>
    <xf numFmtId="4" fontId="8" fillId="0" borderId="0" xfId="0" applyNumberFormat="1" applyFont="1" applyAlignment="1">
      <alignment horizontal="right" vertical="center"/>
    </xf>
    <xf numFmtId="1" fontId="8" fillId="0" borderId="0" xfId="0" applyNumberFormat="1" applyFont="1" applyAlignment="1">
      <alignment horizontal="right" vertical="center"/>
    </xf>
    <xf numFmtId="0" fontId="18" fillId="0" borderId="0" xfId="0" applyFont="1" applyAlignment="1">
      <alignment horizontal="right" vertical="center"/>
    </xf>
    <xf numFmtId="0" fontId="20" fillId="0" borderId="0" xfId="0" applyFont="1" applyAlignment="1">
      <alignment horizontal="left" vertical="center"/>
    </xf>
    <xf numFmtId="0" fontId="14" fillId="0" borderId="0" xfId="0" applyFont="1" applyAlignment="1">
      <alignment vertical="center"/>
    </xf>
    <xf numFmtId="0" fontId="8" fillId="0" borderId="31" xfId="0" applyFont="1" applyBorder="1" applyAlignment="1">
      <alignment horizontal="center" vertical="center"/>
    </xf>
    <xf numFmtId="0" fontId="8" fillId="0" borderId="32" xfId="0" applyFont="1" applyBorder="1" applyAlignment="1">
      <alignment horizontal="center" vertical="center"/>
    </xf>
    <xf numFmtId="0" fontId="8" fillId="0" borderId="33" xfId="0" applyFont="1" applyBorder="1" applyAlignment="1">
      <alignment horizontal="center" vertical="center"/>
    </xf>
    <xf numFmtId="0" fontId="9" fillId="14" borderId="2" xfId="0" applyFont="1" applyFill="1" applyBorder="1" applyAlignment="1">
      <alignment horizontal="center" vertical="center" wrapText="1"/>
    </xf>
    <xf numFmtId="0" fontId="9" fillId="14" borderId="5" xfId="0" applyFont="1" applyFill="1" applyBorder="1" applyAlignment="1">
      <alignment horizontal="center" vertical="center" wrapText="1"/>
    </xf>
    <xf numFmtId="0" fontId="9" fillId="14" borderId="9" xfId="0" applyFont="1" applyFill="1" applyBorder="1" applyAlignment="1">
      <alignment horizontal="center" vertical="center" wrapText="1"/>
    </xf>
    <xf numFmtId="0" fontId="9" fillId="14" borderId="4" xfId="0" applyFont="1" applyFill="1" applyBorder="1" applyAlignment="1">
      <alignment horizontal="center" vertical="center"/>
    </xf>
    <xf numFmtId="0" fontId="9" fillId="14" borderId="2" xfId="0" applyFont="1" applyFill="1" applyBorder="1" applyAlignment="1">
      <alignment horizontal="center" vertical="center"/>
    </xf>
    <xf numFmtId="166" fontId="9" fillId="14" borderId="9" xfId="0" applyNumberFormat="1" applyFont="1" applyFill="1" applyBorder="1" applyAlignment="1">
      <alignment horizontal="center" vertical="center" wrapText="1"/>
    </xf>
    <xf numFmtId="4" fontId="12" fillId="14" borderId="9" xfId="0" applyNumberFormat="1" applyFont="1" applyFill="1" applyBorder="1" applyAlignment="1">
      <alignment horizontal="center" vertical="center" wrapText="1"/>
    </xf>
    <xf numFmtId="4" fontId="12" fillId="14" borderId="3" xfId="0" applyNumberFormat="1" applyFont="1" applyFill="1" applyBorder="1" applyAlignment="1">
      <alignment horizontal="center" vertical="center" wrapText="1"/>
    </xf>
    <xf numFmtId="4" fontId="11" fillId="14" borderId="1" xfId="0" applyNumberFormat="1" applyFont="1" applyFill="1" applyBorder="1" applyAlignment="1">
      <alignment horizontal="center" vertical="center" wrapText="1"/>
    </xf>
    <xf numFmtId="4" fontId="11" fillId="14" borderId="9" xfId="0" applyNumberFormat="1" applyFont="1" applyFill="1" applyBorder="1" applyAlignment="1">
      <alignment horizontal="center" vertical="center" wrapText="1"/>
    </xf>
    <xf numFmtId="0" fontId="9" fillId="14" borderId="1" xfId="0" applyFont="1" applyFill="1" applyBorder="1" applyAlignment="1">
      <alignment horizontal="center" vertical="center"/>
    </xf>
    <xf numFmtId="0" fontId="8" fillId="16" borderId="3" xfId="0" applyFont="1" applyFill="1" applyBorder="1" applyAlignment="1" applyProtection="1">
      <alignment horizontal="left" vertical="center"/>
      <protection locked="0"/>
    </xf>
    <xf numFmtId="0" fontId="8" fillId="16" borderId="3" xfId="0" applyFont="1" applyFill="1" applyBorder="1" applyAlignment="1" applyProtection="1">
      <alignment horizontal="center" vertical="center"/>
      <protection locked="0"/>
    </xf>
    <xf numFmtId="0" fontId="8" fillId="16" borderId="3" xfId="0" applyFont="1" applyFill="1" applyBorder="1" applyAlignment="1" applyProtection="1">
      <alignment vertical="center"/>
      <protection locked="0"/>
    </xf>
    <xf numFmtId="14" fontId="8" fillId="16" borderId="3" xfId="0" applyNumberFormat="1" applyFont="1" applyFill="1" applyBorder="1" applyAlignment="1" applyProtection="1">
      <alignment horizontal="center" vertical="center"/>
      <protection locked="0"/>
    </xf>
    <xf numFmtId="4" fontId="8" fillId="16" borderId="3" xfId="0" applyNumberFormat="1" applyFont="1" applyFill="1" applyBorder="1" applyAlignment="1" applyProtection="1">
      <alignment vertical="center"/>
      <protection locked="0"/>
    </xf>
    <xf numFmtId="0" fontId="9" fillId="9" borderId="0" xfId="0" applyFont="1" applyFill="1" applyAlignment="1">
      <alignment horizontal="center" vertical="center"/>
    </xf>
    <xf numFmtId="0" fontId="1" fillId="15" borderId="1" xfId="0" applyFont="1" applyFill="1" applyBorder="1" applyAlignment="1">
      <alignment horizontal="center" vertical="center" wrapText="1"/>
    </xf>
    <xf numFmtId="0" fontId="2" fillId="0" borderId="0" xfId="0" applyFont="1" applyAlignment="1">
      <alignment vertical="center"/>
    </xf>
    <xf numFmtId="49" fontId="2" fillId="0" borderId="0" xfId="0" applyNumberFormat="1" applyFont="1" applyAlignment="1">
      <alignment vertical="center" wrapText="1"/>
    </xf>
    <xf numFmtId="49" fontId="2" fillId="0" borderId="0" xfId="0" quotePrefix="1" applyNumberFormat="1" applyFont="1" applyAlignment="1">
      <alignment vertical="center" wrapText="1"/>
    </xf>
    <xf numFmtId="49" fontId="2" fillId="0" borderId="0" xfId="0" applyNumberFormat="1" applyFont="1" applyAlignment="1">
      <alignment vertical="center"/>
    </xf>
    <xf numFmtId="49" fontId="2" fillId="0" borderId="0" xfId="0" applyNumberFormat="1" applyFont="1" applyAlignment="1">
      <alignment horizontal="left" vertical="center" indent="1"/>
    </xf>
    <xf numFmtId="49" fontId="2" fillId="0" borderId="0" xfId="0" applyNumberFormat="1" applyFont="1" applyAlignment="1">
      <alignment horizontal="left" vertical="center" wrapText="1" indent="1"/>
    </xf>
    <xf numFmtId="0" fontId="2" fillId="0" borderId="0" xfId="0" quotePrefix="1" applyFont="1" applyAlignment="1">
      <alignment vertical="center" wrapText="1"/>
    </xf>
    <xf numFmtId="0" fontId="2" fillId="0" borderId="0" xfId="0" quotePrefix="1" applyFont="1" applyAlignment="1">
      <alignment horizontal="left" vertical="center" wrapText="1" indent="1"/>
    </xf>
    <xf numFmtId="0" fontId="3" fillId="0" borderId="0" xfId="0" quotePrefix="1" applyFont="1" applyAlignment="1">
      <alignment vertical="center"/>
    </xf>
    <xf numFmtId="0" fontId="2" fillId="0" borderId="0" xfId="0" quotePrefix="1" applyFont="1" applyAlignment="1">
      <alignment vertical="center"/>
    </xf>
    <xf numFmtId="0" fontId="7" fillId="0" borderId="0" xfId="0" quotePrefix="1" applyFont="1" applyAlignment="1">
      <alignment vertical="center"/>
    </xf>
    <xf numFmtId="0" fontId="8" fillId="0" borderId="63" xfId="0" applyFont="1" applyBorder="1" applyAlignment="1">
      <alignment horizontal="center" vertical="center"/>
    </xf>
    <xf numFmtId="0" fontId="12" fillId="14" borderId="31" xfId="0" applyFont="1" applyFill="1" applyBorder="1" applyAlignment="1">
      <alignment horizontal="center" vertical="center"/>
    </xf>
    <xf numFmtId="0" fontId="12" fillId="14" borderId="33" xfId="0" applyFont="1" applyFill="1" applyBorder="1" applyAlignment="1">
      <alignment horizontal="center" vertical="center"/>
    </xf>
    <xf numFmtId="0" fontId="12" fillId="14" borderId="62" xfId="0" applyFont="1" applyFill="1" applyBorder="1" applyAlignment="1">
      <alignment horizontal="center" vertical="center"/>
    </xf>
    <xf numFmtId="0" fontId="8" fillId="0" borderId="62" xfId="0" applyFont="1" applyBorder="1" applyAlignment="1">
      <alignment horizontal="center" vertical="center"/>
    </xf>
    <xf numFmtId="0" fontId="23" fillId="0" borderId="0" xfId="0" applyFont="1" applyAlignment="1">
      <alignment horizontal="right" vertical="center"/>
    </xf>
    <xf numFmtId="0" fontId="8" fillId="0" borderId="0" xfId="1" applyFont="1" applyAlignment="1" applyProtection="1">
      <alignment vertical="center"/>
      <protection hidden="1"/>
    </xf>
    <xf numFmtId="0" fontId="0" fillId="0" borderId="0" xfId="0" applyProtection="1">
      <protection hidden="1"/>
    </xf>
    <xf numFmtId="0" fontId="9" fillId="0" borderId="0" xfId="1" applyFont="1" applyAlignment="1" applyProtection="1">
      <alignment vertical="center"/>
      <protection hidden="1"/>
    </xf>
    <xf numFmtId="0" fontId="9" fillId="14" borderId="1" xfId="1" applyFont="1" applyFill="1" applyBorder="1" applyAlignment="1" applyProtection="1">
      <alignment horizontal="left" vertical="center" indent="1"/>
      <protection hidden="1"/>
    </xf>
    <xf numFmtId="0" fontId="8" fillId="0" borderId="0" xfId="1" applyFont="1" applyAlignment="1" applyProtection="1">
      <alignment horizontal="left" vertical="center" indent="1"/>
      <protection hidden="1"/>
    </xf>
    <xf numFmtId="167" fontId="9" fillId="14" borderId="1" xfId="1" applyNumberFormat="1" applyFont="1" applyFill="1" applyBorder="1" applyAlignment="1" applyProtection="1">
      <alignment horizontal="left" vertical="center" indent="1"/>
      <protection hidden="1"/>
    </xf>
    <xf numFmtId="167" fontId="8" fillId="0" borderId="0" xfId="1" applyNumberFormat="1" applyFont="1" applyAlignment="1" applyProtection="1">
      <alignment horizontal="left" vertical="center" indent="1"/>
      <protection hidden="1"/>
    </xf>
    <xf numFmtId="0" fontId="9" fillId="14" borderId="1" xfId="0" applyFont="1" applyFill="1" applyBorder="1" applyAlignment="1" applyProtection="1">
      <alignment horizontal="left" vertical="center" indent="1"/>
      <protection hidden="1"/>
    </xf>
    <xf numFmtId="168" fontId="8" fillId="6" borderId="1" xfId="1" applyNumberFormat="1" applyFont="1" applyFill="1" applyBorder="1" applyAlignment="1" applyProtection="1">
      <alignment horizontal="left" vertical="center"/>
      <protection locked="0" hidden="1"/>
    </xf>
    <xf numFmtId="0" fontId="10" fillId="0" borderId="0" xfId="1" applyFont="1" applyAlignment="1" applyProtection="1">
      <alignment horizontal="right" vertical="center"/>
      <protection hidden="1"/>
    </xf>
    <xf numFmtId="0" fontId="11" fillId="0" borderId="0" xfId="1" applyFont="1" applyAlignment="1" applyProtection="1">
      <alignment horizontal="center" vertical="center"/>
      <protection hidden="1"/>
    </xf>
    <xf numFmtId="0" fontId="8" fillId="0" borderId="0" xfId="1" applyFont="1" applyAlignment="1" applyProtection="1">
      <alignment horizontal="center" vertical="center"/>
      <protection hidden="1"/>
    </xf>
    <xf numFmtId="0" fontId="9" fillId="0" borderId="0" xfId="0" applyFont="1" applyProtection="1">
      <protection hidden="1"/>
    </xf>
    <xf numFmtId="0" fontId="8" fillId="0" borderId="0" xfId="0" applyFont="1" applyProtection="1">
      <protection hidden="1"/>
    </xf>
    <xf numFmtId="166" fontId="8" fillId="11" borderId="1" xfId="0" applyNumberFormat="1" applyFont="1" applyFill="1" applyBorder="1" applyAlignment="1" applyProtection="1">
      <alignment horizontal="center"/>
      <protection hidden="1"/>
    </xf>
    <xf numFmtId="166" fontId="8" fillId="4" borderId="1" xfId="0" applyNumberFormat="1" applyFont="1" applyFill="1" applyBorder="1" applyAlignment="1" applyProtection="1">
      <alignment horizontal="center"/>
      <protection locked="0" hidden="1"/>
    </xf>
    <xf numFmtId="166" fontId="8" fillId="14" borderId="1" xfId="0" applyNumberFormat="1" applyFont="1" applyFill="1" applyBorder="1" applyAlignment="1" applyProtection="1">
      <alignment horizontal="center"/>
      <protection hidden="1"/>
    </xf>
    <xf numFmtId="0" fontId="22" fillId="0" borderId="0" xfId="1" applyFont="1" applyAlignment="1" applyProtection="1">
      <alignment vertical="center"/>
      <protection hidden="1"/>
    </xf>
    <xf numFmtId="0" fontId="8" fillId="0" borderId="0" xfId="1" applyFont="1" applyAlignment="1" applyProtection="1">
      <alignment vertical="top" wrapText="1"/>
      <protection hidden="1"/>
    </xf>
    <xf numFmtId="0" fontId="8" fillId="0" borderId="0" xfId="0" applyFont="1" applyAlignment="1" applyProtection="1">
      <alignment vertical="center"/>
      <protection hidden="1"/>
    </xf>
    <xf numFmtId="0" fontId="13" fillId="0" borderId="0" xfId="0" applyFont="1" applyAlignment="1" applyProtection="1">
      <alignment horizontal="center" vertical="center"/>
      <protection hidden="1"/>
    </xf>
    <xf numFmtId="0" fontId="8" fillId="0" borderId="0" xfId="0" applyFont="1" applyAlignment="1" applyProtection="1">
      <alignment horizontal="center" vertical="center"/>
      <protection hidden="1"/>
    </xf>
    <xf numFmtId="0" fontId="8" fillId="0" borderId="0" xfId="0" applyFont="1" applyAlignment="1" applyProtection="1">
      <alignment horizontal="right" vertical="center"/>
      <protection hidden="1"/>
    </xf>
    <xf numFmtId="166" fontId="8" fillId="0" borderId="0" xfId="0" applyNumberFormat="1" applyFont="1" applyAlignment="1" applyProtection="1">
      <alignment horizontal="center" vertical="center"/>
      <protection hidden="1"/>
    </xf>
    <xf numFmtId="0" fontId="14" fillId="0" borderId="0" xfId="0" applyFont="1" applyAlignment="1" applyProtection="1">
      <alignment horizontal="center" vertical="center"/>
      <protection hidden="1"/>
    </xf>
    <xf numFmtId="0" fontId="18" fillId="0" borderId="0" xfId="0" applyFont="1" applyAlignment="1" applyProtection="1">
      <alignment horizontal="right" vertical="center"/>
      <protection hidden="1"/>
    </xf>
    <xf numFmtId="0" fontId="18" fillId="0" borderId="0" xfId="0" applyFont="1" applyAlignment="1" applyProtection="1">
      <alignment vertical="center"/>
      <protection hidden="1"/>
    </xf>
    <xf numFmtId="0" fontId="15" fillId="0" borderId="0" xfId="0" applyFont="1" applyAlignment="1" applyProtection="1">
      <alignment horizontal="center" vertical="center"/>
      <protection hidden="1"/>
    </xf>
    <xf numFmtId="0" fontId="15" fillId="0" borderId="0" xfId="0" applyFont="1" applyAlignment="1" applyProtection="1">
      <alignment horizontal="right" vertical="center" indent="1"/>
      <protection hidden="1"/>
    </xf>
    <xf numFmtId="0" fontId="12" fillId="0" borderId="0" xfId="0" applyFont="1" applyAlignment="1" applyProtection="1">
      <alignment horizontal="center" vertical="center" wrapText="1"/>
      <protection hidden="1"/>
    </xf>
    <xf numFmtId="0" fontId="16" fillId="14" borderId="48" xfId="0" applyFont="1" applyFill="1" applyBorder="1" applyAlignment="1" applyProtection="1">
      <alignment horizontal="center" vertical="center" wrapText="1"/>
      <protection hidden="1"/>
    </xf>
    <xf numFmtId="0" fontId="9" fillId="14" borderId="29" xfId="0" applyFont="1" applyFill="1" applyBorder="1" applyAlignment="1" applyProtection="1">
      <alignment horizontal="center" vertical="center" wrapText="1"/>
      <protection hidden="1"/>
    </xf>
    <xf numFmtId="166" fontId="9" fillId="14" borderId="29" xfId="0" applyNumberFormat="1" applyFont="1" applyFill="1" applyBorder="1" applyAlignment="1" applyProtection="1">
      <alignment horizontal="center" vertical="center" wrapText="1"/>
      <protection hidden="1"/>
    </xf>
    <xf numFmtId="0" fontId="12" fillId="14" borderId="29" xfId="0" applyFont="1" applyFill="1" applyBorder="1" applyAlignment="1" applyProtection="1">
      <alignment horizontal="center" vertical="center" wrapText="1"/>
      <protection hidden="1"/>
    </xf>
    <xf numFmtId="0" fontId="9" fillId="14" borderId="49" xfId="0" applyFont="1" applyFill="1" applyBorder="1" applyAlignment="1" applyProtection="1">
      <alignment horizontal="center" vertical="center" wrapText="1"/>
      <protection hidden="1"/>
    </xf>
    <xf numFmtId="0" fontId="9" fillId="14" borderId="20" xfId="0" applyFont="1" applyFill="1" applyBorder="1" applyAlignment="1" applyProtection="1">
      <alignment horizontal="center" vertical="center" wrapText="1"/>
      <protection hidden="1"/>
    </xf>
    <xf numFmtId="0" fontId="9" fillId="14" borderId="2" xfId="0" applyFont="1" applyFill="1" applyBorder="1" applyAlignment="1" applyProtection="1">
      <alignment horizontal="center" vertical="center" wrapText="1"/>
      <protection hidden="1"/>
    </xf>
    <xf numFmtId="0" fontId="12" fillId="14" borderId="2" xfId="0" applyFont="1" applyFill="1" applyBorder="1" applyAlignment="1" applyProtection="1">
      <alignment horizontal="center" vertical="center" wrapText="1"/>
      <protection hidden="1"/>
    </xf>
    <xf numFmtId="0" fontId="17" fillId="14" borderId="2" xfId="0" applyFont="1" applyFill="1" applyBorder="1" applyAlignment="1" applyProtection="1">
      <alignment horizontal="center" vertical="center" wrapText="1"/>
      <protection hidden="1"/>
    </xf>
    <xf numFmtId="0" fontId="9" fillId="14" borderId="5" xfId="0" applyFont="1" applyFill="1" applyBorder="1" applyAlignment="1" applyProtection="1">
      <alignment horizontal="center" vertical="center" wrapText="1"/>
      <protection hidden="1"/>
    </xf>
    <xf numFmtId="0" fontId="9" fillId="14" borderId="4" xfId="0" applyFont="1" applyFill="1" applyBorder="1" applyAlignment="1" applyProtection="1">
      <alignment horizontal="center" vertical="center" wrapText="1"/>
      <protection hidden="1"/>
    </xf>
    <xf numFmtId="166" fontId="9" fillId="14" borderId="46" xfId="0" applyNumberFormat="1" applyFont="1" applyFill="1" applyBorder="1" applyAlignment="1" applyProtection="1">
      <alignment horizontal="center" vertical="center" wrapText="1"/>
      <protection hidden="1"/>
    </xf>
    <xf numFmtId="0" fontId="9" fillId="0" borderId="0" xfId="0" applyFont="1" applyAlignment="1" applyProtection="1">
      <alignment horizontal="center" vertical="center"/>
      <protection hidden="1"/>
    </xf>
    <xf numFmtId="0" fontId="16" fillId="0" borderId="0" xfId="0" applyFont="1" applyAlignment="1" applyProtection="1">
      <alignment horizontal="center" vertical="center"/>
      <protection hidden="1"/>
    </xf>
    <xf numFmtId="0" fontId="13" fillId="0" borderId="31" xfId="0" applyFont="1" applyBorder="1" applyAlignment="1" applyProtection="1">
      <alignment horizontal="center" vertical="center" wrapText="1"/>
      <protection hidden="1"/>
    </xf>
    <xf numFmtId="0" fontId="9" fillId="14" borderId="31" xfId="0" applyFont="1" applyFill="1" applyBorder="1" applyAlignment="1" applyProtection="1">
      <alignment horizontal="center" vertical="center"/>
      <protection hidden="1"/>
    </xf>
    <xf numFmtId="0" fontId="8" fillId="0" borderId="38" xfId="0" applyFont="1" applyBorder="1" applyAlignment="1" applyProtection="1">
      <alignment horizontal="center" vertical="center"/>
      <protection hidden="1"/>
    </xf>
    <xf numFmtId="0" fontId="8" fillId="5" borderId="11" xfId="0" applyFont="1" applyFill="1" applyBorder="1" applyAlignment="1" applyProtection="1">
      <alignment horizontal="center" vertical="center" wrapText="1"/>
      <protection locked="0" hidden="1"/>
    </xf>
    <xf numFmtId="49" fontId="8" fillId="5" borderId="3" xfId="0" applyNumberFormat="1" applyFont="1" applyFill="1" applyBorder="1" applyAlignment="1" applyProtection="1">
      <alignment horizontal="center" vertical="center"/>
      <protection locked="0" hidden="1"/>
    </xf>
    <xf numFmtId="166" fontId="8" fillId="5" borderId="3" xfId="0" applyNumberFormat="1" applyFont="1" applyFill="1" applyBorder="1" applyAlignment="1" applyProtection="1">
      <alignment horizontal="center" vertical="center"/>
      <protection locked="0" hidden="1"/>
    </xf>
    <xf numFmtId="0" fontId="8" fillId="5" borderId="3" xfId="0" applyFont="1" applyFill="1" applyBorder="1" applyAlignment="1" applyProtection="1">
      <alignment horizontal="left" vertical="center" wrapText="1"/>
      <protection locked="0" hidden="1"/>
    </xf>
    <xf numFmtId="0" fontId="8" fillId="5" borderId="3" xfId="0" applyFont="1" applyFill="1" applyBorder="1" applyAlignment="1" applyProtection="1">
      <alignment horizontal="center" vertical="center"/>
      <protection locked="0" hidden="1"/>
    </xf>
    <xf numFmtId="0" fontId="8" fillId="5" borderId="30" xfId="0" applyFont="1" applyFill="1" applyBorder="1" applyAlignment="1" applyProtection="1">
      <alignment horizontal="center" vertical="center"/>
      <protection locked="0" hidden="1"/>
    </xf>
    <xf numFmtId="4" fontId="8" fillId="5" borderId="11" xfId="0" applyNumberFormat="1" applyFont="1" applyFill="1" applyBorder="1" applyAlignment="1" applyProtection="1">
      <alignment vertical="center"/>
      <protection locked="0" hidden="1"/>
    </xf>
    <xf numFmtId="4" fontId="8" fillId="5" borderId="3" xfId="0" applyNumberFormat="1" applyFont="1" applyFill="1" applyBorder="1" applyAlignment="1" applyProtection="1">
      <alignment vertical="center"/>
      <protection locked="0" hidden="1"/>
    </xf>
    <xf numFmtId="4" fontId="8" fillId="0" borderId="3" xfId="0" applyNumberFormat="1" applyFont="1" applyBorder="1" applyAlignment="1" applyProtection="1">
      <alignment vertical="center"/>
      <protection hidden="1"/>
    </xf>
    <xf numFmtId="165" fontId="8" fillId="2" borderId="3" xfId="0" applyNumberFormat="1" applyFont="1" applyFill="1" applyBorder="1" applyAlignment="1" applyProtection="1">
      <alignment horizontal="center" vertical="center"/>
      <protection locked="0" hidden="1"/>
    </xf>
    <xf numFmtId="4" fontId="8" fillId="14" borderId="3" xfId="0" applyNumberFormat="1" applyFont="1" applyFill="1" applyBorder="1" applyAlignment="1" applyProtection="1">
      <alignment vertical="center"/>
      <protection hidden="1"/>
    </xf>
    <xf numFmtId="4" fontId="8" fillId="14" borderId="7" xfId="0" applyNumberFormat="1" applyFont="1" applyFill="1" applyBorder="1" applyAlignment="1" applyProtection="1">
      <alignment vertical="center"/>
      <protection hidden="1"/>
    </xf>
    <xf numFmtId="166" fontId="8" fillId="2" borderId="13" xfId="0" applyNumberFormat="1" applyFont="1" applyFill="1" applyBorder="1" applyAlignment="1" applyProtection="1">
      <alignment horizontal="center" vertical="center"/>
      <protection locked="0" hidden="1"/>
    </xf>
    <xf numFmtId="0" fontId="8" fillId="3" borderId="11" xfId="0" applyFont="1" applyFill="1" applyBorder="1" applyAlignment="1" applyProtection="1">
      <alignment vertical="center"/>
      <protection locked="0" hidden="1"/>
    </xf>
    <xf numFmtId="0" fontId="8" fillId="3" borderId="3" xfId="0" applyFont="1" applyFill="1" applyBorder="1" applyAlignment="1" applyProtection="1">
      <alignment vertical="center"/>
      <protection locked="0" hidden="1"/>
    </xf>
    <xf numFmtId="0" fontId="8" fillId="3" borderId="7" xfId="0" applyFont="1" applyFill="1" applyBorder="1" applyAlignment="1" applyProtection="1">
      <alignment vertical="center"/>
      <protection locked="0" hidden="1"/>
    </xf>
    <xf numFmtId="0" fontId="8" fillId="7" borderId="31" xfId="0" applyFont="1" applyFill="1" applyBorder="1" applyAlignment="1" applyProtection="1">
      <alignment vertical="top" wrapText="1"/>
      <protection locked="0" hidden="1"/>
    </xf>
    <xf numFmtId="0" fontId="13" fillId="0" borderId="32" xfId="0" applyFont="1" applyBorder="1" applyAlignment="1" applyProtection="1">
      <alignment horizontal="center" vertical="center" wrapText="1"/>
      <protection hidden="1"/>
    </xf>
    <xf numFmtId="0" fontId="9" fillId="14" borderId="32" xfId="0" applyFont="1" applyFill="1" applyBorder="1" applyAlignment="1" applyProtection="1">
      <alignment horizontal="center" vertical="center"/>
      <protection hidden="1"/>
    </xf>
    <xf numFmtId="0" fontId="8" fillId="5" borderId="12" xfId="0" applyFont="1" applyFill="1" applyBorder="1" applyAlignment="1" applyProtection="1">
      <alignment horizontal="center" vertical="center" wrapText="1"/>
      <protection locked="0" hidden="1"/>
    </xf>
    <xf numFmtId="49" fontId="8" fillId="5" borderId="1" xfId="0" applyNumberFormat="1" applyFont="1" applyFill="1" applyBorder="1" applyAlignment="1" applyProtection="1">
      <alignment horizontal="center" vertical="center"/>
      <protection locked="0" hidden="1"/>
    </xf>
    <xf numFmtId="166" fontId="8" fillId="5" borderId="1" xfId="0" applyNumberFormat="1" applyFont="1" applyFill="1" applyBorder="1" applyAlignment="1" applyProtection="1">
      <alignment horizontal="center" vertical="center"/>
      <protection locked="0" hidden="1"/>
    </xf>
    <xf numFmtId="0" fontId="8" fillId="5" borderId="1" xfId="0" applyFont="1" applyFill="1" applyBorder="1" applyAlignment="1" applyProtection="1">
      <alignment horizontal="left" vertical="center" wrapText="1"/>
      <protection locked="0" hidden="1"/>
    </xf>
    <xf numFmtId="0" fontId="8" fillId="5" borderId="1" xfId="0" applyFont="1" applyFill="1" applyBorder="1" applyAlignment="1" applyProtection="1">
      <alignment horizontal="center" vertical="center"/>
      <protection locked="0" hidden="1"/>
    </xf>
    <xf numFmtId="0" fontId="8" fillId="5" borderId="37" xfId="0" applyFont="1" applyFill="1" applyBorder="1" applyAlignment="1" applyProtection="1">
      <alignment horizontal="center" vertical="center"/>
      <protection locked="0" hidden="1"/>
    </xf>
    <xf numFmtId="4" fontId="8" fillId="5" borderId="12" xfId="0" applyNumberFormat="1" applyFont="1" applyFill="1" applyBorder="1" applyAlignment="1" applyProtection="1">
      <alignment vertical="center"/>
      <protection locked="0" hidden="1"/>
    </xf>
    <xf numFmtId="4" fontId="8" fillId="5" borderId="1" xfId="0" applyNumberFormat="1" applyFont="1" applyFill="1" applyBorder="1" applyAlignment="1" applyProtection="1">
      <alignment vertical="center"/>
      <protection locked="0" hidden="1"/>
    </xf>
    <xf numFmtId="4" fontId="8" fillId="0" borderId="1" xfId="0" applyNumberFormat="1" applyFont="1" applyBorder="1" applyAlignment="1" applyProtection="1">
      <alignment vertical="center"/>
      <protection hidden="1"/>
    </xf>
    <xf numFmtId="165" fontId="8" fillId="2" borderId="1" xfId="0" applyNumberFormat="1" applyFont="1" applyFill="1" applyBorder="1" applyAlignment="1" applyProtection="1">
      <alignment horizontal="center" vertical="center"/>
      <protection locked="0" hidden="1"/>
    </xf>
    <xf numFmtId="4" fontId="8" fillId="14" borderId="1" xfId="0" applyNumberFormat="1" applyFont="1" applyFill="1" applyBorder="1" applyAlignment="1" applyProtection="1">
      <alignment vertical="center"/>
      <protection hidden="1"/>
    </xf>
    <xf numFmtId="4" fontId="8" fillId="14" borderId="13" xfId="0" applyNumberFormat="1" applyFont="1" applyFill="1" applyBorder="1" applyAlignment="1" applyProtection="1">
      <alignment vertical="center"/>
      <protection hidden="1"/>
    </xf>
    <xf numFmtId="0" fontId="8" fillId="3" borderId="12" xfId="0" applyFont="1" applyFill="1" applyBorder="1" applyAlignment="1" applyProtection="1">
      <alignment vertical="center"/>
      <protection locked="0" hidden="1"/>
    </xf>
    <xf numFmtId="0" fontId="8" fillId="3" borderId="1" xfId="0" applyFont="1" applyFill="1" applyBorder="1" applyAlignment="1" applyProtection="1">
      <alignment vertical="center"/>
      <protection locked="0" hidden="1"/>
    </xf>
    <xf numFmtId="0" fontId="8" fillId="3" borderId="13" xfId="0" applyFont="1" applyFill="1" applyBorder="1" applyAlignment="1" applyProtection="1">
      <alignment vertical="center"/>
      <protection locked="0" hidden="1"/>
    </xf>
    <xf numFmtId="0" fontId="8" fillId="7" borderId="32" xfId="0" applyFont="1" applyFill="1" applyBorder="1" applyAlignment="1" applyProtection="1">
      <alignment vertical="top" wrapText="1"/>
      <protection locked="0" hidden="1"/>
    </xf>
    <xf numFmtId="0" fontId="8" fillId="5" borderId="60" xfId="0" applyFont="1" applyFill="1" applyBorder="1" applyAlignment="1" applyProtection="1">
      <alignment horizontal="center" vertical="center" wrapText="1"/>
      <protection locked="0" hidden="1"/>
    </xf>
    <xf numFmtId="49" fontId="8" fillId="5" borderId="61" xfId="0" applyNumberFormat="1" applyFont="1" applyFill="1" applyBorder="1" applyAlignment="1" applyProtection="1">
      <alignment horizontal="center" vertical="center"/>
      <protection locked="0" hidden="1"/>
    </xf>
    <xf numFmtId="166" fontId="8" fillId="5" borderId="61" xfId="0" applyNumberFormat="1" applyFont="1" applyFill="1" applyBorder="1" applyAlignment="1" applyProtection="1">
      <alignment horizontal="center" vertical="center"/>
      <protection locked="0" hidden="1"/>
    </xf>
    <xf numFmtId="0" fontId="8" fillId="5" borderId="61" xfId="0" applyFont="1" applyFill="1" applyBorder="1" applyAlignment="1" applyProtection="1">
      <alignment horizontal="left" vertical="center" wrapText="1"/>
      <protection locked="0" hidden="1"/>
    </xf>
    <xf numFmtId="0" fontId="8" fillId="5" borderId="61" xfId="0" applyFont="1" applyFill="1" applyBorder="1" applyAlignment="1" applyProtection="1">
      <alignment horizontal="center" vertical="center"/>
      <protection locked="0" hidden="1"/>
    </xf>
    <xf numFmtId="0" fontId="8" fillId="5" borderId="16" xfId="0" applyFont="1" applyFill="1" applyBorder="1" applyAlignment="1" applyProtection="1">
      <alignment horizontal="center" vertical="center"/>
      <protection locked="0" hidden="1"/>
    </xf>
    <xf numFmtId="4" fontId="8" fillId="5" borderId="60" xfId="0" applyNumberFormat="1" applyFont="1" applyFill="1" applyBorder="1" applyAlignment="1" applyProtection="1">
      <alignment vertical="center"/>
      <protection locked="0" hidden="1"/>
    </xf>
    <xf numFmtId="4" fontId="8" fillId="5" borderId="61" xfId="0" applyNumberFormat="1" applyFont="1" applyFill="1" applyBorder="1" applyAlignment="1" applyProtection="1">
      <alignment vertical="center"/>
      <protection locked="0" hidden="1"/>
    </xf>
    <xf numFmtId="4" fontId="8" fillId="0" borderId="61" xfId="0" applyNumberFormat="1" applyFont="1" applyBorder="1" applyAlignment="1" applyProtection="1">
      <alignment vertical="center"/>
      <protection hidden="1"/>
    </xf>
    <xf numFmtId="165" fontId="8" fillId="2" borderId="61" xfId="0" applyNumberFormat="1" applyFont="1" applyFill="1" applyBorder="1" applyAlignment="1" applyProtection="1">
      <alignment horizontal="center" vertical="center"/>
      <protection locked="0" hidden="1"/>
    </xf>
    <xf numFmtId="0" fontId="8" fillId="3" borderId="60" xfId="0" applyFont="1" applyFill="1" applyBorder="1" applyAlignment="1" applyProtection="1">
      <alignment vertical="center"/>
      <protection locked="0" hidden="1"/>
    </xf>
    <xf numFmtId="0" fontId="8" fillId="7" borderId="40" xfId="0" applyFont="1" applyFill="1" applyBorder="1" applyAlignment="1" applyProtection="1">
      <alignment vertical="top" wrapText="1"/>
      <protection locked="0" hidden="1"/>
    </xf>
    <xf numFmtId="0" fontId="13" fillId="0" borderId="33" xfId="0" applyFont="1" applyBorder="1" applyAlignment="1" applyProtection="1">
      <alignment horizontal="center" vertical="center" wrapText="1"/>
      <protection hidden="1"/>
    </xf>
    <xf numFmtId="0" fontId="9" fillId="14" borderId="33" xfId="0" applyFont="1" applyFill="1" applyBorder="1" applyAlignment="1" applyProtection="1">
      <alignment horizontal="center" vertical="center"/>
      <protection hidden="1"/>
    </xf>
    <xf numFmtId="0" fontId="8" fillId="5" borderId="14" xfId="0" applyFont="1" applyFill="1" applyBorder="1" applyAlignment="1" applyProtection="1">
      <alignment horizontal="center" vertical="center" wrapText="1"/>
      <protection locked="0" hidden="1"/>
    </xf>
    <xf numFmtId="49" fontId="8" fillId="5" borderId="9" xfId="0" applyNumberFormat="1" applyFont="1" applyFill="1" applyBorder="1" applyAlignment="1" applyProtection="1">
      <alignment horizontal="center" vertical="center"/>
      <protection locked="0" hidden="1"/>
    </xf>
    <xf numFmtId="166" fontId="8" fillId="5" borderId="9" xfId="0" applyNumberFormat="1" applyFont="1" applyFill="1" applyBorder="1" applyAlignment="1" applyProtection="1">
      <alignment horizontal="center" vertical="center"/>
      <protection locked="0" hidden="1"/>
    </xf>
    <xf numFmtId="0" fontId="8" fillId="5" borderId="9" xfId="0" applyFont="1" applyFill="1" applyBorder="1" applyAlignment="1" applyProtection="1">
      <alignment horizontal="left" vertical="center" wrapText="1"/>
      <protection locked="0" hidden="1"/>
    </xf>
    <xf numFmtId="0" fontId="8" fillId="5" borderId="9" xfId="0" applyFont="1" applyFill="1" applyBorder="1" applyAlignment="1" applyProtection="1">
      <alignment horizontal="center" vertical="center"/>
      <protection locked="0" hidden="1"/>
    </xf>
    <xf numFmtId="0" fontId="8" fillId="5" borderId="15" xfId="0" applyFont="1" applyFill="1" applyBorder="1" applyAlignment="1" applyProtection="1">
      <alignment horizontal="center" vertical="center"/>
      <protection locked="0" hidden="1"/>
    </xf>
    <xf numFmtId="4" fontId="8" fillId="5" borderId="14" xfId="0" applyNumberFormat="1" applyFont="1" applyFill="1" applyBorder="1" applyAlignment="1" applyProtection="1">
      <alignment vertical="center"/>
      <protection locked="0" hidden="1"/>
    </xf>
    <xf numFmtId="4" fontId="8" fillId="5" borderId="9" xfId="0" applyNumberFormat="1" applyFont="1" applyFill="1" applyBorder="1" applyAlignment="1" applyProtection="1">
      <alignment vertical="center"/>
      <protection locked="0" hidden="1"/>
    </xf>
    <xf numFmtId="4" fontId="8" fillId="0" borderId="9" xfId="0" applyNumberFormat="1" applyFont="1" applyBorder="1" applyAlignment="1" applyProtection="1">
      <alignment vertical="center"/>
      <protection hidden="1"/>
    </xf>
    <xf numFmtId="165" fontId="8" fillId="2" borderId="9" xfId="0" applyNumberFormat="1" applyFont="1" applyFill="1" applyBorder="1" applyAlignment="1" applyProtection="1">
      <alignment horizontal="center" vertical="center"/>
      <protection locked="0" hidden="1"/>
    </xf>
    <xf numFmtId="4" fontId="8" fillId="14" borderId="9" xfId="0" applyNumberFormat="1" applyFont="1" applyFill="1" applyBorder="1" applyAlignment="1" applyProtection="1">
      <alignment vertical="center"/>
      <protection hidden="1"/>
    </xf>
    <xf numFmtId="4" fontId="8" fillId="14" borderId="10" xfId="0" applyNumberFormat="1" applyFont="1" applyFill="1" applyBorder="1" applyAlignment="1" applyProtection="1">
      <alignment vertical="center"/>
      <protection hidden="1"/>
    </xf>
    <xf numFmtId="166" fontId="8" fillId="2" borderId="10" xfId="0" applyNumberFormat="1" applyFont="1" applyFill="1" applyBorder="1" applyAlignment="1" applyProtection="1">
      <alignment horizontal="center" vertical="center"/>
      <protection locked="0" hidden="1"/>
    </xf>
    <xf numFmtId="0" fontId="8" fillId="3" borderId="14" xfId="0" applyFont="1" applyFill="1" applyBorder="1" applyAlignment="1" applyProtection="1">
      <alignment vertical="center"/>
      <protection locked="0" hidden="1"/>
    </xf>
    <xf numFmtId="0" fontId="8" fillId="3" borderId="9" xfId="0" applyFont="1" applyFill="1" applyBorder="1" applyAlignment="1" applyProtection="1">
      <alignment vertical="center"/>
      <protection locked="0" hidden="1"/>
    </xf>
    <xf numFmtId="0" fontId="8" fillId="3" borderId="10" xfId="0" applyFont="1" applyFill="1" applyBorder="1" applyAlignment="1" applyProtection="1">
      <alignment vertical="center"/>
      <protection locked="0" hidden="1"/>
    </xf>
    <xf numFmtId="0" fontId="8" fillId="7" borderId="33" xfId="0" applyFont="1" applyFill="1" applyBorder="1" applyAlignment="1" applyProtection="1">
      <alignment vertical="top" wrapText="1"/>
      <protection locked="0" hidden="1"/>
    </xf>
    <xf numFmtId="0" fontId="18" fillId="14" borderId="47" xfId="0" applyFont="1" applyFill="1" applyBorder="1" applyAlignment="1" applyProtection="1">
      <alignment horizontal="center" vertical="center"/>
      <protection hidden="1"/>
    </xf>
    <xf numFmtId="4" fontId="9" fillId="14" borderId="47" xfId="0" applyNumberFormat="1" applyFont="1" applyFill="1" applyBorder="1" applyAlignment="1" applyProtection="1">
      <alignment vertical="center"/>
      <protection hidden="1"/>
    </xf>
    <xf numFmtId="0" fontId="19" fillId="0" borderId="0" xfId="0" applyFont="1" applyAlignment="1" applyProtection="1">
      <alignment horizontal="center" vertical="center"/>
      <protection hidden="1"/>
    </xf>
    <xf numFmtId="0" fontId="8" fillId="9" borderId="12" xfId="0" applyFont="1" applyFill="1" applyBorder="1" applyAlignment="1" applyProtection="1">
      <alignment horizontal="center" vertical="center"/>
      <protection hidden="1"/>
    </xf>
    <xf numFmtId="0" fontId="8" fillId="14" borderId="1" xfId="0" applyFont="1" applyFill="1" applyBorder="1" applyAlignment="1" applyProtection="1">
      <alignment horizontal="center" vertical="center"/>
      <protection hidden="1"/>
    </xf>
    <xf numFmtId="0" fontId="8" fillId="9" borderId="14" xfId="0" applyFont="1" applyFill="1" applyBorder="1" applyAlignment="1" applyProtection="1">
      <alignment horizontal="center" vertical="center"/>
      <protection hidden="1"/>
    </xf>
    <xf numFmtId="0" fontId="8" fillId="9" borderId="9" xfId="0" applyFont="1" applyFill="1" applyBorder="1" applyAlignment="1" applyProtection="1">
      <alignment horizontal="center" vertical="center"/>
      <protection hidden="1"/>
    </xf>
    <xf numFmtId="0" fontId="8" fillId="9" borderId="10" xfId="0" applyFont="1" applyFill="1" applyBorder="1" applyAlignment="1" applyProtection="1">
      <alignment horizontal="center" vertical="center"/>
      <protection hidden="1"/>
    </xf>
    <xf numFmtId="0" fontId="8" fillId="9" borderId="14" xfId="0" applyFont="1" applyFill="1" applyBorder="1" applyAlignment="1" applyProtection="1">
      <alignment horizontal="center" vertical="center" wrapText="1"/>
      <protection hidden="1"/>
    </xf>
    <xf numFmtId="0" fontId="8" fillId="14" borderId="9" xfId="0" applyFont="1" applyFill="1" applyBorder="1" applyAlignment="1" applyProtection="1">
      <alignment horizontal="center" vertical="center" wrapText="1"/>
      <protection hidden="1"/>
    </xf>
    <xf numFmtId="0" fontId="8" fillId="8" borderId="11" xfId="0" applyFont="1" applyFill="1" applyBorder="1" applyAlignment="1" applyProtection="1">
      <alignment horizontal="center" vertical="center" wrapText="1"/>
      <protection hidden="1"/>
    </xf>
    <xf numFmtId="0" fontId="8" fillId="8" borderId="3" xfId="0" applyFont="1" applyFill="1" applyBorder="1" applyAlignment="1" applyProtection="1">
      <alignment horizontal="right" vertical="center"/>
      <protection hidden="1"/>
    </xf>
    <xf numFmtId="0" fontId="8" fillId="8" borderId="7" xfId="0" applyFont="1" applyFill="1" applyBorder="1" applyAlignment="1" applyProtection="1">
      <alignment vertical="center"/>
      <protection hidden="1"/>
    </xf>
    <xf numFmtId="166" fontId="21" fillId="8" borderId="11" xfId="0" applyNumberFormat="1" applyFont="1" applyFill="1" applyBorder="1" applyAlignment="1" applyProtection="1">
      <alignment horizontal="center" vertical="center"/>
      <protection hidden="1"/>
    </xf>
    <xf numFmtId="166" fontId="8" fillId="0" borderId="3" xfId="0" applyNumberFormat="1" applyFont="1" applyBorder="1" applyAlignment="1" applyProtection="1">
      <alignment horizontal="center" vertical="center"/>
      <protection hidden="1"/>
    </xf>
    <xf numFmtId="0" fontId="8" fillId="8" borderId="7" xfId="0" applyFont="1" applyFill="1" applyBorder="1" applyAlignment="1" applyProtection="1">
      <alignment horizontal="center" vertical="center"/>
      <protection hidden="1"/>
    </xf>
    <xf numFmtId="166" fontId="8" fillId="9" borderId="27" xfId="0" applyNumberFormat="1" applyFont="1" applyFill="1" applyBorder="1" applyAlignment="1" applyProtection="1">
      <alignment horizontal="center" vertical="center"/>
      <protection hidden="1"/>
    </xf>
    <xf numFmtId="166" fontId="8" fillId="8" borderId="11" xfId="0" applyNumberFormat="1" applyFont="1" applyFill="1" applyBorder="1" applyAlignment="1" applyProtection="1">
      <alignment horizontal="center" vertical="center"/>
      <protection hidden="1"/>
    </xf>
    <xf numFmtId="166" fontId="8" fillId="9" borderId="19" xfId="0" applyNumberFormat="1" applyFont="1" applyFill="1" applyBorder="1" applyAlignment="1" applyProtection="1">
      <alignment horizontal="center" vertical="center"/>
      <protection hidden="1"/>
    </xf>
    <xf numFmtId="1" fontId="8" fillId="9" borderId="18" xfId="0" applyNumberFormat="1" applyFont="1" applyFill="1" applyBorder="1" applyAlignment="1" applyProtection="1">
      <alignment horizontal="center" vertical="center"/>
      <protection hidden="1"/>
    </xf>
    <xf numFmtId="0" fontId="8" fillId="8" borderId="11" xfId="0" applyFont="1" applyFill="1" applyBorder="1" applyAlignment="1" applyProtection="1">
      <alignment horizontal="center" vertical="center"/>
      <protection hidden="1"/>
    </xf>
    <xf numFmtId="1" fontId="8" fillId="0" borderId="3" xfId="0" applyNumberFormat="1" applyFont="1" applyBorder="1" applyAlignment="1" applyProtection="1">
      <alignment horizontal="center" vertical="center"/>
      <protection hidden="1"/>
    </xf>
    <xf numFmtId="166" fontId="8" fillId="8" borderId="3" xfId="0" applyNumberFormat="1" applyFont="1" applyFill="1" applyBorder="1" applyAlignment="1" applyProtection="1">
      <alignment horizontal="center" vertical="center"/>
      <protection hidden="1"/>
    </xf>
    <xf numFmtId="4" fontId="8" fillId="8" borderId="11" xfId="0" applyNumberFormat="1" applyFont="1" applyFill="1" applyBorder="1" applyAlignment="1" applyProtection="1">
      <alignment horizontal="center" vertical="center"/>
      <protection hidden="1"/>
    </xf>
    <xf numFmtId="4" fontId="8" fillId="8" borderId="30" xfId="0" applyNumberFormat="1" applyFont="1" applyFill="1" applyBorder="1" applyAlignment="1" applyProtection="1">
      <alignment horizontal="center" vertical="center"/>
      <protection hidden="1"/>
    </xf>
    <xf numFmtId="0" fontId="8" fillId="0" borderId="31" xfId="0" applyFont="1" applyBorder="1" applyAlignment="1" applyProtection="1">
      <alignment horizontal="center" vertical="center"/>
      <protection hidden="1"/>
    </xf>
    <xf numFmtId="0" fontId="13" fillId="0" borderId="31" xfId="0" applyFont="1" applyBorder="1" applyAlignment="1" applyProtection="1">
      <alignment vertical="center" wrapText="1"/>
      <protection hidden="1"/>
    </xf>
    <xf numFmtId="0" fontId="8" fillId="8" borderId="12" xfId="0" applyFont="1" applyFill="1" applyBorder="1" applyAlignment="1" applyProtection="1">
      <alignment horizontal="center" vertical="center" wrapText="1"/>
      <protection hidden="1"/>
    </xf>
    <xf numFmtId="0" fontId="8" fillId="8" borderId="1" xfId="0" applyFont="1" applyFill="1" applyBorder="1" applyAlignment="1" applyProtection="1">
      <alignment horizontal="right" vertical="center"/>
      <protection hidden="1"/>
    </xf>
    <xf numFmtId="0" fontId="8" fillId="8" borderId="13" xfId="0" applyFont="1" applyFill="1" applyBorder="1" applyAlignment="1" applyProtection="1">
      <alignment vertical="center"/>
      <protection hidden="1"/>
    </xf>
    <xf numFmtId="166" fontId="8" fillId="8" borderId="12" xfId="0" applyNumberFormat="1" applyFont="1" applyFill="1" applyBorder="1" applyAlignment="1" applyProtection="1">
      <alignment horizontal="center" vertical="center"/>
      <protection hidden="1"/>
    </xf>
    <xf numFmtId="166" fontId="8" fillId="0" borderId="1" xfId="0" applyNumberFormat="1" applyFont="1" applyBorder="1" applyAlignment="1" applyProtection="1">
      <alignment horizontal="center" vertical="center"/>
      <protection hidden="1"/>
    </xf>
    <xf numFmtId="0" fontId="8" fillId="8" borderId="13" xfId="0" applyFont="1" applyFill="1" applyBorder="1" applyAlignment="1" applyProtection="1">
      <alignment horizontal="center" vertical="center"/>
      <protection hidden="1"/>
    </xf>
    <xf numFmtId="166" fontId="8" fillId="9" borderId="25" xfId="0" applyNumberFormat="1" applyFont="1" applyFill="1" applyBorder="1" applyAlignment="1" applyProtection="1">
      <alignment horizontal="center" vertical="center"/>
      <protection hidden="1"/>
    </xf>
    <xf numFmtId="166" fontId="8" fillId="9" borderId="50" xfId="0" applyNumberFormat="1" applyFont="1" applyFill="1" applyBorder="1" applyAlignment="1" applyProtection="1">
      <alignment horizontal="center" vertical="center"/>
      <protection hidden="1"/>
    </xf>
    <xf numFmtId="1" fontId="8" fillId="9" borderId="37" xfId="0" applyNumberFormat="1" applyFont="1" applyFill="1" applyBorder="1" applyAlignment="1" applyProtection="1">
      <alignment horizontal="center" vertical="center"/>
      <protection hidden="1"/>
    </xf>
    <xf numFmtId="0" fontId="8" fillId="8" borderId="12" xfId="0" applyFont="1" applyFill="1" applyBorder="1" applyAlignment="1" applyProtection="1">
      <alignment horizontal="center" vertical="center"/>
      <protection hidden="1"/>
    </xf>
    <xf numFmtId="1" fontId="8" fillId="0" borderId="1" xfId="0" applyNumberFormat="1" applyFont="1" applyBorder="1" applyAlignment="1" applyProtection="1">
      <alignment horizontal="center" vertical="center"/>
      <protection hidden="1"/>
    </xf>
    <xf numFmtId="166" fontId="8" fillId="8" borderId="1" xfId="0" applyNumberFormat="1" applyFont="1" applyFill="1" applyBorder="1" applyAlignment="1" applyProtection="1">
      <alignment horizontal="center" vertical="center"/>
      <protection hidden="1"/>
    </xf>
    <xf numFmtId="0" fontId="8" fillId="8" borderId="13" xfId="0" applyFont="1" applyFill="1" applyBorder="1" applyAlignment="1" applyProtection="1">
      <alignment horizontal="center" vertical="center" wrapText="1"/>
      <protection hidden="1"/>
    </xf>
    <xf numFmtId="4" fontId="8" fillId="8" borderId="12" xfId="0" applyNumberFormat="1" applyFont="1" applyFill="1" applyBorder="1" applyAlignment="1" applyProtection="1">
      <alignment horizontal="center" vertical="center"/>
      <protection hidden="1"/>
    </xf>
    <xf numFmtId="4" fontId="8" fillId="8" borderId="37" xfId="0" applyNumberFormat="1" applyFont="1" applyFill="1" applyBorder="1" applyAlignment="1" applyProtection="1">
      <alignment horizontal="center" vertical="center"/>
      <protection hidden="1"/>
    </xf>
    <xf numFmtId="0" fontId="8" fillId="0" borderId="32" xfId="0" applyFont="1" applyBorder="1" applyAlignment="1" applyProtection="1">
      <alignment horizontal="center" vertical="center"/>
      <protection hidden="1"/>
    </xf>
    <xf numFmtId="0" fontId="13" fillId="0" borderId="32" xfId="0" applyFont="1" applyBorder="1" applyAlignment="1" applyProtection="1">
      <alignment vertical="center" wrapText="1"/>
      <protection hidden="1"/>
    </xf>
    <xf numFmtId="0" fontId="8" fillId="8" borderId="14" xfId="0" applyFont="1" applyFill="1" applyBorder="1" applyAlignment="1" applyProtection="1">
      <alignment horizontal="center" vertical="center" wrapText="1"/>
      <protection hidden="1"/>
    </xf>
    <xf numFmtId="0" fontId="8" fillId="8" borderId="9" xfId="0" applyFont="1" applyFill="1" applyBorder="1" applyAlignment="1" applyProtection="1">
      <alignment horizontal="right" vertical="center"/>
      <protection hidden="1"/>
    </xf>
    <xf numFmtId="0" fontId="8" fillId="8" borderId="10" xfId="0" applyFont="1" applyFill="1" applyBorder="1" applyAlignment="1" applyProtection="1">
      <alignment vertical="center"/>
      <protection hidden="1"/>
    </xf>
    <xf numFmtId="166" fontId="8" fillId="8" borderId="14" xfId="0" applyNumberFormat="1" applyFont="1" applyFill="1" applyBorder="1" applyAlignment="1" applyProtection="1">
      <alignment horizontal="center" vertical="center"/>
      <protection hidden="1"/>
    </xf>
    <xf numFmtId="166" fontId="8" fillId="0" borderId="9" xfId="0" applyNumberFormat="1" applyFont="1" applyBorder="1" applyAlignment="1" applyProtection="1">
      <alignment horizontal="center" vertical="center"/>
      <protection hidden="1"/>
    </xf>
    <xf numFmtId="0" fontId="8" fillId="8" borderId="10" xfId="0" applyFont="1" applyFill="1" applyBorder="1" applyAlignment="1" applyProtection="1">
      <alignment horizontal="center" vertical="center"/>
      <protection hidden="1"/>
    </xf>
    <xf numFmtId="166" fontId="8" fillId="9" borderId="8" xfId="0" applyNumberFormat="1" applyFont="1" applyFill="1" applyBorder="1" applyAlignment="1" applyProtection="1">
      <alignment horizontal="center" vertical="center"/>
      <protection hidden="1"/>
    </xf>
    <xf numFmtId="166" fontId="8" fillId="9" borderId="14" xfId="0" applyNumberFormat="1" applyFont="1" applyFill="1" applyBorder="1" applyAlignment="1" applyProtection="1">
      <alignment horizontal="center" vertical="center"/>
      <protection hidden="1"/>
    </xf>
    <xf numFmtId="1" fontId="8" fillId="9" borderId="10" xfId="0" applyNumberFormat="1" applyFont="1" applyFill="1" applyBorder="1" applyAlignment="1" applyProtection="1">
      <alignment horizontal="center" vertical="center"/>
      <protection hidden="1"/>
    </xf>
    <xf numFmtId="0" fontId="8" fillId="8" borderId="14" xfId="0" applyFont="1" applyFill="1" applyBorder="1" applyAlignment="1" applyProtection="1">
      <alignment horizontal="center" vertical="center"/>
      <protection hidden="1"/>
    </xf>
    <xf numFmtId="1" fontId="8" fillId="0" borderId="9" xfId="0" applyNumberFormat="1" applyFont="1" applyBorder="1" applyAlignment="1" applyProtection="1">
      <alignment horizontal="center" vertical="center"/>
      <protection hidden="1"/>
    </xf>
    <xf numFmtId="166" fontId="8" fillId="8" borderId="9" xfId="0" applyNumberFormat="1" applyFont="1" applyFill="1" applyBorder="1" applyAlignment="1" applyProtection="1">
      <alignment horizontal="center" vertical="center"/>
      <protection hidden="1"/>
    </xf>
    <xf numFmtId="0" fontId="8" fillId="8" borderId="10" xfId="0" applyFont="1" applyFill="1" applyBorder="1" applyAlignment="1" applyProtection="1">
      <alignment horizontal="center" vertical="center" wrapText="1"/>
      <protection hidden="1"/>
    </xf>
    <xf numFmtId="4" fontId="8" fillId="8" borderId="14" xfId="0" applyNumberFormat="1" applyFont="1" applyFill="1" applyBorder="1" applyAlignment="1" applyProtection="1">
      <alignment horizontal="center" vertical="center"/>
      <protection hidden="1"/>
    </xf>
    <xf numFmtId="4" fontId="8" fillId="8" borderId="15" xfId="0" applyNumberFormat="1" applyFont="1" applyFill="1" applyBorder="1" applyAlignment="1" applyProtection="1">
      <alignment horizontal="center" vertical="center"/>
      <protection hidden="1"/>
    </xf>
    <xf numFmtId="0" fontId="8" fillId="0" borderId="33" xfId="0" applyFont="1" applyBorder="1" applyAlignment="1" applyProtection="1">
      <alignment horizontal="center" vertical="center"/>
      <protection hidden="1"/>
    </xf>
    <xf numFmtId="0" fontId="13" fillId="0" borderId="33" xfId="0" applyFont="1" applyBorder="1" applyAlignment="1" applyProtection="1">
      <alignment vertical="center" wrapText="1"/>
      <protection hidden="1"/>
    </xf>
    <xf numFmtId="4" fontId="9" fillId="0" borderId="0" xfId="0" applyNumberFormat="1" applyFont="1" applyAlignment="1" applyProtection="1">
      <alignment horizontal="center" vertical="center"/>
      <protection hidden="1"/>
    </xf>
    <xf numFmtId="0" fontId="8" fillId="8" borderId="36" xfId="0" applyFont="1" applyFill="1" applyBorder="1" applyAlignment="1" applyProtection="1">
      <alignment horizontal="center" vertical="center"/>
      <protection hidden="1"/>
    </xf>
    <xf numFmtId="0" fontId="8" fillId="8" borderId="38" xfId="0" applyFont="1" applyFill="1" applyBorder="1" applyAlignment="1" applyProtection="1">
      <alignment horizontal="center" vertical="center"/>
      <protection hidden="1"/>
    </xf>
    <xf numFmtId="0" fontId="8" fillId="8" borderId="39" xfId="0" applyFont="1" applyFill="1" applyBorder="1" applyAlignment="1" applyProtection="1">
      <alignment horizontal="center" vertical="center"/>
      <protection hidden="1"/>
    </xf>
    <xf numFmtId="0" fontId="16" fillId="0" borderId="47" xfId="0" applyFont="1" applyBorder="1" applyAlignment="1" applyProtection="1">
      <alignment vertical="center" wrapText="1"/>
      <protection hidden="1"/>
    </xf>
    <xf numFmtId="4" fontId="8" fillId="0" borderId="47" xfId="0" applyNumberFormat="1" applyFont="1" applyBorder="1" applyAlignment="1" applyProtection="1">
      <alignment horizontal="right" vertical="center"/>
      <protection hidden="1"/>
    </xf>
    <xf numFmtId="0" fontId="16" fillId="0" borderId="1" xfId="0" applyFont="1" applyBorder="1" applyAlignment="1" applyProtection="1">
      <alignment vertical="center" wrapText="1"/>
      <protection hidden="1"/>
    </xf>
    <xf numFmtId="4" fontId="8" fillId="0" borderId="1" xfId="0" applyNumberFormat="1" applyFont="1" applyBorder="1" applyAlignment="1" applyProtection="1">
      <alignment horizontal="right" vertical="center"/>
      <protection hidden="1"/>
    </xf>
    <xf numFmtId="0" fontId="9" fillId="0" borderId="47" xfId="0" applyFont="1" applyBorder="1" applyAlignment="1" applyProtection="1">
      <alignment horizontal="center" vertical="center"/>
      <protection hidden="1"/>
    </xf>
    <xf numFmtId="166" fontId="8" fillId="0" borderId="47" xfId="0" applyNumberFormat="1" applyFont="1" applyBorder="1" applyAlignment="1" applyProtection="1">
      <alignment horizontal="center" vertical="center"/>
      <protection hidden="1"/>
    </xf>
    <xf numFmtId="0" fontId="9" fillId="0" borderId="1" xfId="0" applyFont="1" applyBorder="1" applyAlignment="1" applyProtection="1">
      <alignment horizontal="center" vertical="center"/>
      <protection hidden="1"/>
    </xf>
    <xf numFmtId="0" fontId="9" fillId="0" borderId="1" xfId="0" applyFont="1" applyBorder="1" applyAlignment="1" applyProtection="1">
      <alignment horizontal="center" vertical="center" wrapText="1"/>
      <protection hidden="1"/>
    </xf>
    <xf numFmtId="0" fontId="9" fillId="10" borderId="4" xfId="0" applyFont="1" applyFill="1" applyBorder="1" applyAlignment="1" applyProtection="1">
      <alignment horizontal="center" vertical="center"/>
      <protection hidden="1"/>
    </xf>
    <xf numFmtId="0" fontId="9" fillId="10" borderId="2" xfId="0" applyFont="1" applyFill="1" applyBorder="1" applyAlignment="1" applyProtection="1">
      <alignment horizontal="center" vertical="center"/>
      <protection hidden="1"/>
    </xf>
    <xf numFmtId="0" fontId="9" fillId="10" borderId="5" xfId="0" applyFont="1" applyFill="1" applyBorder="1" applyAlignment="1" applyProtection="1">
      <alignment horizontal="center" vertical="center"/>
      <protection hidden="1"/>
    </xf>
    <xf numFmtId="0" fontId="8" fillId="0" borderId="47" xfId="0" applyFont="1" applyBorder="1" applyAlignment="1" applyProtection="1">
      <alignment horizontal="left" vertical="center"/>
      <protection hidden="1"/>
    </xf>
    <xf numFmtId="0" fontId="8" fillId="0" borderId="47" xfId="0" applyFont="1" applyBorder="1" applyAlignment="1" applyProtection="1">
      <alignment horizontal="left" vertical="center" wrapText="1"/>
      <protection hidden="1"/>
    </xf>
    <xf numFmtId="0" fontId="8" fillId="0" borderId="1" xfId="0" applyFont="1" applyBorder="1" applyAlignment="1" applyProtection="1">
      <alignment horizontal="left" vertical="center"/>
      <protection hidden="1"/>
    </xf>
    <xf numFmtId="0" fontId="8" fillId="0" borderId="1" xfId="0" applyFont="1" applyBorder="1" applyAlignment="1" applyProtection="1">
      <alignment horizontal="left" vertical="center" wrapText="1"/>
      <protection hidden="1"/>
    </xf>
    <xf numFmtId="0" fontId="8" fillId="0" borderId="0" xfId="0" applyFont="1" applyAlignment="1" applyProtection="1">
      <alignment horizontal="center"/>
      <protection hidden="1"/>
    </xf>
    <xf numFmtId="0" fontId="8" fillId="0" borderId="0" xfId="0" applyFont="1" applyAlignment="1" applyProtection="1">
      <alignment vertical="center"/>
      <protection locked="0"/>
    </xf>
    <xf numFmtId="49" fontId="3" fillId="10" borderId="0" xfId="0" applyNumberFormat="1" applyFont="1" applyFill="1" applyAlignment="1" applyProtection="1">
      <alignment horizontal="center" vertical="center"/>
      <protection locked="0"/>
    </xf>
    <xf numFmtId="0" fontId="9" fillId="12" borderId="1" xfId="1" applyFont="1" applyFill="1" applyBorder="1" applyAlignment="1" applyProtection="1">
      <alignment horizontal="left" vertical="center" indent="1"/>
      <protection locked="0" hidden="1"/>
    </xf>
    <xf numFmtId="0" fontId="8" fillId="6" borderId="1" xfId="0" applyFont="1" applyFill="1" applyBorder="1"/>
    <xf numFmtId="0" fontId="8" fillId="8" borderId="7" xfId="0" applyFont="1" applyFill="1" applyBorder="1" applyAlignment="1" applyProtection="1">
      <alignment horizontal="center" vertical="center" wrapText="1"/>
      <protection hidden="1"/>
    </xf>
    <xf numFmtId="166" fontId="10" fillId="0" borderId="0" xfId="0" applyNumberFormat="1" applyFont="1" applyAlignment="1" applyProtection="1">
      <alignment horizontal="center" vertical="center"/>
      <protection hidden="1"/>
    </xf>
    <xf numFmtId="0" fontId="10" fillId="0" borderId="0" xfId="0" applyFont="1" applyAlignment="1" applyProtection="1">
      <alignment horizontal="center" vertical="center"/>
      <protection hidden="1"/>
    </xf>
    <xf numFmtId="22" fontId="14" fillId="0" borderId="0" xfId="0" applyNumberFormat="1" applyFont="1" applyAlignment="1" applyProtection="1">
      <alignment horizontal="center" vertical="center"/>
      <protection hidden="1"/>
    </xf>
    <xf numFmtId="166" fontId="8" fillId="4" borderId="1" xfId="0" applyNumberFormat="1" applyFont="1" applyFill="1" applyBorder="1" applyAlignment="1" applyProtection="1">
      <alignment horizontal="center"/>
      <protection locked="0"/>
    </xf>
    <xf numFmtId="0" fontId="8" fillId="0" borderId="1" xfId="0" applyFont="1" applyBorder="1" applyAlignment="1" applyProtection="1">
      <alignment horizontal="center"/>
      <protection locked="0" hidden="1"/>
    </xf>
    <xf numFmtId="4" fontId="8" fillId="2" borderId="11" xfId="0" applyNumberFormat="1" applyFont="1" applyFill="1" applyBorder="1" applyAlignment="1" applyProtection="1">
      <alignment horizontal="right" vertical="center"/>
      <protection locked="0" hidden="1"/>
    </xf>
    <xf numFmtId="166" fontId="8" fillId="2" borderId="7" xfId="0" applyNumberFormat="1" applyFont="1" applyFill="1" applyBorder="1" applyAlignment="1" applyProtection="1">
      <alignment horizontal="center" vertical="center"/>
      <protection locked="0" hidden="1"/>
    </xf>
    <xf numFmtId="4" fontId="8" fillId="2" borderId="12" xfId="0" applyNumberFormat="1" applyFont="1" applyFill="1" applyBorder="1" applyAlignment="1" applyProtection="1">
      <alignment horizontal="right" vertical="center"/>
      <protection locked="0" hidden="1"/>
    </xf>
    <xf numFmtId="4" fontId="8" fillId="2" borderId="14" xfId="0" applyNumberFormat="1" applyFont="1" applyFill="1" applyBorder="1" applyAlignment="1" applyProtection="1">
      <alignment horizontal="right" vertical="center"/>
      <protection locked="0" hidden="1"/>
    </xf>
    <xf numFmtId="0" fontId="8" fillId="3" borderId="30" xfId="0" applyFont="1" applyFill="1" applyBorder="1" applyAlignment="1" applyProtection="1">
      <alignment vertical="center"/>
      <protection locked="0" hidden="1"/>
    </xf>
    <xf numFmtId="0" fontId="8" fillId="3" borderId="37" xfId="0" applyFont="1" applyFill="1" applyBorder="1" applyAlignment="1" applyProtection="1">
      <alignment vertical="center"/>
      <protection locked="0" hidden="1"/>
    </xf>
    <xf numFmtId="0" fontId="8" fillId="3" borderId="16" xfId="0" applyFont="1" applyFill="1" applyBorder="1" applyAlignment="1" applyProtection="1">
      <alignment vertical="center"/>
      <protection locked="0" hidden="1"/>
    </xf>
    <xf numFmtId="0" fontId="8" fillId="3" borderId="15" xfId="0" applyFont="1" applyFill="1" applyBorder="1" applyAlignment="1" applyProtection="1">
      <alignment vertical="center"/>
      <protection locked="0" hidden="1"/>
    </xf>
    <xf numFmtId="166" fontId="8" fillId="0" borderId="0" xfId="0" applyNumberFormat="1" applyFont="1" applyAlignment="1">
      <alignment vertical="center"/>
    </xf>
    <xf numFmtId="0" fontId="9" fillId="9" borderId="0" xfId="0" applyFont="1" applyFill="1" applyAlignment="1">
      <alignment vertical="center"/>
    </xf>
    <xf numFmtId="0" fontId="24" fillId="0" borderId="0" xfId="0" applyFont="1" applyAlignment="1">
      <alignment horizontal="right" vertical="center"/>
    </xf>
    <xf numFmtId="0" fontId="2" fillId="6" borderId="1" xfId="0" applyFont="1" applyFill="1" applyBorder="1"/>
    <xf numFmtId="49" fontId="2" fillId="0" borderId="0" xfId="0" quotePrefix="1" applyNumberFormat="1" applyFont="1" applyAlignment="1">
      <alignment horizontal="left" vertical="center" wrapText="1"/>
    </xf>
    <xf numFmtId="0" fontId="2" fillId="0" borderId="0" xfId="0" quotePrefix="1" applyFont="1" applyAlignment="1">
      <alignment horizontal="left" vertical="center" wrapText="1"/>
    </xf>
    <xf numFmtId="0" fontId="2" fillId="0" borderId="0" xfId="0" quotePrefix="1" applyFont="1" applyAlignment="1">
      <alignment horizontal="left" vertical="center" wrapText="1" indent="1"/>
    </xf>
    <xf numFmtId="0" fontId="6" fillId="0" borderId="0" xfId="0" quotePrefix="1" applyFont="1" applyAlignment="1">
      <alignment horizontal="left" vertical="center" wrapText="1" indent="1"/>
    </xf>
    <xf numFmtId="0" fontId="6" fillId="0" borderId="0" xfId="0" quotePrefix="1" applyFont="1" applyAlignment="1">
      <alignment horizontal="left" vertical="center" wrapText="1" indent="2"/>
    </xf>
    <xf numFmtId="0" fontId="2" fillId="0" borderId="0" xfId="0" quotePrefix="1" applyFont="1" applyAlignment="1">
      <alignment horizontal="left" vertical="center" wrapText="1" indent="2"/>
    </xf>
    <xf numFmtId="49" fontId="2" fillId="0" borderId="0" xfId="0" applyNumberFormat="1" applyFont="1" applyAlignment="1">
      <alignment horizontal="left" vertical="center" wrapText="1" indent="1"/>
    </xf>
    <xf numFmtId="49" fontId="2" fillId="0" borderId="0" xfId="0" quotePrefix="1" applyNumberFormat="1" applyFont="1" applyAlignment="1">
      <alignment horizontal="left" vertical="center" wrapText="1" indent="1"/>
    </xf>
    <xf numFmtId="0" fontId="9" fillId="0" borderId="0" xfId="1" applyFont="1" applyAlignment="1" applyProtection="1">
      <alignment horizontal="center" vertical="center" wrapText="1"/>
      <protection hidden="1"/>
    </xf>
    <xf numFmtId="167" fontId="9" fillId="14" borderId="1" xfId="1" applyNumberFormat="1" applyFont="1" applyFill="1" applyBorder="1" applyAlignment="1" applyProtection="1">
      <alignment horizontal="center" vertical="center" wrapText="1"/>
      <protection hidden="1"/>
    </xf>
    <xf numFmtId="0" fontId="8" fillId="0" borderId="0" xfId="1" applyFont="1" applyAlignment="1" applyProtection="1">
      <alignment horizontal="left" vertical="top" wrapText="1"/>
      <protection hidden="1"/>
    </xf>
    <xf numFmtId="0" fontId="9" fillId="0" borderId="0" xfId="1" applyFont="1" applyAlignment="1" applyProtection="1">
      <alignment horizontal="left" vertical="center"/>
      <protection hidden="1"/>
    </xf>
    <xf numFmtId="0" fontId="8" fillId="6" borderId="16" xfId="1" applyFont="1" applyFill="1" applyBorder="1" applyAlignment="1" applyProtection="1">
      <alignment horizontal="left" vertical="center" wrapText="1" indent="1"/>
      <protection locked="0" hidden="1"/>
    </xf>
    <xf numFmtId="0" fontId="8" fillId="6" borderId="21" xfId="1" applyFont="1" applyFill="1" applyBorder="1" applyAlignment="1" applyProtection="1">
      <alignment horizontal="left" vertical="center" wrapText="1" indent="1"/>
      <protection locked="0" hidden="1"/>
    </xf>
    <xf numFmtId="0" fontId="8" fillId="6" borderId="17" xfId="1" applyFont="1" applyFill="1" applyBorder="1" applyAlignment="1" applyProtection="1">
      <alignment horizontal="left" vertical="center" wrapText="1" indent="1"/>
      <protection locked="0" hidden="1"/>
    </xf>
    <xf numFmtId="0" fontId="8" fillId="6" borderId="18" xfId="1" applyFont="1" applyFill="1" applyBorder="1" applyAlignment="1" applyProtection="1">
      <alignment horizontal="left" vertical="center" wrapText="1" indent="1"/>
      <protection locked="0" hidden="1"/>
    </xf>
    <xf numFmtId="0" fontId="8" fillId="6" borderId="22" xfId="1" applyFont="1" applyFill="1" applyBorder="1" applyAlignment="1" applyProtection="1">
      <alignment horizontal="left" vertical="center" wrapText="1" indent="1"/>
      <protection locked="0" hidden="1"/>
    </xf>
    <xf numFmtId="0" fontId="8" fillId="6" borderId="19" xfId="1" applyFont="1" applyFill="1" applyBorder="1" applyAlignment="1" applyProtection="1">
      <alignment horizontal="left" vertical="center" wrapText="1" indent="1"/>
      <protection locked="0" hidden="1"/>
    </xf>
    <xf numFmtId="0" fontId="9" fillId="14" borderId="16" xfId="1" applyFont="1" applyFill="1" applyBorder="1" applyAlignment="1" applyProtection="1">
      <alignment horizontal="center" vertical="center" wrapText="1"/>
      <protection hidden="1"/>
    </xf>
    <xf numFmtId="0" fontId="9" fillId="14" borderId="21" xfId="1" applyFont="1" applyFill="1" applyBorder="1" applyAlignment="1" applyProtection="1">
      <alignment horizontal="center" vertical="center" wrapText="1"/>
      <protection hidden="1"/>
    </xf>
    <xf numFmtId="0" fontId="9" fillId="14" borderId="17" xfId="1" applyFont="1" applyFill="1" applyBorder="1" applyAlignment="1" applyProtection="1">
      <alignment horizontal="center" vertical="center" wrapText="1"/>
      <protection hidden="1"/>
    </xf>
    <xf numFmtId="0" fontId="9" fillId="14" borderId="51" xfId="1" applyFont="1" applyFill="1" applyBorder="1" applyAlignment="1" applyProtection="1">
      <alignment horizontal="center" vertical="center" wrapText="1"/>
      <protection hidden="1"/>
    </xf>
    <xf numFmtId="0" fontId="9" fillId="14" borderId="0" xfId="1" applyFont="1" applyFill="1" applyAlignment="1" applyProtection="1">
      <alignment horizontal="center" vertical="center" wrapText="1"/>
      <protection hidden="1"/>
    </xf>
    <xf numFmtId="0" fontId="9" fillId="14" borderId="52" xfId="1" applyFont="1" applyFill="1" applyBorder="1" applyAlignment="1" applyProtection="1">
      <alignment horizontal="center" vertical="center" wrapText="1"/>
      <protection hidden="1"/>
    </xf>
    <xf numFmtId="0" fontId="9" fillId="14" borderId="18" xfId="1" applyFont="1" applyFill="1" applyBorder="1" applyAlignment="1" applyProtection="1">
      <alignment horizontal="center" vertical="center" wrapText="1"/>
      <protection hidden="1"/>
    </xf>
    <xf numFmtId="0" fontId="9" fillId="14" borderId="22" xfId="1" applyFont="1" applyFill="1" applyBorder="1" applyAlignment="1" applyProtection="1">
      <alignment horizontal="center" vertical="center" wrapText="1"/>
      <protection hidden="1"/>
    </xf>
    <xf numFmtId="0" fontId="9" fillId="14" borderId="19" xfId="1" applyFont="1" applyFill="1" applyBorder="1" applyAlignment="1" applyProtection="1">
      <alignment horizontal="center" vertical="center" wrapText="1"/>
      <protection hidden="1"/>
    </xf>
    <xf numFmtId="0" fontId="9" fillId="0" borderId="52" xfId="1" applyFont="1" applyBorder="1" applyAlignment="1" applyProtection="1">
      <alignment horizontal="left" vertical="center"/>
      <protection hidden="1"/>
    </xf>
    <xf numFmtId="0" fontId="9" fillId="14" borderId="1" xfId="1" applyFont="1" applyFill="1" applyBorder="1" applyAlignment="1" applyProtection="1">
      <alignment horizontal="center" vertical="center" wrapText="1"/>
      <protection hidden="1"/>
    </xf>
    <xf numFmtId="0" fontId="14" fillId="0" borderId="0" xfId="0" applyFont="1" applyAlignment="1" applyProtection="1">
      <alignment horizontal="center" vertical="center"/>
      <protection hidden="1"/>
    </xf>
    <xf numFmtId="0" fontId="9" fillId="14" borderId="44" xfId="0" applyFont="1" applyFill="1" applyBorder="1" applyAlignment="1" applyProtection="1">
      <alignment horizontal="center" vertical="center" wrapText="1"/>
      <protection hidden="1"/>
    </xf>
    <xf numFmtId="0" fontId="9" fillId="14" borderId="45" xfId="0" applyFont="1" applyFill="1" applyBorder="1" applyAlignment="1" applyProtection="1">
      <alignment horizontal="center" vertical="center" wrapText="1"/>
      <protection hidden="1"/>
    </xf>
    <xf numFmtId="166" fontId="9" fillId="14" borderId="41" xfId="0" applyNumberFormat="1" applyFont="1" applyFill="1" applyBorder="1" applyAlignment="1" applyProtection="1">
      <alignment horizontal="center" vertical="center"/>
      <protection hidden="1"/>
    </xf>
    <xf numFmtId="166" fontId="9" fillId="14" borderId="43" xfId="0" applyNumberFormat="1" applyFont="1" applyFill="1" applyBorder="1" applyAlignment="1" applyProtection="1">
      <alignment horizontal="center" vertical="center"/>
      <protection hidden="1"/>
    </xf>
    <xf numFmtId="0" fontId="9" fillId="14" borderId="11" xfId="0" applyFont="1" applyFill="1" applyBorder="1" applyAlignment="1" applyProtection="1">
      <alignment horizontal="center" vertical="center" wrapText="1"/>
      <protection hidden="1"/>
    </xf>
    <xf numFmtId="0" fontId="9" fillId="14" borderId="14" xfId="0" applyFont="1" applyFill="1" applyBorder="1" applyAlignment="1" applyProtection="1">
      <alignment horizontal="center" vertical="center" wrapText="1"/>
      <protection hidden="1"/>
    </xf>
    <xf numFmtId="0" fontId="9" fillId="14" borderId="30" xfId="0" applyFont="1" applyFill="1" applyBorder="1" applyAlignment="1" applyProtection="1">
      <alignment horizontal="center" vertical="center" wrapText="1"/>
      <protection hidden="1"/>
    </xf>
    <xf numFmtId="0" fontId="9" fillId="14" borderId="15" xfId="0" applyFont="1" applyFill="1" applyBorder="1" applyAlignment="1" applyProtection="1">
      <alignment horizontal="center" vertical="center" wrapText="1"/>
      <protection hidden="1"/>
    </xf>
    <xf numFmtId="166" fontId="9" fillId="14" borderId="42" xfId="0" applyNumberFormat="1" applyFont="1" applyFill="1" applyBorder="1" applyAlignment="1" applyProtection="1">
      <alignment horizontal="center" vertical="center"/>
      <protection hidden="1"/>
    </xf>
    <xf numFmtId="0" fontId="20" fillId="0" borderId="0" xfId="0" applyFont="1" applyAlignment="1" applyProtection="1">
      <alignment horizontal="left" vertical="center"/>
      <protection hidden="1"/>
    </xf>
    <xf numFmtId="0" fontId="9" fillId="14" borderId="42" xfId="0" applyFont="1" applyFill="1" applyBorder="1" applyAlignment="1" applyProtection="1">
      <alignment horizontal="center" vertical="center"/>
      <protection hidden="1"/>
    </xf>
    <xf numFmtId="0" fontId="9" fillId="14" borderId="41" xfId="0" applyFont="1" applyFill="1" applyBorder="1" applyAlignment="1" applyProtection="1">
      <alignment horizontal="center" vertical="center"/>
      <protection hidden="1"/>
    </xf>
    <xf numFmtId="0" fontId="9" fillId="14" borderId="43" xfId="0" applyFont="1" applyFill="1" applyBorder="1" applyAlignment="1" applyProtection="1">
      <alignment horizontal="center" vertical="center"/>
      <protection hidden="1"/>
    </xf>
    <xf numFmtId="0" fontId="16" fillId="13" borderId="6" xfId="0" applyFont="1" applyFill="1" applyBorder="1" applyAlignment="1" applyProtection="1">
      <alignment horizontal="center" vertical="center" wrapText="1"/>
      <protection hidden="1"/>
    </xf>
    <xf numFmtId="0" fontId="16" fillId="13" borderId="8" xfId="0" applyFont="1" applyFill="1" applyBorder="1" applyAlignment="1" applyProtection="1">
      <alignment horizontal="center" vertical="center" wrapText="1"/>
      <protection hidden="1"/>
    </xf>
    <xf numFmtId="0" fontId="16" fillId="14" borderId="44" xfId="0" applyFont="1" applyFill="1" applyBorder="1" applyAlignment="1" applyProtection="1">
      <alignment horizontal="center" vertical="center"/>
      <protection hidden="1"/>
    </xf>
    <xf numFmtId="0" fontId="16" fillId="14" borderId="45" xfId="0" applyFont="1" applyFill="1" applyBorder="1" applyAlignment="1" applyProtection="1">
      <alignment horizontal="center" vertical="center"/>
      <protection hidden="1"/>
    </xf>
    <xf numFmtId="0" fontId="9" fillId="14" borderId="3" xfId="0" applyFont="1" applyFill="1" applyBorder="1" applyAlignment="1" applyProtection="1">
      <alignment horizontal="center" vertical="center" wrapText="1"/>
      <protection hidden="1"/>
    </xf>
    <xf numFmtId="0" fontId="9" fillId="14" borderId="9" xfId="0" applyFont="1" applyFill="1" applyBorder="1" applyAlignment="1" applyProtection="1">
      <alignment horizontal="center" vertical="center" wrapText="1"/>
      <protection hidden="1"/>
    </xf>
    <xf numFmtId="0" fontId="15" fillId="0" borderId="0" xfId="0" applyFont="1" applyAlignment="1" applyProtection="1">
      <alignment horizontal="center" vertical="center" wrapText="1"/>
      <protection hidden="1"/>
    </xf>
    <xf numFmtId="0" fontId="16" fillId="14" borderId="64" xfId="0" applyFont="1" applyFill="1" applyBorder="1" applyAlignment="1" applyProtection="1">
      <alignment horizontal="center" vertical="center" wrapText="1"/>
      <protection hidden="1"/>
    </xf>
    <xf numFmtId="0" fontId="16" fillId="14" borderId="49" xfId="0" applyFont="1" applyFill="1" applyBorder="1" applyAlignment="1" applyProtection="1">
      <alignment horizontal="center" vertical="center" wrapText="1"/>
      <protection hidden="1"/>
    </xf>
    <xf numFmtId="0" fontId="8" fillId="0" borderId="0" xfId="0" applyFont="1" applyAlignment="1">
      <alignment horizontal="center"/>
    </xf>
    <xf numFmtId="0" fontId="8" fillId="0" borderId="0" xfId="0" applyFont="1" applyAlignment="1">
      <alignment horizontal="left" vertical="center" wrapText="1" indent="1"/>
    </xf>
    <xf numFmtId="0" fontId="14" fillId="0" borderId="0" xfId="0" applyFont="1" applyAlignment="1">
      <alignment horizontal="center" vertical="center"/>
    </xf>
    <xf numFmtId="0" fontId="9" fillId="14" borderId="7" xfId="0" applyFont="1" applyFill="1" applyBorder="1" applyAlignment="1">
      <alignment horizontal="center" vertical="center" wrapText="1"/>
    </xf>
    <xf numFmtId="0" fontId="9" fillId="14" borderId="10" xfId="0" applyFont="1" applyFill="1" applyBorder="1" applyAlignment="1">
      <alignment horizontal="center" vertical="center" wrapText="1"/>
    </xf>
    <xf numFmtId="4" fontId="8" fillId="5" borderId="3" xfId="0" applyNumberFormat="1" applyFont="1" applyFill="1" applyBorder="1" applyAlignment="1" applyProtection="1">
      <alignment horizontal="center" vertical="center"/>
      <protection locked="0"/>
    </xf>
    <xf numFmtId="4" fontId="8" fillId="5" borderId="1" xfId="0" applyNumberFormat="1" applyFont="1" applyFill="1" applyBorder="1" applyAlignment="1" applyProtection="1">
      <alignment horizontal="center" vertical="center"/>
      <protection locked="0"/>
    </xf>
    <xf numFmtId="4" fontId="8" fillId="5" borderId="9" xfId="0" applyNumberFormat="1" applyFont="1" applyFill="1" applyBorder="1" applyAlignment="1" applyProtection="1">
      <alignment horizontal="center" vertical="center"/>
      <protection locked="0"/>
    </xf>
    <xf numFmtId="0" fontId="9" fillId="14" borderId="9" xfId="0" applyFont="1" applyFill="1" applyBorder="1" applyAlignment="1">
      <alignment horizontal="center" vertical="center" wrapText="1"/>
    </xf>
    <xf numFmtId="0" fontId="9" fillId="14" borderId="3" xfId="0" applyFont="1" applyFill="1" applyBorder="1" applyAlignment="1">
      <alignment horizontal="center" vertical="center" wrapText="1"/>
    </xf>
    <xf numFmtId="0" fontId="9" fillId="14" borderId="3" xfId="0" applyFont="1" applyFill="1" applyBorder="1" applyAlignment="1">
      <alignment horizontal="center" vertical="center"/>
    </xf>
    <xf numFmtId="0" fontId="9" fillId="14" borderId="11" xfId="0" applyFont="1" applyFill="1" applyBorder="1" applyAlignment="1">
      <alignment horizontal="center" vertical="center"/>
    </xf>
    <xf numFmtId="0" fontId="9" fillId="14" borderId="12" xfId="0" applyFont="1" applyFill="1" applyBorder="1" applyAlignment="1">
      <alignment horizontal="center" vertical="center"/>
    </xf>
    <xf numFmtId="0" fontId="9" fillId="14" borderId="14" xfId="0" applyFont="1" applyFill="1" applyBorder="1" applyAlignment="1">
      <alignment horizontal="center" vertical="center"/>
    </xf>
    <xf numFmtId="0" fontId="8" fillId="5" borderId="3" xfId="0" applyFont="1" applyFill="1" applyBorder="1" applyAlignment="1" applyProtection="1">
      <alignment horizontal="center" vertical="center"/>
      <protection locked="0"/>
    </xf>
    <xf numFmtId="0" fontId="8" fillId="5" borderId="1" xfId="0" applyFont="1" applyFill="1" applyBorder="1" applyAlignment="1" applyProtection="1">
      <alignment horizontal="center" vertical="center"/>
      <protection locked="0"/>
    </xf>
    <xf numFmtId="0" fontId="8" fillId="5" borderId="9" xfId="0" applyFont="1" applyFill="1" applyBorder="1" applyAlignment="1" applyProtection="1">
      <alignment horizontal="center" vertical="center"/>
      <protection locked="0"/>
    </xf>
    <xf numFmtId="0" fontId="16" fillId="14" borderId="6" xfId="0" applyFont="1" applyFill="1" applyBorder="1" applyAlignment="1">
      <alignment horizontal="center" vertical="center"/>
    </xf>
    <xf numFmtId="0" fontId="16" fillId="14" borderId="8" xfId="0" applyFont="1" applyFill="1" applyBorder="1" applyAlignment="1">
      <alignment horizontal="center" vertical="center"/>
    </xf>
    <xf numFmtId="0" fontId="9" fillId="14" borderId="53" xfId="0" applyFont="1" applyFill="1" applyBorder="1" applyAlignment="1">
      <alignment horizontal="center" vertical="center" wrapText="1"/>
    </xf>
    <xf numFmtId="0" fontId="9" fillId="14" borderId="54" xfId="0" applyFont="1" applyFill="1" applyBorder="1" applyAlignment="1">
      <alignment horizontal="center" vertical="center" wrapText="1"/>
    </xf>
    <xf numFmtId="0" fontId="9" fillId="14" borderId="55" xfId="0" applyFont="1" applyFill="1" applyBorder="1" applyAlignment="1">
      <alignment horizontal="center" vertical="center" wrapText="1"/>
    </xf>
    <xf numFmtId="0" fontId="9" fillId="14" borderId="56" xfId="0" applyFont="1" applyFill="1" applyBorder="1" applyAlignment="1">
      <alignment horizontal="center" vertical="center" wrapText="1"/>
    </xf>
    <xf numFmtId="0" fontId="11" fillId="3" borderId="57" xfId="0" applyFont="1" applyFill="1" applyBorder="1" applyAlignment="1">
      <alignment horizontal="center" vertical="center" wrapText="1"/>
    </xf>
    <xf numFmtId="0" fontId="11" fillId="3" borderId="58" xfId="0" applyFont="1" applyFill="1" applyBorder="1" applyAlignment="1">
      <alignment horizontal="center" vertical="center" wrapText="1"/>
    </xf>
    <xf numFmtId="0" fontId="11" fillId="3" borderId="29" xfId="0" applyFont="1" applyFill="1" applyBorder="1" applyAlignment="1">
      <alignment horizontal="center" vertical="center" wrapText="1"/>
    </xf>
    <xf numFmtId="0" fontId="9" fillId="3" borderId="57" xfId="0" applyFont="1" applyFill="1" applyBorder="1" applyAlignment="1" applyProtection="1">
      <alignment horizontal="center" vertical="center" wrapText="1"/>
      <protection locked="0"/>
    </xf>
    <xf numFmtId="0" fontId="9" fillId="3" borderId="58" xfId="0" applyFont="1" applyFill="1" applyBorder="1" applyAlignment="1" applyProtection="1">
      <alignment horizontal="center" vertical="center" wrapText="1"/>
      <protection locked="0"/>
    </xf>
    <xf numFmtId="0" fontId="9" fillId="3" borderId="29" xfId="0" applyFont="1" applyFill="1" applyBorder="1" applyAlignment="1" applyProtection="1">
      <alignment horizontal="center" vertical="center" wrapText="1"/>
      <protection locked="0"/>
    </xf>
    <xf numFmtId="0" fontId="16" fillId="14" borderId="31" xfId="0" applyFont="1" applyFill="1" applyBorder="1" applyAlignment="1" applyProtection="1">
      <alignment horizontal="center" vertical="center" wrapText="1"/>
      <protection hidden="1"/>
    </xf>
    <xf numFmtId="0" fontId="16" fillId="14" borderId="32" xfId="0" applyFont="1" applyFill="1" applyBorder="1" applyAlignment="1" applyProtection="1">
      <alignment horizontal="center" vertical="center" wrapText="1"/>
      <protection hidden="1"/>
    </xf>
    <xf numFmtId="0" fontId="16" fillId="14" borderId="33" xfId="0" applyFont="1" applyFill="1" applyBorder="1" applyAlignment="1" applyProtection="1">
      <alignment horizontal="center" vertical="center" wrapText="1"/>
      <protection hidden="1"/>
    </xf>
    <xf numFmtId="0" fontId="9" fillId="9" borderId="28" xfId="0" applyFont="1" applyFill="1" applyBorder="1" applyAlignment="1" applyProtection="1">
      <alignment horizontal="center" vertical="center" wrapText="1"/>
      <protection hidden="1"/>
    </xf>
    <xf numFmtId="0" fontId="9" fillId="9" borderId="34" xfId="0" applyFont="1" applyFill="1" applyBorder="1" applyAlignment="1" applyProtection="1">
      <alignment horizontal="center" vertical="center" wrapText="1"/>
      <protection hidden="1"/>
    </xf>
    <xf numFmtId="0" fontId="9" fillId="9" borderId="35" xfId="0" applyFont="1" applyFill="1" applyBorder="1" applyAlignment="1" applyProtection="1">
      <alignment horizontal="center" vertical="center" wrapText="1"/>
      <protection hidden="1"/>
    </xf>
    <xf numFmtId="0" fontId="9" fillId="14" borderId="31" xfId="0" applyFont="1" applyFill="1" applyBorder="1" applyAlignment="1" applyProtection="1">
      <alignment horizontal="center" vertical="center"/>
      <protection hidden="1"/>
    </xf>
    <xf numFmtId="0" fontId="9" fillId="14" borderId="32" xfId="0" applyFont="1" applyFill="1" applyBorder="1" applyAlignment="1" applyProtection="1">
      <alignment horizontal="center" vertical="center"/>
      <protection hidden="1"/>
    </xf>
    <xf numFmtId="0" fontId="9" fillId="14" borderId="40" xfId="0" applyFont="1" applyFill="1" applyBorder="1" applyAlignment="1" applyProtection="1">
      <alignment horizontal="center" vertical="center"/>
      <protection hidden="1"/>
    </xf>
    <xf numFmtId="0" fontId="9" fillId="9" borderId="27" xfId="0" applyFont="1" applyFill="1" applyBorder="1" applyAlignment="1" applyProtection="1">
      <alignment horizontal="center" vertical="center" wrapText="1"/>
      <protection hidden="1"/>
    </xf>
    <xf numFmtId="0" fontId="9" fillId="9" borderId="36" xfId="0" applyFont="1" applyFill="1" applyBorder="1" applyAlignment="1" applyProtection="1">
      <alignment horizontal="center" vertical="center" wrapText="1"/>
      <protection hidden="1"/>
    </xf>
    <xf numFmtId="0" fontId="13" fillId="9" borderId="12" xfId="0" applyFont="1" applyFill="1" applyBorder="1" applyAlignment="1" applyProtection="1">
      <alignment horizontal="center" vertical="center" wrapText="1"/>
      <protection hidden="1"/>
    </xf>
    <xf numFmtId="0" fontId="13" fillId="9" borderId="14" xfId="0" applyFont="1" applyFill="1" applyBorder="1" applyAlignment="1" applyProtection="1">
      <alignment horizontal="center" vertical="center" wrapText="1"/>
      <protection hidden="1"/>
    </xf>
    <xf numFmtId="0" fontId="8" fillId="9" borderId="37" xfId="0" applyFont="1" applyFill="1" applyBorder="1" applyAlignment="1" applyProtection="1">
      <alignment horizontal="center" vertical="center" wrapText="1"/>
      <protection hidden="1"/>
    </xf>
    <xf numFmtId="0" fontId="8" fillId="9" borderId="15" xfId="0" applyFont="1" applyFill="1" applyBorder="1" applyAlignment="1" applyProtection="1">
      <alignment horizontal="center" vertical="center" wrapText="1"/>
      <protection hidden="1"/>
    </xf>
    <xf numFmtId="166" fontId="11" fillId="14" borderId="1" xfId="0" applyNumberFormat="1" applyFont="1" applyFill="1" applyBorder="1" applyAlignment="1" applyProtection="1">
      <alignment horizontal="center" vertical="center" wrapText="1"/>
      <protection hidden="1"/>
    </xf>
    <xf numFmtId="166" fontId="11" fillId="14" borderId="9" xfId="0" applyNumberFormat="1" applyFont="1" applyFill="1" applyBorder="1" applyAlignment="1" applyProtection="1">
      <alignment horizontal="center" vertical="center" wrapText="1"/>
      <protection hidden="1"/>
    </xf>
    <xf numFmtId="166" fontId="8" fillId="9" borderId="1" xfId="0" applyNumberFormat="1" applyFont="1" applyFill="1" applyBorder="1" applyAlignment="1" applyProtection="1">
      <alignment horizontal="center" vertical="center" wrapText="1"/>
      <protection hidden="1"/>
    </xf>
    <xf numFmtId="166" fontId="8" fillId="9" borderId="9" xfId="0" applyNumberFormat="1" applyFont="1" applyFill="1" applyBorder="1" applyAlignment="1" applyProtection="1">
      <alignment horizontal="center" vertical="center" wrapText="1"/>
      <protection hidden="1"/>
    </xf>
    <xf numFmtId="0" fontId="11" fillId="9" borderId="13" xfId="0" applyFont="1" applyFill="1" applyBorder="1" applyAlignment="1" applyProtection="1">
      <alignment horizontal="center" vertical="center" wrapText="1"/>
      <protection hidden="1"/>
    </xf>
    <xf numFmtId="0" fontId="11" fillId="9" borderId="10" xfId="0" applyFont="1" applyFill="1" applyBorder="1" applyAlignment="1" applyProtection="1">
      <alignment horizontal="center" vertical="center" wrapText="1"/>
      <protection hidden="1"/>
    </xf>
    <xf numFmtId="0" fontId="8" fillId="9" borderId="11" xfId="0" applyFont="1" applyFill="1" applyBorder="1" applyAlignment="1" applyProtection="1">
      <alignment horizontal="center" vertical="center" wrapText="1"/>
      <protection hidden="1"/>
    </xf>
    <xf numFmtId="0" fontId="8" fillId="9" borderId="12" xfId="0" applyFont="1" applyFill="1" applyBorder="1" applyAlignment="1" applyProtection="1">
      <alignment horizontal="center" vertical="center" wrapText="1"/>
      <protection hidden="1"/>
    </xf>
    <xf numFmtId="0" fontId="8" fillId="9" borderId="14" xfId="0" applyFont="1" applyFill="1" applyBorder="1" applyAlignment="1" applyProtection="1">
      <alignment horizontal="center" vertical="center"/>
      <protection hidden="1"/>
    </xf>
    <xf numFmtId="0" fontId="8" fillId="9" borderId="7" xfId="0" applyFont="1" applyFill="1" applyBorder="1" applyAlignment="1" applyProtection="1">
      <alignment horizontal="center" vertical="center" wrapText="1"/>
      <protection hidden="1"/>
    </xf>
    <xf numFmtId="0" fontId="8" fillId="9" borderId="13" xfId="0" applyFont="1" applyFill="1" applyBorder="1" applyAlignment="1" applyProtection="1">
      <alignment horizontal="center" vertical="center" wrapText="1"/>
      <protection hidden="1"/>
    </xf>
    <xf numFmtId="0" fontId="8" fillId="9" borderId="10" xfId="0" applyFont="1" applyFill="1" applyBorder="1" applyAlignment="1" applyProtection="1">
      <alignment horizontal="center" vertical="center" wrapText="1"/>
      <protection hidden="1"/>
    </xf>
    <xf numFmtId="166" fontId="13" fillId="14" borderId="1" xfId="0" applyNumberFormat="1" applyFont="1" applyFill="1" applyBorder="1" applyAlignment="1" applyProtection="1">
      <alignment horizontal="center" vertical="center" wrapText="1"/>
      <protection hidden="1"/>
    </xf>
    <xf numFmtId="166" fontId="13" fillId="14" borderId="9" xfId="0" applyNumberFormat="1" applyFont="1" applyFill="1" applyBorder="1" applyAlignment="1" applyProtection="1">
      <alignment horizontal="center" vertical="center" wrapText="1"/>
      <protection hidden="1"/>
    </xf>
    <xf numFmtId="0" fontId="8" fillId="9" borderId="60" xfId="0" applyFont="1" applyFill="1" applyBorder="1" applyAlignment="1" applyProtection="1">
      <alignment horizontal="center" vertical="center" wrapText="1"/>
      <protection hidden="1"/>
    </xf>
    <xf numFmtId="0" fontId="8" fillId="9" borderId="48" xfId="0" applyFont="1" applyFill="1" applyBorder="1" applyAlignment="1" applyProtection="1">
      <alignment horizontal="center" vertical="center" wrapText="1"/>
      <protection hidden="1"/>
    </xf>
    <xf numFmtId="0" fontId="9" fillId="9" borderId="27" xfId="0" applyFont="1" applyFill="1" applyBorder="1" applyAlignment="1" applyProtection="1">
      <alignment horizontal="center" vertical="center"/>
      <protection hidden="1"/>
    </xf>
    <xf numFmtId="0" fontId="9" fillId="9" borderId="36" xfId="0" applyFont="1" applyFill="1" applyBorder="1" applyAlignment="1" applyProtection="1">
      <alignment horizontal="center" vertical="center"/>
      <protection hidden="1"/>
    </xf>
    <xf numFmtId="0" fontId="9" fillId="9" borderId="28" xfId="0" applyFont="1" applyFill="1" applyBorder="1" applyAlignment="1" applyProtection="1">
      <alignment horizontal="center" vertical="center"/>
      <protection hidden="1"/>
    </xf>
    <xf numFmtId="0" fontId="9" fillId="9" borderId="6" xfId="0" applyFont="1" applyFill="1" applyBorder="1" applyAlignment="1" applyProtection="1">
      <alignment horizontal="center" vertical="center"/>
      <protection hidden="1"/>
    </xf>
    <xf numFmtId="0" fontId="9" fillId="9" borderId="23" xfId="0" applyFont="1" applyFill="1" applyBorder="1" applyAlignment="1" applyProtection="1">
      <alignment horizontal="center" vertical="center"/>
      <protection hidden="1"/>
    </xf>
    <xf numFmtId="0" fontId="9" fillId="9" borderId="24" xfId="0" applyFont="1" applyFill="1" applyBorder="1" applyAlignment="1" applyProtection="1">
      <alignment horizontal="center" vertical="center"/>
      <protection hidden="1"/>
    </xf>
    <xf numFmtId="0" fontId="9" fillId="9" borderId="25" xfId="0" applyFont="1" applyFill="1" applyBorder="1" applyAlignment="1" applyProtection="1">
      <alignment horizontal="center" vertical="center"/>
      <protection hidden="1"/>
    </xf>
    <xf numFmtId="0" fontId="9" fillId="9" borderId="22" xfId="0" applyFont="1" applyFill="1" applyBorder="1" applyAlignment="1" applyProtection="1">
      <alignment horizontal="center" vertical="center"/>
      <protection hidden="1"/>
    </xf>
    <xf numFmtId="0" fontId="9" fillId="9" borderId="26" xfId="0" applyFont="1" applyFill="1" applyBorder="1" applyAlignment="1" applyProtection="1">
      <alignment horizontal="center" vertical="center"/>
      <protection hidden="1"/>
    </xf>
    <xf numFmtId="0" fontId="9" fillId="9" borderId="11" xfId="0" applyFont="1" applyFill="1" applyBorder="1" applyAlignment="1" applyProtection="1">
      <alignment horizontal="center" vertical="center"/>
      <protection hidden="1"/>
    </xf>
    <xf numFmtId="0" fontId="9" fillId="9" borderId="3" xfId="0" applyFont="1" applyFill="1" applyBorder="1" applyAlignment="1" applyProtection="1">
      <alignment horizontal="center" vertical="center"/>
      <protection hidden="1"/>
    </xf>
    <xf numFmtId="0" fontId="9" fillId="9" borderId="7" xfId="0" applyFont="1" applyFill="1" applyBorder="1" applyAlignment="1" applyProtection="1">
      <alignment horizontal="center" vertical="center"/>
      <protection hidden="1"/>
    </xf>
    <xf numFmtId="0" fontId="8" fillId="9" borderId="44" xfId="0" applyFont="1" applyFill="1" applyBorder="1" applyAlignment="1" applyProtection="1">
      <alignment horizontal="center" vertical="center" wrapText="1"/>
      <protection hidden="1"/>
    </xf>
    <xf numFmtId="0" fontId="8" fillId="9" borderId="59" xfId="0" applyFont="1" applyFill="1" applyBorder="1" applyAlignment="1" applyProtection="1">
      <alignment horizontal="center" vertical="center" wrapText="1"/>
      <protection hidden="1"/>
    </xf>
    <xf numFmtId="0" fontId="8" fillId="9" borderId="45" xfId="0" applyFont="1" applyFill="1" applyBorder="1" applyAlignment="1" applyProtection="1">
      <alignment horizontal="center" vertical="center"/>
      <protection hidden="1"/>
    </xf>
    <xf numFmtId="0" fontId="9" fillId="14" borderId="4" xfId="0" applyFont="1" applyFill="1" applyBorder="1" applyAlignment="1" applyProtection="1">
      <alignment horizontal="center" vertical="center"/>
      <protection hidden="1"/>
    </xf>
    <xf numFmtId="0" fontId="9" fillId="14" borderId="5" xfId="0" applyFont="1" applyFill="1" applyBorder="1" applyAlignment="1" applyProtection="1">
      <alignment horizontal="center" vertical="center"/>
      <protection hidden="1"/>
    </xf>
    <xf numFmtId="0" fontId="12" fillId="14" borderId="59" xfId="0" applyFont="1" applyFill="1" applyBorder="1" applyAlignment="1">
      <alignment horizontal="center" vertical="center"/>
    </xf>
    <xf numFmtId="0" fontId="12" fillId="14" borderId="45" xfId="0" applyFont="1" applyFill="1" applyBorder="1" applyAlignment="1">
      <alignment horizontal="center" vertical="center"/>
    </xf>
    <xf numFmtId="0" fontId="12" fillId="14" borderId="44" xfId="0" applyFont="1" applyFill="1" applyBorder="1" applyAlignment="1">
      <alignment horizontal="center" vertical="center"/>
    </xf>
    <xf numFmtId="0" fontId="9" fillId="9" borderId="0" xfId="0" applyFont="1" applyFill="1" applyAlignment="1">
      <alignment horizontal="center" vertical="center"/>
    </xf>
    <xf numFmtId="0" fontId="9" fillId="0" borderId="1" xfId="0" applyFont="1" applyBorder="1" applyAlignment="1">
      <alignment horizontal="center" vertical="center" wrapText="1"/>
    </xf>
    <xf numFmtId="0" fontId="9" fillId="0" borderId="1" xfId="0" applyFont="1" applyBorder="1" applyAlignment="1">
      <alignment horizontal="center" vertical="center"/>
    </xf>
    <xf numFmtId="0" fontId="9" fillId="14" borderId="1" xfId="0" applyFont="1" applyFill="1" applyBorder="1" applyAlignment="1">
      <alignment horizontal="center" vertical="center"/>
    </xf>
    <xf numFmtId="0" fontId="8" fillId="0" borderId="1" xfId="0" applyFont="1" applyBorder="1" applyAlignment="1">
      <alignment horizontal="center" vertical="center"/>
    </xf>
  </cellXfs>
  <cellStyles count="2">
    <cellStyle name="Normal" xfId="0" builtinId="0"/>
    <cellStyle name="Normal 2" xfId="1" xr:uid="{00000000-0005-0000-0000-000001000000}"/>
  </cellStyles>
  <dxfs count="87">
    <dxf>
      <font>
        <color theme="0"/>
      </font>
      <fill>
        <patternFill>
          <bgColor theme="0"/>
        </patternFill>
      </fill>
      <border>
        <left/>
        <right/>
        <top/>
        <bottom/>
        <vertical/>
        <horizontal/>
      </border>
    </dxf>
    <dxf>
      <font>
        <color theme="0"/>
      </font>
      <fill>
        <patternFill patternType="solid">
          <bgColor theme="0"/>
        </patternFill>
      </fill>
      <border>
        <left/>
        <right/>
        <top/>
        <bottom/>
        <vertical/>
        <horizontal/>
      </border>
    </dxf>
    <dxf>
      <font>
        <b/>
        <i val="0"/>
        <color rgb="FFFF0000"/>
      </font>
      <fill>
        <patternFill>
          <bgColor rgb="FFCEDC00"/>
        </patternFill>
      </fill>
    </dxf>
    <dxf>
      <font>
        <b/>
        <i val="0"/>
      </font>
      <fill>
        <patternFill>
          <bgColor rgb="FFCEDC00"/>
        </patternFill>
      </fill>
    </dxf>
    <dxf>
      <fill>
        <patternFill>
          <bgColor rgb="FFFFE575"/>
        </patternFill>
      </fill>
    </dxf>
    <dxf>
      <fill>
        <patternFill>
          <bgColor rgb="FFFF6600"/>
        </patternFill>
      </fill>
    </dxf>
    <dxf>
      <font>
        <b/>
        <i val="0"/>
        <color rgb="FFFF3300"/>
      </font>
      <fill>
        <patternFill>
          <bgColor rgb="FFCEDC00"/>
        </patternFill>
      </fill>
    </dxf>
    <dxf>
      <fill>
        <patternFill>
          <bgColor rgb="FFFF6600"/>
        </patternFill>
      </fill>
    </dxf>
    <dxf>
      <font>
        <b/>
        <i val="0"/>
        <color rgb="FFFF0000"/>
      </font>
      <fill>
        <patternFill>
          <bgColor rgb="FFCEDC00"/>
        </patternFill>
      </fill>
    </dxf>
    <dxf>
      <font>
        <b/>
        <i val="0"/>
      </font>
      <fill>
        <patternFill>
          <bgColor rgb="FFCEDC00"/>
        </patternFill>
      </fill>
    </dxf>
    <dxf>
      <fill>
        <patternFill>
          <bgColor rgb="FFFFE575"/>
        </patternFill>
      </fill>
    </dxf>
    <dxf>
      <font>
        <b/>
        <i val="0"/>
        <color rgb="FFFF3300"/>
      </font>
      <fill>
        <patternFill>
          <bgColor rgb="FFCEDC00"/>
        </patternFill>
      </fill>
    </dxf>
    <dxf>
      <fill>
        <patternFill>
          <bgColor rgb="FFFFE575"/>
        </patternFill>
      </fill>
    </dxf>
    <dxf>
      <font>
        <b/>
        <i val="0"/>
      </font>
      <fill>
        <patternFill>
          <bgColor rgb="FFCEDC00"/>
        </patternFill>
      </fill>
    </dxf>
    <dxf>
      <font>
        <b/>
        <i val="0"/>
      </font>
      <fill>
        <patternFill>
          <bgColor rgb="FFCEDC00"/>
        </patternFill>
      </fill>
    </dxf>
    <dxf>
      <font>
        <b/>
        <i val="0"/>
      </font>
      <fill>
        <patternFill>
          <bgColor rgb="FFFF6600"/>
        </patternFill>
      </fill>
    </dxf>
    <dxf>
      <fill>
        <patternFill>
          <bgColor rgb="FFFFE575"/>
        </patternFill>
      </fill>
    </dxf>
    <dxf>
      <font>
        <b/>
        <i val="0"/>
        <color rgb="FFFF3300"/>
      </font>
      <fill>
        <patternFill>
          <bgColor rgb="FFCEDC00"/>
        </patternFill>
      </fill>
    </dxf>
    <dxf>
      <font>
        <b/>
        <i val="0"/>
      </font>
      <fill>
        <patternFill>
          <bgColor rgb="FFCEDC00"/>
        </patternFill>
      </fill>
    </dxf>
    <dxf>
      <font>
        <b/>
        <i val="0"/>
      </font>
      <fill>
        <patternFill>
          <bgColor rgb="FFFF6600"/>
        </patternFill>
      </fill>
    </dxf>
    <dxf>
      <fill>
        <patternFill>
          <bgColor rgb="FFFFE575"/>
        </patternFill>
      </fill>
    </dxf>
    <dxf>
      <fill>
        <patternFill>
          <bgColor rgb="FFFFE575"/>
        </patternFill>
      </fill>
    </dxf>
    <dxf>
      <fill>
        <patternFill>
          <bgColor rgb="FFFF6600"/>
        </patternFill>
      </fill>
    </dxf>
    <dxf>
      <font>
        <b/>
        <i val="0"/>
        <color rgb="FFFF3300"/>
      </font>
      <fill>
        <patternFill>
          <bgColor rgb="FFCEDC00"/>
        </patternFill>
      </fill>
    </dxf>
    <dxf>
      <fill>
        <patternFill>
          <bgColor rgb="FFFFE575"/>
        </patternFill>
      </fill>
    </dxf>
    <dxf>
      <font>
        <b/>
        <i val="0"/>
      </font>
      <fill>
        <patternFill>
          <bgColor rgb="FFCEDC00"/>
        </patternFill>
      </fill>
    </dxf>
    <dxf>
      <fill>
        <patternFill>
          <bgColor rgb="FFFFE575"/>
        </patternFill>
      </fill>
    </dxf>
    <dxf>
      <font>
        <b/>
        <i val="0"/>
      </font>
      <fill>
        <patternFill>
          <bgColor rgb="FFFF6600"/>
        </patternFill>
      </fill>
    </dxf>
    <dxf>
      <font>
        <b/>
        <i val="0"/>
        <color rgb="FFFF3300"/>
      </font>
      <fill>
        <patternFill>
          <bgColor rgb="FFCEDC00"/>
        </patternFill>
      </fill>
    </dxf>
    <dxf>
      <fill>
        <patternFill>
          <bgColor rgb="FFFFE575"/>
        </patternFill>
      </fill>
    </dxf>
    <dxf>
      <font>
        <b/>
        <i val="0"/>
      </font>
      <fill>
        <patternFill>
          <bgColor rgb="FFCEDC00"/>
        </patternFill>
      </fill>
    </dxf>
    <dxf>
      <font>
        <color theme="0"/>
      </font>
      <fill>
        <patternFill patternType="none">
          <bgColor auto="1"/>
        </patternFill>
      </fill>
      <border>
        <left/>
        <right/>
        <top/>
        <bottom/>
        <vertical/>
        <horizontal/>
      </border>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ont>
        <b/>
        <i val="0"/>
      </font>
      <fill>
        <patternFill>
          <bgColor rgb="FFFF7C80"/>
        </patternFill>
      </fill>
    </dxf>
    <dxf>
      <font>
        <b/>
        <i val="0"/>
      </font>
      <fill>
        <patternFill>
          <bgColor rgb="FFFF7C80"/>
        </patternFill>
      </fill>
    </dxf>
    <dxf>
      <font>
        <b/>
        <i val="0"/>
      </font>
      <fill>
        <patternFill>
          <bgColor rgb="FFFF7C80"/>
        </patternFill>
      </fill>
    </dxf>
    <dxf>
      <font>
        <b/>
        <i val="0"/>
      </font>
      <fill>
        <patternFill>
          <bgColor rgb="FFFF7C80"/>
        </patternFill>
      </fill>
    </dxf>
    <dxf>
      <font>
        <b/>
        <i val="0"/>
      </font>
      <fill>
        <patternFill>
          <bgColor rgb="FFFF7C80"/>
        </patternFill>
      </fill>
    </dxf>
    <dxf>
      <font>
        <b/>
        <i val="0"/>
      </font>
      <fill>
        <patternFill>
          <bgColor rgb="FFFF7C80"/>
        </patternFill>
      </fill>
    </dxf>
    <dxf>
      <font>
        <b/>
        <i val="0"/>
      </font>
      <fill>
        <patternFill>
          <bgColor rgb="FFFF7C80"/>
        </patternFill>
      </fill>
    </dxf>
    <dxf>
      <font>
        <b/>
        <i val="0"/>
      </font>
      <fill>
        <patternFill>
          <bgColor rgb="FFFF7C80"/>
        </patternFill>
      </fill>
    </dxf>
    <dxf>
      <font>
        <b/>
        <i val="0"/>
      </font>
      <fill>
        <patternFill>
          <bgColor rgb="FFFF7C80"/>
        </patternFill>
      </fill>
    </dxf>
    <dxf>
      <font>
        <b/>
        <i val="0"/>
      </font>
      <fill>
        <patternFill>
          <bgColor rgb="FFFF7C80"/>
        </patternFill>
      </fill>
    </dxf>
    <dxf>
      <fill>
        <patternFill>
          <bgColor rgb="FFFFE56F"/>
        </patternFill>
      </fill>
    </dxf>
    <dxf>
      <fill>
        <patternFill>
          <bgColor rgb="FFFFE56F"/>
        </patternFill>
      </fill>
    </dxf>
    <dxf>
      <fill>
        <patternFill>
          <bgColor rgb="FFFFE56F"/>
        </patternFill>
      </fill>
    </dxf>
    <dxf>
      <fill>
        <patternFill>
          <bgColor rgb="FFFFE56F"/>
        </patternFill>
      </fill>
    </dxf>
    <dxf>
      <fill>
        <patternFill>
          <bgColor rgb="FFFFE56F"/>
        </patternFill>
      </fill>
    </dxf>
    <dxf>
      <fill>
        <patternFill>
          <bgColor rgb="FFFFE56F"/>
        </patternFill>
      </fill>
    </dxf>
    <dxf>
      <fill>
        <patternFill>
          <bgColor rgb="FFFFE56F"/>
        </patternFill>
      </fill>
    </dxf>
    <dxf>
      <fill>
        <patternFill>
          <bgColor rgb="FFFFE56F"/>
        </patternFill>
      </fill>
    </dxf>
    <dxf>
      <fill>
        <patternFill>
          <bgColor rgb="FFFFE56F"/>
        </patternFill>
      </fill>
    </dxf>
    <dxf>
      <fill>
        <patternFill>
          <bgColor rgb="FFFFE56F"/>
        </patternFill>
      </fill>
    </dxf>
    <dxf>
      <border>
        <left style="thin">
          <color auto="1"/>
        </left>
        <right style="thin">
          <color auto="1"/>
        </right>
        <top style="thin">
          <color auto="1"/>
        </top>
        <bottom style="thin">
          <color auto="1"/>
        </bottom>
        <vertical/>
        <horizontal/>
      </border>
    </dxf>
    <dxf>
      <fill>
        <patternFill>
          <bgColor rgb="FFFF6600"/>
        </patternFill>
      </fill>
    </dxf>
    <dxf>
      <fill>
        <patternFill>
          <bgColor rgb="FFFFE575"/>
        </patternFill>
      </fill>
    </dxf>
    <dxf>
      <fill>
        <patternFill>
          <bgColor rgb="FFFFE575"/>
        </patternFill>
      </fill>
    </dxf>
    <dxf>
      <fill>
        <patternFill>
          <bgColor rgb="FFFFE575"/>
        </patternFill>
      </fill>
    </dxf>
    <dxf>
      <fill>
        <patternFill>
          <bgColor rgb="FFFFE575"/>
        </patternFill>
      </fill>
    </dxf>
    <dxf>
      <fill>
        <patternFill>
          <bgColor rgb="FFFF6600"/>
        </patternFill>
      </fill>
    </dxf>
    <dxf>
      <fill>
        <patternFill>
          <bgColor rgb="FFFFE575"/>
        </patternFill>
      </fill>
    </dxf>
    <dxf>
      <fill>
        <patternFill>
          <bgColor rgb="FFFFE575"/>
        </patternFill>
      </fill>
    </dxf>
    <dxf>
      <fill>
        <patternFill>
          <bgColor rgb="FFFFE575"/>
        </patternFill>
      </fill>
    </dxf>
    <dxf>
      <font>
        <color rgb="FFFF6600"/>
      </font>
    </dxf>
    <dxf>
      <fill>
        <patternFill>
          <bgColor rgb="FFFFE575"/>
        </patternFill>
      </fill>
    </dxf>
    <dxf>
      <fill>
        <patternFill>
          <bgColor rgb="FFFFE575"/>
        </patternFill>
      </fill>
    </dxf>
    <dxf>
      <fill>
        <patternFill>
          <bgColor rgb="FFFFE575"/>
        </patternFill>
      </fill>
    </dxf>
    <dxf>
      <fill>
        <patternFill>
          <bgColor rgb="FFFFE575"/>
        </patternFill>
      </fill>
    </dxf>
    <dxf>
      <fill>
        <patternFill>
          <bgColor rgb="FFFF6600"/>
        </patternFill>
      </fill>
    </dxf>
    <dxf>
      <fill>
        <patternFill>
          <bgColor rgb="FFFFE575"/>
        </patternFill>
      </fill>
    </dxf>
    <dxf>
      <font>
        <color theme="0"/>
      </font>
      <fill>
        <patternFill>
          <bgColor theme="0"/>
        </patternFill>
      </fill>
      <border>
        <left/>
        <right/>
        <top/>
        <bottom/>
        <vertical/>
        <horizontal/>
      </border>
    </dxf>
    <dxf>
      <font>
        <color theme="9" tint="0.59996337778862885"/>
      </font>
      <fill>
        <patternFill>
          <bgColor rgb="FFC6E0B4"/>
        </patternFill>
      </fill>
    </dxf>
    <dxf>
      <fill>
        <patternFill>
          <bgColor rgb="FFFFE575"/>
        </patternFill>
      </fill>
    </dxf>
    <dxf>
      <font>
        <b/>
        <i val="0"/>
        <color auto="1"/>
      </font>
      <fill>
        <patternFill patternType="solid">
          <bgColor rgb="FFFF6600"/>
        </patternFill>
      </fill>
    </dxf>
    <dxf>
      <font>
        <b/>
        <i val="0"/>
        <color rgb="FFFF0000"/>
      </font>
      <fill>
        <patternFill>
          <bgColor rgb="FFC1D400"/>
        </patternFill>
      </fill>
    </dxf>
    <dxf>
      <font>
        <color theme="0"/>
      </font>
      <fill>
        <patternFill patternType="none">
          <bgColor auto="1"/>
        </patternFill>
      </fill>
      <border>
        <left/>
        <right/>
        <top/>
        <bottom/>
        <vertical/>
        <horizontal/>
      </border>
    </dxf>
    <dxf>
      <fill>
        <patternFill>
          <bgColor rgb="FFDDEE00"/>
        </patternFill>
      </fill>
    </dxf>
    <dxf>
      <fill>
        <patternFill>
          <bgColor rgb="FFDDEE00"/>
        </patternFill>
      </fill>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DBEEF4"/>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mruColors>
      <color rgb="FFFF6600"/>
      <color rgb="FFFFFFFF"/>
      <color rgb="FFDDEE00"/>
      <color rgb="FF97999B"/>
      <color rgb="FFCEDC00"/>
      <color rgb="FFFF7C80"/>
      <color rgb="FFFFE56F"/>
      <color rgb="FFFBFFCD"/>
      <color rgb="FFB8D637"/>
      <color rgb="FFC6E0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1</xdr:col>
      <xdr:colOff>19050</xdr:colOff>
      <xdr:row>1</xdr:row>
      <xdr:rowOff>19050</xdr:rowOff>
    </xdr:from>
    <xdr:to>
      <xdr:col>2</xdr:col>
      <xdr:colOff>505575</xdr:colOff>
      <xdr:row>6</xdr:row>
      <xdr:rowOff>80677</xdr:rowOff>
    </xdr:to>
    <xdr:pic>
      <xdr:nvPicPr>
        <xdr:cNvPr id="4" name="Imagen 3">
          <a:extLst>
            <a:ext uri="{FF2B5EF4-FFF2-40B4-BE49-F238E27FC236}">
              <a16:creationId xmlns:a16="http://schemas.microsoft.com/office/drawing/2014/main" id="{776E5AF3-D898-26E5-3ACC-074723DFB19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3875" y="209550"/>
          <a:ext cx="1620000" cy="101412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12</xdr:col>
      <xdr:colOff>0</xdr:colOff>
      <xdr:row>1</xdr:row>
      <xdr:rowOff>0</xdr:rowOff>
    </xdr:from>
    <xdr:to>
      <xdr:col>20</xdr:col>
      <xdr:colOff>432549</xdr:colOff>
      <xdr:row>27</xdr:row>
      <xdr:rowOff>161100</xdr:rowOff>
    </xdr:to>
    <xdr:sp macro="" textlink="">
      <xdr:nvSpPr>
        <xdr:cNvPr id="2" name="CustomShape 1" hidden="1">
          <a:extLst>
            <a:ext uri="{FF2B5EF4-FFF2-40B4-BE49-F238E27FC236}">
              <a16:creationId xmlns:a16="http://schemas.microsoft.com/office/drawing/2014/main" id="{00000000-0008-0000-0200-000002000000}"/>
            </a:ext>
          </a:extLst>
        </xdr:cNvPr>
        <xdr:cNvSpPr/>
      </xdr:nvSpPr>
      <xdr:spPr>
        <a:xfrm>
          <a:off x="0" y="0"/>
          <a:ext cx="9979920" cy="9559440"/>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sp>
    <xdr:clientData/>
  </xdr:twoCellAnchor>
  <xdr:twoCellAnchor editAs="oneCell">
    <xdr:from>
      <xdr:col>11</xdr:col>
      <xdr:colOff>142875</xdr:colOff>
      <xdr:row>0</xdr:row>
      <xdr:rowOff>123825</xdr:rowOff>
    </xdr:from>
    <xdr:to>
      <xdr:col>11</xdr:col>
      <xdr:colOff>1409700</xdr:colOff>
      <xdr:row>3</xdr:row>
      <xdr:rowOff>231064</xdr:rowOff>
    </xdr:to>
    <xdr:pic>
      <xdr:nvPicPr>
        <xdr:cNvPr id="3" name="Imagen 2">
          <a:extLst>
            <a:ext uri="{FF2B5EF4-FFF2-40B4-BE49-F238E27FC236}">
              <a16:creationId xmlns:a16="http://schemas.microsoft.com/office/drawing/2014/main" id="{F35B151B-CE23-4F56-8827-9F6AC1896F6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23850" y="123825"/>
          <a:ext cx="1266825" cy="79303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19050</xdr:colOff>
      <xdr:row>79</xdr:row>
      <xdr:rowOff>19050</xdr:rowOff>
    </xdr:from>
    <xdr:to>
      <xdr:col>2</xdr:col>
      <xdr:colOff>1124700</xdr:colOff>
      <xdr:row>83</xdr:row>
      <xdr:rowOff>24993</xdr:rowOff>
    </xdr:to>
    <xdr:pic>
      <xdr:nvPicPr>
        <xdr:cNvPr id="3" name="Imagen 2">
          <a:extLst>
            <a:ext uri="{FF2B5EF4-FFF2-40B4-BE49-F238E27FC236}">
              <a16:creationId xmlns:a16="http://schemas.microsoft.com/office/drawing/2014/main" id="{7933D6AA-DB00-4BCA-BBE6-8258F32F268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00050" y="457200"/>
          <a:ext cx="1620000" cy="99654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163</xdr:row>
      <xdr:rowOff>87924</xdr:rowOff>
    </xdr:from>
    <xdr:to>
      <xdr:col>6</xdr:col>
      <xdr:colOff>0</xdr:colOff>
      <xdr:row>163</xdr:row>
      <xdr:rowOff>102577</xdr:rowOff>
    </xdr:to>
    <xdr:cxnSp macro="">
      <xdr:nvCxnSpPr>
        <xdr:cNvPr id="5" name="Conector recto 4">
          <a:extLst>
            <a:ext uri="{FF2B5EF4-FFF2-40B4-BE49-F238E27FC236}">
              <a16:creationId xmlns:a16="http://schemas.microsoft.com/office/drawing/2014/main" id="{84ABAD36-52B8-8BF7-131F-0F663296A95A}"/>
            </a:ext>
          </a:extLst>
        </xdr:cNvPr>
        <xdr:cNvCxnSpPr/>
      </xdr:nvCxnSpPr>
      <xdr:spPr>
        <a:xfrm flipV="1">
          <a:off x="381000" y="20617962"/>
          <a:ext cx="5627077" cy="14653"/>
        </a:xfrm>
        <a:prstGeom prst="line">
          <a:avLst/>
        </a:prstGeom>
        <a:ln w="12700">
          <a:solidFill>
            <a:srgbClr val="CEDC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19050</xdr:colOff>
      <xdr:row>1</xdr:row>
      <xdr:rowOff>19050</xdr:rowOff>
    </xdr:from>
    <xdr:to>
      <xdr:col>4</xdr:col>
      <xdr:colOff>143625</xdr:colOff>
      <xdr:row>5</xdr:row>
      <xdr:rowOff>24993</xdr:rowOff>
    </xdr:to>
    <xdr:pic>
      <xdr:nvPicPr>
        <xdr:cNvPr id="2" name="Imagen 1">
          <a:extLst>
            <a:ext uri="{FF2B5EF4-FFF2-40B4-BE49-F238E27FC236}">
              <a16:creationId xmlns:a16="http://schemas.microsoft.com/office/drawing/2014/main" id="{6CDFFB16-EEA5-4E81-AEF0-DDB38C342C8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00050" y="209550"/>
          <a:ext cx="1620000" cy="99654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B129"/>
  <sheetViews>
    <sheetView showGridLines="0" topLeftCell="A29" workbookViewId="0">
      <selection activeCell="B10" sqref="B10"/>
    </sheetView>
  </sheetViews>
  <sheetFormatPr baseColWidth="10" defaultColWidth="9.140625" defaultRowHeight="15" customHeight="1" x14ac:dyDescent="0.2"/>
  <cols>
    <col min="1" max="1" width="5.7109375" style="84" customWidth="1"/>
    <col min="2" max="2" width="85.7109375" style="84" customWidth="1"/>
    <col min="3" max="1001" width="10.7109375" style="84" customWidth="1"/>
    <col min="1002" max="16384" width="9.140625" style="84"/>
  </cols>
  <sheetData>
    <row r="2" spans="2:2" ht="39.950000000000003" customHeight="1" x14ac:dyDescent="0.2">
      <c r="B2" s="83" t="s">
        <v>144</v>
      </c>
    </row>
    <row r="4" spans="2:2" ht="27" x14ac:dyDescent="0.2">
      <c r="B4" s="85" t="s">
        <v>153</v>
      </c>
    </row>
    <row r="5" spans="2:2" ht="15" customHeight="1" x14ac:dyDescent="0.2">
      <c r="B5" s="317" t="s">
        <v>226</v>
      </c>
    </row>
    <row r="6" spans="2:2" ht="15" customHeight="1" x14ac:dyDescent="0.2">
      <c r="B6" s="317"/>
    </row>
    <row r="7" spans="2:2" ht="15" customHeight="1" x14ac:dyDescent="0.2">
      <c r="B7" s="317"/>
    </row>
    <row r="8" spans="2:2" ht="15" customHeight="1" x14ac:dyDescent="0.2">
      <c r="B8" s="317"/>
    </row>
    <row r="9" spans="2:2" ht="15" customHeight="1" x14ac:dyDescent="0.2">
      <c r="B9" s="86"/>
    </row>
    <row r="10" spans="2:2" ht="15" customHeight="1" x14ac:dyDescent="0.2">
      <c r="B10" s="296" t="s">
        <v>102</v>
      </c>
    </row>
    <row r="11" spans="2:2" ht="9.9499999999999993" customHeight="1" x14ac:dyDescent="0.2"/>
    <row r="12" spans="2:2" ht="15" customHeight="1" x14ac:dyDescent="0.2">
      <c r="B12" s="87" t="s">
        <v>109</v>
      </c>
    </row>
    <row r="13" spans="2:2" ht="15" customHeight="1" x14ac:dyDescent="0.2">
      <c r="B13" s="88" t="s">
        <v>203</v>
      </c>
    </row>
    <row r="14" spans="2:2" ht="15" customHeight="1" x14ac:dyDescent="0.2">
      <c r="B14" s="88" t="s">
        <v>204</v>
      </c>
    </row>
    <row r="15" spans="2:2" ht="15" customHeight="1" x14ac:dyDescent="0.2">
      <c r="B15" s="88" t="s">
        <v>205</v>
      </c>
    </row>
    <row r="16" spans="2:2" ht="15" customHeight="1" x14ac:dyDescent="0.2">
      <c r="B16" s="323" t="s">
        <v>206</v>
      </c>
    </row>
    <row r="17" spans="2:2" ht="15" customHeight="1" x14ac:dyDescent="0.2">
      <c r="B17" s="323"/>
    </row>
    <row r="18" spans="2:2" ht="9.9499999999999993" customHeight="1" x14ac:dyDescent="0.2">
      <c r="B18" s="323"/>
    </row>
    <row r="19" spans="2:2" ht="15" customHeight="1" x14ac:dyDescent="0.2">
      <c r="B19" s="85"/>
    </row>
    <row r="20" spans="2:2" ht="15" customHeight="1" x14ac:dyDescent="0.2">
      <c r="B20" s="296" t="s">
        <v>124</v>
      </c>
    </row>
    <row r="21" spans="2:2" ht="9.9499999999999993" customHeight="1" x14ac:dyDescent="0.2"/>
    <row r="22" spans="2:2" ht="15" customHeight="1" x14ac:dyDescent="0.2">
      <c r="B22" s="90" t="s">
        <v>111</v>
      </c>
    </row>
    <row r="23" spans="2:2" ht="15" customHeight="1" x14ac:dyDescent="0.2">
      <c r="B23" s="319" t="s">
        <v>112</v>
      </c>
    </row>
    <row r="24" spans="2:2" ht="15" customHeight="1" x14ac:dyDescent="0.2">
      <c r="B24" s="319"/>
    </row>
    <row r="25" spans="2:2" ht="15" customHeight="1" x14ac:dyDescent="0.2">
      <c r="B25" s="319" t="s">
        <v>113</v>
      </c>
    </row>
    <row r="26" spans="2:2" ht="15" customHeight="1" x14ac:dyDescent="0.2">
      <c r="B26" s="319"/>
    </row>
    <row r="27" spans="2:2" ht="15" customHeight="1" x14ac:dyDescent="0.2">
      <c r="B27" s="319" t="s">
        <v>114</v>
      </c>
    </row>
    <row r="28" spans="2:2" ht="15" customHeight="1" x14ac:dyDescent="0.2">
      <c r="B28" s="319"/>
    </row>
    <row r="29" spans="2:2" ht="15" customHeight="1" x14ac:dyDescent="0.2">
      <c r="B29" s="319" t="s">
        <v>115</v>
      </c>
    </row>
    <row r="30" spans="2:2" ht="15" customHeight="1" x14ac:dyDescent="0.2">
      <c r="B30" s="319"/>
    </row>
    <row r="31" spans="2:2" ht="15" customHeight="1" x14ac:dyDescent="0.2">
      <c r="B31" s="319" t="s">
        <v>116</v>
      </c>
    </row>
    <row r="32" spans="2:2" ht="15" customHeight="1" x14ac:dyDescent="0.2">
      <c r="B32" s="319"/>
    </row>
    <row r="33" spans="2:2" ht="15" customHeight="1" x14ac:dyDescent="0.2">
      <c r="B33" s="319"/>
    </row>
    <row r="34" spans="2:2" ht="15" customHeight="1" x14ac:dyDescent="0.2">
      <c r="B34" s="319" t="s">
        <v>117</v>
      </c>
    </row>
    <row r="35" spans="2:2" ht="15" customHeight="1" x14ac:dyDescent="0.2">
      <c r="B35" s="319"/>
    </row>
    <row r="36" spans="2:2" ht="15" customHeight="1" x14ac:dyDescent="0.2">
      <c r="B36" s="319"/>
    </row>
    <row r="37" spans="2:2" ht="9.9499999999999993" customHeight="1" x14ac:dyDescent="0.2"/>
    <row r="38" spans="2:2" ht="15" customHeight="1" x14ac:dyDescent="0.2">
      <c r="B38" s="92" t="s">
        <v>118</v>
      </c>
    </row>
    <row r="39" spans="2:2" ht="15" customHeight="1" x14ac:dyDescent="0.2">
      <c r="B39" s="319" t="s">
        <v>119</v>
      </c>
    </row>
    <row r="40" spans="2:2" ht="15" customHeight="1" x14ac:dyDescent="0.2">
      <c r="B40" s="319"/>
    </row>
    <row r="41" spans="2:2" ht="15" customHeight="1" x14ac:dyDescent="0.2">
      <c r="B41" s="319"/>
    </row>
    <row r="42" spans="2:2" ht="15" customHeight="1" x14ac:dyDescent="0.2">
      <c r="B42" s="319"/>
    </row>
    <row r="43" spans="2:2" ht="15" customHeight="1" x14ac:dyDescent="0.2">
      <c r="B43" s="319" t="s">
        <v>120</v>
      </c>
    </row>
    <row r="44" spans="2:2" ht="15" customHeight="1" x14ac:dyDescent="0.2">
      <c r="B44" s="319"/>
    </row>
    <row r="45" spans="2:2" ht="15" customHeight="1" x14ac:dyDescent="0.2">
      <c r="B45" s="319"/>
    </row>
    <row r="46" spans="2:2" ht="15" customHeight="1" x14ac:dyDescent="0.2">
      <c r="B46" s="319"/>
    </row>
    <row r="47" spans="2:2" ht="9.9499999999999993" customHeight="1" x14ac:dyDescent="0.2">
      <c r="B47" s="93"/>
    </row>
    <row r="48" spans="2:2" ht="15" customHeight="1" x14ac:dyDescent="0.2">
      <c r="B48" s="94" t="s">
        <v>125</v>
      </c>
    </row>
    <row r="49" spans="2:2" ht="15" customHeight="1" x14ac:dyDescent="0.2">
      <c r="B49" s="320" t="s">
        <v>121</v>
      </c>
    </row>
    <row r="50" spans="2:2" ht="15" customHeight="1" x14ac:dyDescent="0.2">
      <c r="B50" s="320"/>
    </row>
    <row r="51" spans="2:2" ht="9.9499999999999993" customHeight="1" x14ac:dyDescent="0.2">
      <c r="B51" s="321" t="s">
        <v>122</v>
      </c>
    </row>
    <row r="52" spans="2:2" ht="15" customHeight="1" x14ac:dyDescent="0.2">
      <c r="B52" s="321"/>
    </row>
    <row r="53" spans="2:2" ht="15" customHeight="1" x14ac:dyDescent="0.2">
      <c r="B53" s="321"/>
    </row>
    <row r="54" spans="2:2" ht="15" customHeight="1" x14ac:dyDescent="0.2">
      <c r="B54" s="321" t="s">
        <v>123</v>
      </c>
    </row>
    <row r="55" spans="2:2" ht="15" customHeight="1" x14ac:dyDescent="0.2">
      <c r="B55" s="321"/>
    </row>
    <row r="56" spans="2:2" ht="15" customHeight="1" x14ac:dyDescent="0.2">
      <c r="B56" s="91" t="s">
        <v>126</v>
      </c>
    </row>
    <row r="57" spans="2:2" ht="15" customHeight="1" x14ac:dyDescent="0.2">
      <c r="B57" s="91" t="s">
        <v>127</v>
      </c>
    </row>
    <row r="58" spans="2:2" ht="15" customHeight="1" x14ac:dyDescent="0.2">
      <c r="B58" s="319" t="s">
        <v>128</v>
      </c>
    </row>
    <row r="59" spans="2:2" ht="15" customHeight="1" x14ac:dyDescent="0.2">
      <c r="B59" s="319"/>
    </row>
    <row r="60" spans="2:2" ht="15" customHeight="1" x14ac:dyDescent="0.2">
      <c r="B60" s="319"/>
    </row>
    <row r="61" spans="2:2" ht="9.9499999999999993" customHeight="1" x14ac:dyDescent="0.2"/>
    <row r="62" spans="2:2" ht="15" customHeight="1" x14ac:dyDescent="0.2">
      <c r="B62" s="92" t="s">
        <v>129</v>
      </c>
    </row>
    <row r="63" spans="2:2" ht="15" customHeight="1" x14ac:dyDescent="0.2">
      <c r="B63" s="91" t="s">
        <v>130</v>
      </c>
    </row>
    <row r="64" spans="2:2" ht="15" customHeight="1" x14ac:dyDescent="0.2">
      <c r="B64" s="319" t="s">
        <v>131</v>
      </c>
    </row>
    <row r="65" spans="2:2" ht="15" customHeight="1" x14ac:dyDescent="0.2">
      <c r="B65" s="319"/>
    </row>
    <row r="66" spans="2:2" ht="15" customHeight="1" x14ac:dyDescent="0.2">
      <c r="B66" s="319"/>
    </row>
    <row r="67" spans="2:2" ht="15" customHeight="1" x14ac:dyDescent="0.2">
      <c r="B67" s="319"/>
    </row>
    <row r="68" spans="2:2" ht="15" customHeight="1" x14ac:dyDescent="0.2">
      <c r="B68" s="319" t="s">
        <v>132</v>
      </c>
    </row>
    <row r="69" spans="2:2" ht="15" customHeight="1" x14ac:dyDescent="0.2">
      <c r="B69" s="319"/>
    </row>
    <row r="70" spans="2:2" ht="15" customHeight="1" x14ac:dyDescent="0.2">
      <c r="B70" s="322" t="s">
        <v>133</v>
      </c>
    </row>
    <row r="71" spans="2:2" ht="15" customHeight="1" x14ac:dyDescent="0.2">
      <c r="B71" s="322"/>
    </row>
    <row r="72" spans="2:2" ht="15" customHeight="1" x14ac:dyDescent="0.2">
      <c r="B72" s="319" t="s">
        <v>134</v>
      </c>
    </row>
    <row r="73" spans="2:2" ht="15" customHeight="1" x14ac:dyDescent="0.2">
      <c r="B73" s="319"/>
    </row>
    <row r="74" spans="2:2" ht="9.9499999999999993" customHeight="1" x14ac:dyDescent="0.2"/>
    <row r="75" spans="2:2" ht="15" customHeight="1" x14ac:dyDescent="0.2">
      <c r="B75" s="92" t="s">
        <v>135</v>
      </c>
    </row>
    <row r="76" spans="2:2" ht="15" customHeight="1" x14ac:dyDescent="0.2">
      <c r="B76" s="319" t="s">
        <v>136</v>
      </c>
    </row>
    <row r="77" spans="2:2" ht="15" customHeight="1" x14ac:dyDescent="0.2">
      <c r="B77" s="319"/>
    </row>
    <row r="78" spans="2:2" ht="15" customHeight="1" x14ac:dyDescent="0.2">
      <c r="B78" s="319"/>
    </row>
    <row r="79" spans="2:2" ht="15" customHeight="1" x14ac:dyDescent="0.2">
      <c r="B79" s="319"/>
    </row>
    <row r="80" spans="2:2" ht="15" customHeight="1" x14ac:dyDescent="0.2">
      <c r="B80" s="319"/>
    </row>
    <row r="81" spans="2:2" ht="15" customHeight="1" x14ac:dyDescent="0.2">
      <c r="B81" s="319" t="s">
        <v>137</v>
      </c>
    </row>
    <row r="82" spans="2:2" ht="15" customHeight="1" x14ac:dyDescent="0.2">
      <c r="B82" s="319"/>
    </row>
    <row r="83" spans="2:2" ht="9.9499999999999993" customHeight="1" x14ac:dyDescent="0.2"/>
    <row r="84" spans="2:2" ht="15" customHeight="1" x14ac:dyDescent="0.2">
      <c r="B84" s="92" t="s">
        <v>138</v>
      </c>
    </row>
    <row r="85" spans="2:2" ht="15" customHeight="1" x14ac:dyDescent="0.2">
      <c r="B85" s="319" t="s">
        <v>139</v>
      </c>
    </row>
    <row r="86" spans="2:2" ht="15" customHeight="1" x14ac:dyDescent="0.2">
      <c r="B86" s="319"/>
    </row>
    <row r="87" spans="2:2" ht="15" customHeight="1" x14ac:dyDescent="0.2">
      <c r="B87" s="89" t="s">
        <v>103</v>
      </c>
    </row>
    <row r="88" spans="2:2" ht="15" customHeight="1" x14ac:dyDescent="0.2">
      <c r="B88" s="89" t="s">
        <v>104</v>
      </c>
    </row>
    <row r="89" spans="2:2" ht="15" customHeight="1" x14ac:dyDescent="0.2">
      <c r="B89" s="323" t="s">
        <v>105</v>
      </c>
    </row>
    <row r="90" spans="2:2" ht="15" customHeight="1" x14ac:dyDescent="0.2">
      <c r="B90" s="323"/>
    </row>
    <row r="91" spans="2:2" ht="15" customHeight="1" x14ac:dyDescent="0.2">
      <c r="B91" s="323" t="s">
        <v>106</v>
      </c>
    </row>
    <row r="92" spans="2:2" ht="15" customHeight="1" x14ac:dyDescent="0.2">
      <c r="B92" s="323"/>
    </row>
    <row r="93" spans="2:2" ht="15" customHeight="1" x14ac:dyDescent="0.2">
      <c r="B93" s="323" t="s">
        <v>237</v>
      </c>
    </row>
    <row r="94" spans="2:2" ht="15" customHeight="1" x14ac:dyDescent="0.2">
      <c r="B94" s="323"/>
    </row>
    <row r="95" spans="2:2" ht="15" customHeight="1" x14ac:dyDescent="0.2">
      <c r="B95" s="323"/>
    </row>
    <row r="96" spans="2:2" ht="15" customHeight="1" x14ac:dyDescent="0.2">
      <c r="B96" s="323" t="s">
        <v>107</v>
      </c>
    </row>
    <row r="97" spans="2:2" ht="15" customHeight="1" x14ac:dyDescent="0.2">
      <c r="B97" s="323"/>
    </row>
    <row r="98" spans="2:2" ht="15" customHeight="1" x14ac:dyDescent="0.2">
      <c r="B98" s="323"/>
    </row>
    <row r="99" spans="2:2" ht="15" customHeight="1" x14ac:dyDescent="0.2">
      <c r="B99" s="323" t="s">
        <v>108</v>
      </c>
    </row>
    <row r="100" spans="2:2" ht="15" customHeight="1" x14ac:dyDescent="0.2">
      <c r="B100" s="323"/>
    </row>
    <row r="101" spans="2:2" ht="9.9499999999999993" customHeight="1" x14ac:dyDescent="0.2"/>
    <row r="102" spans="2:2" ht="15" customHeight="1" x14ac:dyDescent="0.2">
      <c r="B102" s="92" t="s">
        <v>140</v>
      </c>
    </row>
    <row r="103" spans="2:2" ht="15" customHeight="1" x14ac:dyDescent="0.2">
      <c r="B103" s="324" t="s">
        <v>141</v>
      </c>
    </row>
    <row r="104" spans="2:2" ht="15" customHeight="1" x14ac:dyDescent="0.2">
      <c r="B104" s="323"/>
    </row>
    <row r="105" spans="2:2" ht="15" customHeight="1" x14ac:dyDescent="0.2">
      <c r="B105" s="85"/>
    </row>
    <row r="106" spans="2:2" ht="15" customHeight="1" x14ac:dyDescent="0.2">
      <c r="B106" s="296" t="s">
        <v>142</v>
      </c>
    </row>
    <row r="107" spans="2:2" ht="9.9499999999999993" customHeight="1" x14ac:dyDescent="0.2"/>
    <row r="108" spans="2:2" ht="15" customHeight="1" x14ac:dyDescent="0.2">
      <c r="B108" s="317" t="s">
        <v>143</v>
      </c>
    </row>
    <row r="109" spans="2:2" ht="15" customHeight="1" x14ac:dyDescent="0.2">
      <c r="B109" s="317"/>
    </row>
    <row r="110" spans="2:2" ht="15" customHeight="1" x14ac:dyDescent="0.2">
      <c r="B110" s="317" t="s">
        <v>147</v>
      </c>
    </row>
    <row r="111" spans="2:2" ht="15" customHeight="1" x14ac:dyDescent="0.2">
      <c r="B111" s="317"/>
    </row>
    <row r="112" spans="2:2" ht="15" customHeight="1" x14ac:dyDescent="0.2">
      <c r="B112" s="317"/>
    </row>
    <row r="113" spans="2:2" ht="15" customHeight="1" x14ac:dyDescent="0.2">
      <c r="B113" s="85"/>
    </row>
    <row r="114" spans="2:2" ht="15" customHeight="1" x14ac:dyDescent="0.2">
      <c r="B114" s="296" t="s">
        <v>145</v>
      </c>
    </row>
    <row r="115" spans="2:2" ht="9.9499999999999993" customHeight="1" x14ac:dyDescent="0.2"/>
    <row r="116" spans="2:2" ht="15" customHeight="1" x14ac:dyDescent="0.2">
      <c r="B116" s="317" t="s">
        <v>146</v>
      </c>
    </row>
    <row r="117" spans="2:2" ht="15" customHeight="1" x14ac:dyDescent="0.2">
      <c r="B117" s="317"/>
    </row>
    <row r="118" spans="2:2" ht="15" customHeight="1" x14ac:dyDescent="0.2">
      <c r="B118" s="317"/>
    </row>
    <row r="119" spans="2:2" ht="15" customHeight="1" x14ac:dyDescent="0.2">
      <c r="B119" s="318" t="s">
        <v>148</v>
      </c>
    </row>
    <row r="120" spans="2:2" ht="15" customHeight="1" x14ac:dyDescent="0.2">
      <c r="B120" s="318"/>
    </row>
    <row r="121" spans="2:2" ht="15" customHeight="1" x14ac:dyDescent="0.2">
      <c r="B121" s="318"/>
    </row>
    <row r="122" spans="2:2" ht="15" customHeight="1" x14ac:dyDescent="0.2">
      <c r="B122" s="318" t="s">
        <v>149</v>
      </c>
    </row>
    <row r="123" spans="2:2" ht="15" customHeight="1" x14ac:dyDescent="0.2">
      <c r="B123" s="318"/>
    </row>
    <row r="124" spans="2:2" ht="15" customHeight="1" x14ac:dyDescent="0.2">
      <c r="B124" s="318"/>
    </row>
    <row r="125" spans="2:2" ht="15" customHeight="1" x14ac:dyDescent="0.2">
      <c r="B125" s="318" t="s">
        <v>150</v>
      </c>
    </row>
    <row r="126" spans="2:2" ht="15" customHeight="1" x14ac:dyDescent="0.2">
      <c r="B126" s="318"/>
    </row>
    <row r="127" spans="2:2" ht="15" customHeight="1" x14ac:dyDescent="0.2">
      <c r="B127" s="318" t="s">
        <v>151</v>
      </c>
    </row>
    <row r="128" spans="2:2" ht="15" customHeight="1" x14ac:dyDescent="0.2">
      <c r="B128" s="318"/>
    </row>
    <row r="129" spans="2:2" ht="15" customHeight="1" x14ac:dyDescent="0.2">
      <c r="B129" s="318"/>
    </row>
  </sheetData>
  <sheetProtection algorithmName="SHA-512" hashValue="ER3o/vJIg4Vpuy4+T+bRku82koWiXRtHscIUzPDNE4qWuZE2Iel3rYsQ8mkJujKNpivgJ1eCRBhGlU6Tr2cBng==" saltValue="hywzyioCiLkV9tqmp5gU1Q==" spinCount="100000" sheet="1" objects="1" scenarios="1" selectLockedCells="1"/>
  <mergeCells count="34">
    <mergeCell ref="B5:B8"/>
    <mergeCell ref="B58:B60"/>
    <mergeCell ref="B51:B53"/>
    <mergeCell ref="B96:B98"/>
    <mergeCell ref="B99:B100"/>
    <mergeCell ref="B85:B86"/>
    <mergeCell ref="B29:B30"/>
    <mergeCell ref="B34:B36"/>
    <mergeCell ref="B31:B33"/>
    <mergeCell ref="B39:B42"/>
    <mergeCell ref="B43:B46"/>
    <mergeCell ref="B93:B95"/>
    <mergeCell ref="B16:B18"/>
    <mergeCell ref="B122:B124"/>
    <mergeCell ref="B127:B129"/>
    <mergeCell ref="B49:B50"/>
    <mergeCell ref="B54:B55"/>
    <mergeCell ref="B64:B67"/>
    <mergeCell ref="B68:B69"/>
    <mergeCell ref="B70:B71"/>
    <mergeCell ref="B72:B73"/>
    <mergeCell ref="B76:B80"/>
    <mergeCell ref="B81:B82"/>
    <mergeCell ref="B125:B126"/>
    <mergeCell ref="B89:B90"/>
    <mergeCell ref="B91:B92"/>
    <mergeCell ref="B110:B112"/>
    <mergeCell ref="B103:B104"/>
    <mergeCell ref="B108:B109"/>
    <mergeCell ref="B116:B118"/>
    <mergeCell ref="B119:B121"/>
    <mergeCell ref="B23:B24"/>
    <mergeCell ref="B25:B26"/>
    <mergeCell ref="B27:B28"/>
  </mergeCells>
  <printOptions horizontalCentered="1"/>
  <pageMargins left="0.59055118110236227" right="0.59055118110236227" top="0.59055118110236227" bottom="0.59055118110236227" header="0.19685039370078741" footer="0.19685039370078741"/>
  <pageSetup paperSize="9" firstPageNumber="0" fitToHeight="2" orientation="portrait" r:id="rId1"/>
  <rowBreaks count="1" manualBreakCount="1">
    <brk id="47" min="1" max="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4:I37"/>
  <sheetViews>
    <sheetView showGridLines="0" tabSelected="1" workbookViewId="0">
      <selection activeCell="C17" sqref="C17"/>
    </sheetView>
  </sheetViews>
  <sheetFormatPr baseColWidth="10" defaultColWidth="11.42578125" defaultRowHeight="15" customHeight="1" x14ac:dyDescent="0.2"/>
  <cols>
    <col min="1" max="1" width="5.7109375" style="101" customWidth="1"/>
    <col min="2" max="2" width="17" style="101" customWidth="1"/>
    <col min="3" max="3" width="15.28515625" style="101" bestFit="1" customWidth="1"/>
    <col min="4" max="4" width="6.7109375" style="101" customWidth="1"/>
    <col min="5" max="8" width="10.7109375" style="101" customWidth="1"/>
    <col min="9" max="9" width="35.7109375" style="101" customWidth="1"/>
    <col min="10" max="16384" width="11.42578125" style="101"/>
  </cols>
  <sheetData>
    <row r="4" spans="2:9" ht="15" customHeight="1" x14ac:dyDescent="0.2">
      <c r="G4" s="102"/>
    </row>
    <row r="9" spans="2:9" ht="15" customHeight="1" x14ac:dyDescent="0.2">
      <c r="B9" s="328" t="s">
        <v>152</v>
      </c>
      <c r="C9" s="329"/>
      <c r="D9" s="330"/>
      <c r="E9" s="330"/>
      <c r="F9" s="330"/>
      <c r="G9" s="330"/>
      <c r="H9" s="330"/>
      <c r="I9" s="331"/>
    </row>
    <row r="10" spans="2:9" ht="15" customHeight="1" x14ac:dyDescent="0.2">
      <c r="B10" s="328"/>
      <c r="C10" s="332"/>
      <c r="D10" s="333"/>
      <c r="E10" s="333"/>
      <c r="F10" s="333"/>
      <c r="G10" s="333"/>
      <c r="H10" s="333"/>
      <c r="I10" s="334"/>
    </row>
    <row r="11" spans="2:9" ht="15" customHeight="1" x14ac:dyDescent="0.2">
      <c r="B11" s="103"/>
    </row>
    <row r="12" spans="2:9" ht="15" customHeight="1" x14ac:dyDescent="0.2">
      <c r="B12" s="344" t="s">
        <v>28</v>
      </c>
      <c r="C12" s="335" t="str">
        <f>VLOOKUP(AUXILIAR!$B$7,AUXILIAR!$D$7:$F$81,3,FALSE)</f>
        <v>PROGRAMA DE APOYO A PYMES AUTÓNOMOS Y PYMES COMUNIDADES DE BIENES PARA INVERSIONES PRODUCTIVAS Y TECNOLÓGICAS, COFINANCIADAS POR EL FEDER</v>
      </c>
      <c r="D12" s="336"/>
      <c r="E12" s="336"/>
      <c r="F12" s="336"/>
      <c r="G12" s="336"/>
      <c r="H12" s="336"/>
      <c r="I12" s="337"/>
    </row>
    <row r="13" spans="2:9" ht="15" customHeight="1" x14ac:dyDescent="0.2">
      <c r="B13" s="344"/>
      <c r="C13" s="338"/>
      <c r="D13" s="339"/>
      <c r="E13" s="339"/>
      <c r="F13" s="339"/>
      <c r="G13" s="339"/>
      <c r="H13" s="339"/>
      <c r="I13" s="340"/>
    </row>
    <row r="14" spans="2:9" ht="15" customHeight="1" x14ac:dyDescent="0.2">
      <c r="B14" s="344"/>
      <c r="C14" s="341"/>
      <c r="D14" s="342"/>
      <c r="E14" s="342"/>
      <c r="F14" s="342"/>
      <c r="G14" s="342"/>
      <c r="H14" s="342"/>
      <c r="I14" s="343"/>
    </row>
    <row r="15" spans="2:9" ht="15" customHeight="1" x14ac:dyDescent="0.2">
      <c r="B15" s="103"/>
    </row>
    <row r="16" spans="2:9" ht="15" customHeight="1" x14ac:dyDescent="0.2">
      <c r="B16" s="103" t="s">
        <v>29</v>
      </c>
      <c r="C16" s="104">
        <v>2026</v>
      </c>
      <c r="D16" s="105"/>
      <c r="F16" s="325" t="s">
        <v>176</v>
      </c>
      <c r="G16" s="325"/>
      <c r="H16" s="325"/>
      <c r="I16" s="345" t="str">
        <f>IF(AND(AUXILIAR!$P$5=0,AUXILIAR!$P$6=0,AUXILIAR!$P$7=0),"",IF(AND(AUXILIAR!$P$6=0,AUXILIAR!$P$7=0),VLOOKUP(AUXILIAR!$B$7,AUXILIAR!$D$7:$I$81,4,FALSE),IF(AND(AUXILIAR!$P$6&lt;&gt;0,AUXILIAR!$P$7=0),CONCATENATE(VLOOKUP(AUXILIAR!$B$7,AUXILIAR!$D$7:$I$81,4,FALSE),"
",VLOOKUP(AUXILIAR!$B$7,AUXILIAR!$D$7:$I$81,5,FALSE)),CONCATENATE(VLOOKUP(AUXILIAR!$B$7,AUXILIAR!$D$7:$I$81,4,FALSE),"
",VLOOKUP(AUXILIAR!$B$7,AUXILIAR!$D$7:$I$81,5,FALSE),"
",VLOOKUP(AUXILIAR!$B$7,AUXILIAR!$D$7:$I$81,6,FALSE)))))</f>
        <v>nº 82, de 11 de abril de 2023
nº 265, de 15 de noviembre de 2025</v>
      </c>
    </row>
    <row r="17" spans="2:9" ht="15" customHeight="1" x14ac:dyDescent="0.2">
      <c r="B17" s="103"/>
      <c r="F17" s="325"/>
      <c r="G17" s="325"/>
      <c r="H17" s="325"/>
      <c r="I17" s="345"/>
    </row>
    <row r="18" spans="2:9" ht="15" customHeight="1" x14ac:dyDescent="0.2">
      <c r="B18" s="103" t="s">
        <v>30</v>
      </c>
      <c r="C18" s="106">
        <f>VLOOKUP(AUXILIAR!$B$7,AUXILIAR!$D$7:$F$81,2,FALSE)</f>
        <v>7</v>
      </c>
      <c r="D18" s="107"/>
      <c r="F18" s="325"/>
      <c r="G18" s="325"/>
      <c r="H18" s="325"/>
      <c r="I18" s="345"/>
    </row>
    <row r="19" spans="2:9" ht="15" customHeight="1" x14ac:dyDescent="0.2">
      <c r="B19" s="103"/>
    </row>
    <row r="20" spans="2:9" ht="15" customHeight="1" x14ac:dyDescent="0.2">
      <c r="B20" s="103" t="s">
        <v>31</v>
      </c>
      <c r="C20" s="297" t="s">
        <v>231</v>
      </c>
      <c r="D20" s="105"/>
      <c r="E20" s="105"/>
      <c r="F20" s="325" t="str">
        <f>CONCATENATE("BORM EXTRACTO","
 ","CONVOCATORIA","
 ","(Y MODIFICACIONES):")</f>
        <v>BORM EXTRACTO
 CONVOCATORIA
 (Y MODIFICACIONES):</v>
      </c>
      <c r="G20" s="325"/>
      <c r="H20" s="325"/>
      <c r="I20" s="326" t="str">
        <f>IF(AND(AUXILIAR!$P$11="",AUXILIAR!$P$12="",AUXILIAR!$P$13=""),"",IF(AND(AUXILIAR!$P$12="",AUXILIAR!$P$13=""),AUXILIAR!$P$11,IF(AND(AUXILIAR!$P$12&lt;&gt;"",AUXILIAR!$P$13=""),CONCATENATE(AUXILIAR!$P$11,"
",AUXILIAR!$P$12),CONCATENATE(AUXILIAR!$P$11,"
",AUXILIAR!$P$12,"
",AUXILIAR!$P$13))))</f>
        <v>nº 298, de 27 de diciembre de 2025</v>
      </c>
    </row>
    <row r="21" spans="2:9" ht="15" customHeight="1" x14ac:dyDescent="0.2">
      <c r="B21" s="103"/>
      <c r="F21" s="325"/>
      <c r="G21" s="325"/>
      <c r="H21" s="325"/>
      <c r="I21" s="326"/>
    </row>
    <row r="22" spans="2:9" ht="15" customHeight="1" x14ac:dyDescent="0.2">
      <c r="B22" s="103" t="s">
        <v>32</v>
      </c>
      <c r="C22" s="108" t="str">
        <f>CONCATENATE(C16,".",TEXT(C18,"00"),".",C20,".")</f>
        <v>2026.07.APRO.</v>
      </c>
      <c r="D22" s="109"/>
      <c r="F22" s="325"/>
      <c r="G22" s="325"/>
      <c r="H22" s="325"/>
      <c r="I22" s="326"/>
    </row>
    <row r="23" spans="2:9" ht="15" customHeight="1" x14ac:dyDescent="0.2">
      <c r="B23" s="103"/>
      <c r="C23" s="103"/>
      <c r="D23" s="103"/>
      <c r="E23" s="103"/>
      <c r="F23" s="103"/>
      <c r="H23" s="110"/>
    </row>
    <row r="24" spans="2:9" ht="15" customHeight="1" x14ac:dyDescent="0.2">
      <c r="F24" s="111" t="s">
        <v>92</v>
      </c>
      <c r="H24" s="112" t="s">
        <v>60</v>
      </c>
      <c r="I24" s="112" t="s">
        <v>219</v>
      </c>
    </row>
    <row r="25" spans="2:9" ht="15" customHeight="1" x14ac:dyDescent="0.3">
      <c r="B25" s="113" t="str">
        <f>IF(AUXILIAR!$S$5="SÍ","FECHA INICIO PLAZO DE EJECUCIÓN:",IF(AUXILIAR!$S$5="NO","FECHA PRESENTACIÓN SOLICITUD DE AYUDA (*):",""))</f>
        <v>FECHA PRESENTACIÓN SOLICITUD DE AYUDA (*):</v>
      </c>
      <c r="C25" s="114"/>
      <c r="D25" s="114"/>
      <c r="F25" s="303"/>
      <c r="H25" s="115"/>
      <c r="I25" s="115" t="str">
        <f>IF(AND(F25="",H25=""),"",IF(AND(F25&lt;&gt;"",H25=""),F25,IF(AND(F25&lt;&gt;"",H25&lt;&gt;""),H25,H25)))</f>
        <v/>
      </c>
    </row>
    <row r="26" spans="2:9" ht="15" customHeight="1" x14ac:dyDescent="0.3">
      <c r="B26" s="114"/>
      <c r="C26" s="114"/>
      <c r="D26" s="114"/>
      <c r="F26" s="112"/>
      <c r="I26" s="112"/>
    </row>
    <row r="27" spans="2:9" ht="15" customHeight="1" x14ac:dyDescent="0.3">
      <c r="B27" s="113" t="str">
        <f>IF(AUXILIAR!$S$5="SÍ","FECHA FINAL PLAZO EJECUCIÓN DEL PROYECTO (*)",IF(AUXILIAR!$S$5="NO","FECHA FINAL PLAZO EJECUCIÓN DEL PROYECTO (**)",""))</f>
        <v>FECHA FINAL PLAZO EJECUCIÓN DEL PROYECTO (**)</v>
      </c>
      <c r="C27" s="114"/>
      <c r="D27" s="114"/>
      <c r="F27" s="116"/>
      <c r="H27" s="115"/>
      <c r="I27" s="115" t="str">
        <f>IF(AND(F27="",H27=""),"",IF(AND(F27&lt;&gt;"",H27=""),F27,IF(AND(F27&lt;&gt;"",H27&lt;&gt;""),H27,H27)))</f>
        <v/>
      </c>
    </row>
    <row r="28" spans="2:9" ht="15" customHeight="1" x14ac:dyDescent="0.3">
      <c r="B28" s="114"/>
      <c r="C28" s="114"/>
      <c r="D28" s="114"/>
      <c r="F28" s="112"/>
      <c r="I28" s="112"/>
    </row>
    <row r="29" spans="2:9" ht="15" customHeight="1" x14ac:dyDescent="0.3">
      <c r="B29" s="113" t="s">
        <v>27</v>
      </c>
      <c r="C29" s="114"/>
      <c r="D29" s="114"/>
      <c r="F29" s="117" t="str">
        <f>IF(F27="","",AUXILIAR!S18)</f>
        <v/>
      </c>
      <c r="H29" s="115" t="str">
        <f>IF(H27="","",AUXILIAR!$S$22)</f>
        <v/>
      </c>
      <c r="I29" s="115" t="str">
        <f>IF(AND(F29="",H29=""),"",IF(AND(F29&lt;&gt;"",H29=""),F29,IF(AND(F29&lt;&gt;"",H29&lt;&gt;""),H29,H29)))</f>
        <v/>
      </c>
    </row>
    <row r="31" spans="2:9" ht="15" customHeight="1" x14ac:dyDescent="0.2">
      <c r="B31" s="118" t="str">
        <f>IF(OR($F$25="",$F$27=""),"",IF($F$27&lt;$F$25,"ERROR: LA FECHA DE FINALIZACIÓN ES POSTERIOR A LA DE INICIO DEL PLAZO DE EJECUCIÓN",""))</f>
        <v/>
      </c>
    </row>
    <row r="33" spans="2:9" ht="75" customHeight="1" x14ac:dyDescent="0.2">
      <c r="B33" s="327" t="str">
        <f>IF(AUXILIAR!$S$5="SÍ","(*): La fecha final del plazo de ejecución del proyecto/actividad viene reflejada en el segundo punto de las condiciones particulares de la 
Resolución Individual de Concesión de Ayuda.",IF(AUXILIAR!$S$5="NO",
CONCATENATE(AUXILIAR!$R$24," 
",AUXILIAR!$R$26),""))</f>
        <v>(*): Se deberá indicar la fecha de presentación de la solicitud de ayuda o la fecha de inicio del plazo de ejecución de acuerdo con lo dispuesto en el segundo punto de las condiciones particulares de la Resolución Individual de Concesión de Ayuda. 
(**): La fecha final del plazo de ejecución del proyecto/actividad viene reflejada en el segundo punto de las condiciones particulares de la Resolución Individual de Concesión de Ayuda.</v>
      </c>
      <c r="C33" s="327"/>
      <c r="D33" s="327"/>
      <c r="E33" s="327"/>
      <c r="F33" s="327"/>
      <c r="G33" s="327"/>
      <c r="H33" s="327"/>
      <c r="I33" s="327"/>
    </row>
    <row r="34" spans="2:9" ht="15" customHeight="1" x14ac:dyDescent="0.2">
      <c r="B34" s="119"/>
      <c r="C34" s="119"/>
      <c r="D34" s="119"/>
      <c r="E34" s="119"/>
      <c r="F34" s="119"/>
      <c r="G34" s="119"/>
      <c r="H34" s="119"/>
      <c r="I34" s="119"/>
    </row>
    <row r="35" spans="2:9" ht="15" customHeight="1" x14ac:dyDescent="0.2">
      <c r="B35" s="119"/>
      <c r="C35" s="119"/>
      <c r="D35" s="119"/>
      <c r="E35" s="119"/>
      <c r="F35" s="119"/>
      <c r="G35" s="119"/>
      <c r="H35" s="119"/>
      <c r="I35" s="119"/>
    </row>
    <row r="36" spans="2:9" ht="15" customHeight="1" x14ac:dyDescent="0.2">
      <c r="B36" s="119"/>
      <c r="C36" s="119"/>
      <c r="D36" s="119"/>
      <c r="E36" s="119"/>
      <c r="F36" s="119"/>
      <c r="G36" s="119"/>
      <c r="H36" s="119"/>
      <c r="I36" s="119"/>
    </row>
    <row r="37" spans="2:9" ht="15" customHeight="1" x14ac:dyDescent="0.2">
      <c r="B37" s="119"/>
      <c r="C37" s="119"/>
      <c r="D37" s="119"/>
      <c r="E37" s="119"/>
      <c r="F37" s="119"/>
      <c r="G37" s="119"/>
      <c r="H37" s="119"/>
      <c r="I37" s="119"/>
    </row>
  </sheetData>
  <sheetProtection algorithmName="SHA-512" hashValue="yVUrt5OvLyQRyo1z3iy33IQhugZubPMdHPDmQ0qJBxN19WMhW0MW5sN2fgr1QcbobQIVavILmoS4dyhxMqlPWA==" saltValue="WBkeawVNbXoVZ/DoRa1YRQ==" spinCount="100000" sheet="1" objects="1" scenarios="1"/>
  <protectedRanges>
    <protectedRange algorithmName="SHA-512" hashValue="O52JnwVRgvXoLFJl5HoSJIhHRBi+KV0AR8oj6xkxRroUYYSHMwusTvVXG34F14yTmo9MNBNqdI/zc9xsOez3LA==" saltValue="C0ZDCJZ/ETgdW/njYVHNxg==" spinCount="100000" sqref="H25 H27" name="Rango1"/>
  </protectedRanges>
  <mergeCells count="9">
    <mergeCell ref="F20:H22"/>
    <mergeCell ref="I20:I22"/>
    <mergeCell ref="B33:I33"/>
    <mergeCell ref="B9:B10"/>
    <mergeCell ref="C9:I10"/>
    <mergeCell ref="C12:I14"/>
    <mergeCell ref="B12:B14"/>
    <mergeCell ref="I16:I18"/>
    <mergeCell ref="F16:H18"/>
  </mergeCells>
  <conditionalFormatting sqref="H25:I25 H27:I27 H29:I29">
    <cfRule type="expression" dxfId="83" priority="208">
      <formula>$I25&lt;&gt;$F25</formula>
    </cfRule>
  </conditionalFormatting>
  <printOptions horizontalCentered="1"/>
  <pageMargins left="0.59055118110236227" right="0.59055118110236227" top="0.59055118110236227" bottom="0.59055118110236227" header="0.19685039370078741" footer="0.19685039370078741"/>
  <pageSetup paperSize="9" scale="73" orientation="portrait" r:id="rId1"/>
  <drawing r:id="rId2"/>
  <extLst>
    <ext xmlns:x14="http://schemas.microsoft.com/office/spreadsheetml/2009/9/main" uri="{78C0D931-6437-407d-A8EE-F0AAD7539E65}">
      <x14:conditionalFormattings>
        <x14:conditionalFormatting xmlns:xm="http://schemas.microsoft.com/office/excel/2006/main">
          <x14:cfRule type="expression" priority="203" id="{0FF5E727-1516-417C-9421-CE7875E61AF8}">
            <xm:f>AUXILIAR!$J$6="SÍ"</xm:f>
            <x14:dxf>
              <fill>
                <patternFill>
                  <bgColor rgb="FFDDEE00"/>
                </patternFill>
              </fill>
            </x14:dxf>
          </x14:cfRule>
          <xm:sqref>C20</xm:sqref>
        </x14:conditionalFormatting>
        <x14:conditionalFormatting xmlns:xm="http://schemas.microsoft.com/office/excel/2006/main">
          <x14:cfRule type="expression" priority="5" id="{FBE7609A-7C8B-4798-8FEC-426445517023}">
            <xm:f>AUXILIAR!$S$5="SÍ"</xm:f>
            <x14:dxf>
              <fill>
                <patternFill>
                  <bgColor rgb="FFDDEE00"/>
                </patternFill>
              </fill>
            </x14:dxf>
          </x14:cfRule>
          <xm:sqref>F25</xm:sqref>
        </x14:conditionalFormatting>
        <x14:conditionalFormatting xmlns:xm="http://schemas.microsoft.com/office/excel/2006/main">
          <x14:cfRule type="expression" priority="4" stopIfTrue="1" id="{00000000-000E-0000-0100-000070000000}">
            <xm:f>OR(USUARIO!$C$2="",AUXILIAR!$AJ$6&lt;&gt;USUARIO!$C$2)</xm:f>
            <x14:dxf>
              <font>
                <color theme="0"/>
              </font>
              <fill>
                <patternFill patternType="none">
                  <bgColor auto="1"/>
                </patternFill>
              </fill>
              <border>
                <left/>
                <right/>
                <top/>
                <bottom/>
                <vertical/>
                <horizontal/>
              </border>
            </x14:dxf>
          </x14:cfRule>
          <xm:sqref>H24:I29</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35282D3B-763F-4307-B597-7ECD9304625D}">
          <x14:formula1>
            <xm:f>OFFSET(AUXILIAR!$M$7,0,,COUNTIF(LÍNEA,"&lt;&gt;X"))</xm:f>
          </x14:formula1>
          <xm:sqref>C20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AL89"/>
  <sheetViews>
    <sheetView showGridLines="0" zoomScaleNormal="100" workbookViewId="0">
      <pane xSplit="12" ySplit="8" topLeftCell="M9" activePane="bottomRight" state="frozen"/>
      <selection pane="topRight" activeCell="L1" sqref="L1"/>
      <selection pane="bottomLeft" activeCell="A9" sqref="A9"/>
      <selection pane="bottomRight" activeCell="O9" sqref="O9"/>
    </sheetView>
  </sheetViews>
  <sheetFormatPr baseColWidth="10" defaultColWidth="9.140625" defaultRowHeight="20.100000000000001" customHeight="1" x14ac:dyDescent="0.2"/>
  <cols>
    <col min="1" max="1" width="2.7109375" style="120" customWidth="1"/>
    <col min="2" max="11" width="9.140625" style="120" hidden="1" customWidth="1"/>
    <col min="12" max="12" width="22.5703125" style="121" customWidth="1"/>
    <col min="13" max="13" width="6.7109375" style="122" customWidth="1"/>
    <col min="14" max="14" width="9.85546875" style="122" hidden="1" customWidth="1"/>
    <col min="15" max="15" width="17.85546875" style="122" bestFit="1" customWidth="1"/>
    <col min="16" max="16" width="15.7109375" style="123" customWidth="1"/>
    <col min="17" max="17" width="12.7109375" style="124" customWidth="1"/>
    <col min="18" max="18" width="35.7109375" style="120" customWidth="1"/>
    <col min="19" max="19" width="12" style="120" customWidth="1"/>
    <col min="20" max="20" width="35.7109375" style="120" customWidth="1"/>
    <col min="21" max="21" width="25.7109375" style="120" customWidth="1"/>
    <col min="22" max="22" width="11" style="122" customWidth="1"/>
    <col min="23" max="25" width="12.7109375" style="120" customWidth="1"/>
    <col min="26" max="26" width="12.7109375" style="122" customWidth="1"/>
    <col min="27" max="27" width="12.7109375" style="120" customWidth="1"/>
    <col min="28" max="28" width="12.28515625" style="122" customWidth="1"/>
    <col min="29" max="29" width="14.5703125" style="120" bestFit="1" customWidth="1"/>
    <col min="30" max="31" width="12.7109375" style="120" customWidth="1"/>
    <col min="32" max="32" width="12.7109375" style="124" customWidth="1"/>
    <col min="33" max="34" width="15.7109375" style="120" hidden="1" customWidth="1"/>
    <col min="35" max="37" width="15.7109375" style="120" customWidth="1"/>
    <col min="38" max="38" width="50.7109375" style="120" customWidth="1"/>
    <col min="39" max="1039" width="10.7109375" style="120" customWidth="1"/>
    <col min="1040" max="16384" width="9.140625" style="120"/>
  </cols>
  <sheetData>
    <row r="1" spans="2:38" ht="15" customHeight="1" x14ac:dyDescent="0.2"/>
    <row r="2" spans="2:38" ht="20.100000000000001" customHeight="1" x14ac:dyDescent="0.2">
      <c r="L2" s="346" t="s">
        <v>22</v>
      </c>
      <c r="M2" s="346"/>
      <c r="N2" s="346"/>
      <c r="O2" s="346"/>
      <c r="P2" s="346"/>
      <c r="Q2" s="346"/>
      <c r="R2" s="346"/>
      <c r="S2" s="346"/>
      <c r="T2" s="346"/>
      <c r="U2" s="346"/>
      <c r="V2" s="346"/>
      <c r="W2" s="346"/>
      <c r="X2" s="346"/>
      <c r="Y2" s="346"/>
      <c r="Z2" s="346"/>
      <c r="AA2" s="346"/>
      <c r="AB2" s="346"/>
      <c r="AC2" s="346"/>
      <c r="AD2" s="346"/>
      <c r="AE2" s="346"/>
      <c r="AF2" s="346"/>
      <c r="AG2" s="346"/>
      <c r="AH2" s="346"/>
      <c r="AI2" s="346"/>
      <c r="AJ2" s="346"/>
      <c r="AK2" s="346"/>
      <c r="AL2" s="346"/>
    </row>
    <row r="3" spans="2:38" ht="20.100000000000001" customHeight="1" x14ac:dyDescent="0.2">
      <c r="P3" s="126" t="s">
        <v>24</v>
      </c>
      <c r="Q3" s="356" t="str">
        <f>IF(EXPEDIENTE!D22="","",CONCATENATE(EXPEDIENTE!C16,".",TEXT(EXPEDIENTE!C18,"00"),".",EXPEDIENTE!C20,".",TEXT(EXPEDIENTE!D22,"0000")))</f>
        <v/>
      </c>
      <c r="R3" s="356"/>
      <c r="S3" s="302"/>
      <c r="U3" s="366" t="str">
        <f>IF(AND(AUXILIAR!$AF$18&lt;1575,OR(EXPEDIENTE!$F$25="",EXPEDIENTE!$F$27="")),"NOTA: FALTA CUMPLIMENTAR LA FECHA DE INICIO Y/O FINAL DEL PROYECTO EN LA PESTAÑA EXPEDIENTE","")</f>
        <v/>
      </c>
      <c r="V3" s="366"/>
      <c r="W3" s="366"/>
      <c r="X3" s="366"/>
      <c r="Y3" s="366"/>
      <c r="Z3" s="366"/>
      <c r="AA3" s="125"/>
      <c r="AB3" s="125"/>
      <c r="AC3" s="125"/>
      <c r="AD3" s="125"/>
      <c r="AE3" s="125"/>
      <c r="AF3" s="125"/>
      <c r="AG3" s="125"/>
      <c r="AH3" s="125"/>
      <c r="AI3" s="125"/>
      <c r="AJ3" s="125"/>
      <c r="AK3" s="125"/>
      <c r="AL3" s="125"/>
    </row>
    <row r="4" spans="2:38" ht="20.100000000000001" customHeight="1" x14ac:dyDescent="0.2">
      <c r="N4" s="127"/>
      <c r="O4" s="127"/>
      <c r="R4" s="128"/>
      <c r="S4" s="128"/>
      <c r="U4" s="366"/>
      <c r="V4" s="366"/>
      <c r="W4" s="366"/>
      <c r="X4" s="366"/>
      <c r="Y4" s="366"/>
      <c r="Z4" s="366"/>
      <c r="AA4" s="128"/>
      <c r="AB4" s="128"/>
      <c r="AC4" s="128"/>
      <c r="AD4" s="128"/>
      <c r="AE4" s="128"/>
      <c r="AF4" s="128"/>
      <c r="AG4" s="128"/>
      <c r="AH4" s="128"/>
      <c r="AI4" s="128"/>
      <c r="AJ4" s="128"/>
      <c r="AK4" s="128"/>
      <c r="AL4" s="128"/>
    </row>
    <row r="5" spans="2:38" ht="9.9499999999999993" customHeight="1" thickBot="1" x14ac:dyDescent="0.25">
      <c r="M5" s="129"/>
      <c r="N5" s="129"/>
      <c r="O5" s="129"/>
      <c r="P5" s="129"/>
      <c r="Q5" s="129"/>
      <c r="R5" s="128"/>
      <c r="S5" s="128"/>
      <c r="T5" s="128"/>
      <c r="U5" s="128"/>
      <c r="V5" s="129"/>
      <c r="W5" s="128"/>
      <c r="X5" s="128"/>
      <c r="Y5" s="128"/>
      <c r="Z5" s="128"/>
      <c r="AA5" s="128"/>
      <c r="AB5" s="128"/>
      <c r="AC5" s="128"/>
      <c r="AD5" s="128"/>
      <c r="AE5" s="128"/>
      <c r="AF5" s="128"/>
      <c r="AG5" s="128"/>
      <c r="AH5" s="128"/>
      <c r="AI5" s="128"/>
      <c r="AJ5" s="128"/>
      <c r="AK5" s="128"/>
      <c r="AL5" s="128"/>
    </row>
    <row r="6" spans="2:38" ht="20.100000000000001" customHeight="1" thickBot="1" x14ac:dyDescent="0.25">
      <c r="L6" s="347" t="s">
        <v>41</v>
      </c>
      <c r="M6" s="362" t="s">
        <v>0</v>
      </c>
      <c r="N6" s="360" t="s">
        <v>68</v>
      </c>
      <c r="O6" s="357" t="s">
        <v>71</v>
      </c>
      <c r="P6" s="358"/>
      <c r="Q6" s="358"/>
      <c r="R6" s="358"/>
      <c r="S6" s="358"/>
      <c r="T6" s="358"/>
      <c r="U6" s="358"/>
      <c r="V6" s="359"/>
      <c r="W6" s="349" t="s">
        <v>75</v>
      </c>
      <c r="X6" s="349"/>
      <c r="Y6" s="349"/>
      <c r="Z6" s="349"/>
      <c r="AA6" s="349"/>
      <c r="AB6" s="349"/>
      <c r="AC6" s="349"/>
      <c r="AD6" s="350"/>
      <c r="AE6" s="355" t="s">
        <v>76</v>
      </c>
      <c r="AF6" s="349"/>
      <c r="AG6" s="351" t="s">
        <v>20</v>
      </c>
      <c r="AH6" s="353" t="s">
        <v>21</v>
      </c>
      <c r="AI6" s="351" t="s">
        <v>18</v>
      </c>
      <c r="AJ6" s="364" t="s">
        <v>19</v>
      </c>
      <c r="AK6" s="367" t="s">
        <v>229</v>
      </c>
      <c r="AL6" s="347" t="s">
        <v>43</v>
      </c>
    </row>
    <row r="7" spans="2:38" s="143" customFormat="1" ht="69.95" customHeight="1" thickBot="1" x14ac:dyDescent="0.25">
      <c r="B7" s="130" t="s">
        <v>93</v>
      </c>
      <c r="C7" s="130" t="s">
        <v>46</v>
      </c>
      <c r="D7" s="130" t="s">
        <v>72</v>
      </c>
      <c r="E7" s="130" t="s">
        <v>48</v>
      </c>
      <c r="F7" s="130" t="s">
        <v>74</v>
      </c>
      <c r="G7" s="130" t="s">
        <v>225</v>
      </c>
      <c r="H7" s="130" t="s">
        <v>78</v>
      </c>
      <c r="I7" s="130" t="s">
        <v>49</v>
      </c>
      <c r="J7" s="130" t="s">
        <v>70</v>
      </c>
      <c r="K7" s="130" t="s">
        <v>90</v>
      </c>
      <c r="L7" s="348"/>
      <c r="M7" s="363"/>
      <c r="N7" s="361"/>
      <c r="O7" s="131" t="s">
        <v>67</v>
      </c>
      <c r="P7" s="132" t="s">
        <v>8</v>
      </c>
      <c r="Q7" s="133" t="s">
        <v>16</v>
      </c>
      <c r="R7" s="132" t="s">
        <v>1</v>
      </c>
      <c r="S7" s="134" t="s">
        <v>2</v>
      </c>
      <c r="T7" s="132" t="s">
        <v>3</v>
      </c>
      <c r="U7" s="132" t="s">
        <v>15</v>
      </c>
      <c r="V7" s="135" t="s">
        <v>9</v>
      </c>
      <c r="W7" s="136" t="s">
        <v>4</v>
      </c>
      <c r="X7" s="137" t="s">
        <v>10</v>
      </c>
      <c r="Y7" s="137" t="s">
        <v>11</v>
      </c>
      <c r="Z7" s="138" t="s">
        <v>12</v>
      </c>
      <c r="AA7" s="137" t="s">
        <v>5</v>
      </c>
      <c r="AB7" s="137" t="s">
        <v>13</v>
      </c>
      <c r="AC7" s="139" t="s">
        <v>189</v>
      </c>
      <c r="AD7" s="140" t="s">
        <v>14</v>
      </c>
      <c r="AE7" s="141" t="s">
        <v>95</v>
      </c>
      <c r="AF7" s="142" t="s">
        <v>17</v>
      </c>
      <c r="AG7" s="352"/>
      <c r="AH7" s="354"/>
      <c r="AI7" s="352"/>
      <c r="AJ7" s="365"/>
      <c r="AK7" s="368"/>
      <c r="AL7" s="348"/>
    </row>
    <row r="8" spans="2:38" s="143" customFormat="1" ht="9.9499999999999993" customHeight="1" thickBot="1" x14ac:dyDescent="0.25">
      <c r="J8" s="143">
        <f>SUM(J9:J83)</f>
        <v>0</v>
      </c>
      <c r="L8" s="144"/>
    </row>
    <row r="9" spans="2:38" ht="30" customHeight="1" x14ac:dyDescent="0.2">
      <c r="B9" s="120" t="str">
        <f>IF(COUNTBLANK(O9:AL9)=20,"",IF(AND(N9&lt;&gt;"",OR(EXPEDIENTE!$F$25="",EXPEDIENTE!$F$27="")),0,""))</f>
        <v/>
      </c>
      <c r="C9" s="120" t="str">
        <f>IF(COUNTBLANK(O9:AL9)=21,"",IF(AND(N9="",COUNTBLANK(O9:AL9)&lt;&gt;21),1,""))</f>
        <v/>
      </c>
      <c r="D9" s="120" t="str">
        <f t="shared" ref="D9" si="0">IF(AND(N9=1,COUNTBLANK(P9:U9)&lt;&gt;0),2,"")</f>
        <v/>
      </c>
      <c r="E9" s="120" t="str">
        <f>IF(Q9="","",IF(AND(N9=1,OR(Q9&lt;EXPEDIENTE!$F$25,Q9&gt;EXPEDIENTE!$F$27)),3,""))</f>
        <v/>
      </c>
      <c r="F9" s="120" t="str">
        <f>IF(AND(N9=1,C9="",D9="",E9="",OR(COUNTBLANK(W9:X9)&gt;0,COUNTBLANK(Z9:AD9)&gt;1)),4,"")</f>
        <v/>
      </c>
      <c r="G9" s="120" t="str">
        <f>IF(AND(N9&lt;&gt;"",C9="",D9="",E9="",F9="",AND(W9&lt;&gt;"",X9&lt;&gt;"",X9&gt;W9)),5,"")</f>
        <v/>
      </c>
      <c r="H9" s="120" t="str">
        <f>IF(AND(N9&lt;&gt;"",C9="",D9="",E9="",F9="",G9="",COUNTBLANK(AE9:AF9)&gt;0),6,"")</f>
        <v/>
      </c>
      <c r="I9" s="120" t="str">
        <f>IF(Q9="","",IF(AF9="","",IF(AND(N9=1,OR(AF9&lt;EXPEDIENTE!$F$25,AF9&gt;EXPEDIENTE!$F$29)),7,"")))</f>
        <v/>
      </c>
      <c r="J9" s="120" t="b">
        <f>IF(B9&lt;&gt;"",B9,IF(C9&lt;&gt;"",C9,IF(D9&lt;&gt;"",D9,IF(E9&lt;&gt;"",E9,IF(F9&lt;&gt;"",F9,IF(G9&lt;&gt;"",G9,IF(H9&lt;&gt;"",H9,IF(I9&lt;&gt;"",I9))))))))</f>
        <v>0</v>
      </c>
      <c r="K9" s="120">
        <f>IF(AF9&lt;EXPEDIENTE!$I$25,-1,IF(AF9&gt;EXPEDIENTE!$I$29,1,0))</f>
        <v>0</v>
      </c>
      <c r="L9" s="145" t="str">
        <f>IF(AND(AUXILIAR!$AF$18&lt;1500,OR(EXPEDIENTE!$F$25="",EXPEDIENTE!$F$27="")),"",IF(IFERROR(VLOOKUP(J9,AUXILIAR!$AF$6:$AG$15,2,FALSE),"")="","",VLOOKUP(J9,AUXILIAR!$AF$6:$AG$15,2,FALSE)))</f>
        <v/>
      </c>
      <c r="M9" s="146">
        <v>1</v>
      </c>
      <c r="N9" s="147" t="str">
        <f>IF(O9="NUEVA FACTURA",1,IF(O9="SEGUNDO PAGO O POSTERIORES",2,""))</f>
        <v/>
      </c>
      <c r="O9" s="148"/>
      <c r="P9" s="149"/>
      <c r="Q9" s="150"/>
      <c r="R9" s="151"/>
      <c r="S9" s="152"/>
      <c r="T9" s="151"/>
      <c r="U9" s="151"/>
      <c r="V9" s="153"/>
      <c r="W9" s="154"/>
      <c r="X9" s="155"/>
      <c r="Y9" s="156"/>
      <c r="Z9" s="157"/>
      <c r="AA9" s="158">
        <f>W9*Z9</f>
        <v>0</v>
      </c>
      <c r="AB9" s="157"/>
      <c r="AC9" s="158">
        <f>W9*AB9</f>
        <v>0</v>
      </c>
      <c r="AD9" s="159">
        <f>W9+AC9-AA9</f>
        <v>0</v>
      </c>
      <c r="AE9" s="305"/>
      <c r="AF9" s="306"/>
      <c r="AG9" s="161"/>
      <c r="AH9" s="309"/>
      <c r="AI9" s="161"/>
      <c r="AJ9" s="162"/>
      <c r="AK9" s="163"/>
      <c r="AL9" s="164"/>
    </row>
    <row r="10" spans="2:38" ht="30" customHeight="1" x14ac:dyDescent="0.2">
      <c r="B10" s="120" t="str">
        <f>IF(COUNTBLANK(O10:AL10)=20,"",IF(AND(N10&lt;&gt;"",OR(EXPEDIENTE!$F$25="",EXPEDIENTE!$F$27="")),0,""))</f>
        <v/>
      </c>
      <c r="C10" s="120" t="str">
        <f t="shared" ref="C10:C73" si="1">IF(COUNTBLANK(O10:AL10)=21,"",IF(AND(N10="",COUNTBLANK(O10:AL10)&lt;&gt;21),1,""))</f>
        <v/>
      </c>
      <c r="D10" s="120" t="str">
        <f t="shared" ref="D10" si="2">IF(AND(N10=1,COUNTBLANK(P10:U10)&lt;&gt;0),2,"")</f>
        <v/>
      </c>
      <c r="E10" s="120" t="str">
        <f>IF(Q10="","",IF(AND(N10=1,OR(Q10&lt;EXPEDIENTE!$F$25,Q10&gt;EXPEDIENTE!$F$27)),3,""))</f>
        <v/>
      </c>
      <c r="F10" s="120" t="str">
        <f>IF(AND(N10=1,C10="",D10="",E10="",OR(COUNTBLANK(W10:X10)&gt;0,COUNTBLANK(Z10:AD10)&gt;1)),4,"")</f>
        <v/>
      </c>
      <c r="G10" s="120" t="str">
        <f>IF(AND(N10&lt;&gt;"",C10="",D10="",E10="",F10="",AND(W10&lt;&gt;"",X10&lt;&gt;"",X10&gt;W10)),5,"")</f>
        <v/>
      </c>
      <c r="H10" s="120" t="str">
        <f>IF(AND(N10&lt;&gt;"",C10="",D10="",E10="",F10="",G10="",COUNTBLANK(AE10:AF10)&gt;0),6,"")</f>
        <v/>
      </c>
      <c r="I10" s="120" t="str">
        <f>IF(Q10="","",IF(AF10="","",IF(AND(N10=1,OR(AF10&lt;EXPEDIENTE!$F$25,AF10&gt;EXPEDIENTE!$F$29)),7,"")))</f>
        <v/>
      </c>
      <c r="J10" s="120" t="b">
        <f t="shared" ref="J10:J41" si="3">IF(B10&lt;&gt;"",B10,IF(C10&lt;&gt;"",C10,IF(D10&lt;&gt;"",D10,IF(E10&lt;&gt;"",E10,IF(F10&lt;&gt;"",F10,IF(H10&lt;&gt;"",H10,IF(I10&lt;&gt;"",I10)))))))</f>
        <v>0</v>
      </c>
      <c r="K10" s="120">
        <f>IF(AF10&lt;EXPEDIENTE!$I$25,-1,IF(AF10&gt;EXPEDIENTE!$I$29,1,0))</f>
        <v>0</v>
      </c>
      <c r="L10" s="165" t="str">
        <f>IF(IFERROR(VLOOKUP(J10,AUXILIAR!$AF$6:$AG$15,2,FALSE),"")="","",VLOOKUP(J10,AUXILIAR!$AF$6:$AG$15,2,FALSE))</f>
        <v/>
      </c>
      <c r="M10" s="166">
        <v>2</v>
      </c>
      <c r="N10" s="147" t="str">
        <f t="shared" ref="N10:N83" si="4">IF(O10="NUEVA FACTURA",1,IF(O10="SEGUNDO PAGO O POSTERIORES",2,""))</f>
        <v/>
      </c>
      <c r="O10" s="167"/>
      <c r="P10" s="168"/>
      <c r="Q10" s="169"/>
      <c r="R10" s="170"/>
      <c r="S10" s="171"/>
      <c r="T10" s="170"/>
      <c r="U10" s="170"/>
      <c r="V10" s="172"/>
      <c r="W10" s="173"/>
      <c r="X10" s="174"/>
      <c r="Y10" s="175"/>
      <c r="Z10" s="176"/>
      <c r="AA10" s="177">
        <f t="shared" ref="AA10:AA83" si="5">W10*Z10</f>
        <v>0</v>
      </c>
      <c r="AB10" s="176"/>
      <c r="AC10" s="177">
        <f t="shared" ref="AC10" si="6">W10*AB10</f>
        <v>0</v>
      </c>
      <c r="AD10" s="178">
        <f t="shared" ref="AD10" si="7">W10+AC10-AA10</f>
        <v>0</v>
      </c>
      <c r="AE10" s="307"/>
      <c r="AF10" s="160"/>
      <c r="AG10" s="179"/>
      <c r="AH10" s="310"/>
      <c r="AI10" s="179"/>
      <c r="AJ10" s="180"/>
      <c r="AK10" s="181"/>
      <c r="AL10" s="182"/>
    </row>
    <row r="11" spans="2:38" ht="30" customHeight="1" x14ac:dyDescent="0.2">
      <c r="B11" s="120" t="str">
        <f>IF(COUNTBLANK(O11:AL11)=20,"",IF(AND(N11&lt;&gt;"",OR(EXPEDIENTE!$F$25="",EXPEDIENTE!$F$27="")),0,""))</f>
        <v/>
      </c>
      <c r="C11" s="120" t="str">
        <f t="shared" si="1"/>
        <v/>
      </c>
      <c r="D11" s="120" t="str">
        <f t="shared" ref="D11:D74" si="8">IF(AND(N11=1,COUNTBLANK(P11:U11)&lt;&gt;0),2,"")</f>
        <v/>
      </c>
      <c r="E11" s="120" t="str">
        <f>IF(Q11="","",IF(AND(N11=1,OR(Q11&lt;EXPEDIENTE!$F$25,Q11&gt;EXPEDIENTE!$F$27)),3,""))</f>
        <v/>
      </c>
      <c r="F11" s="120" t="str">
        <f t="shared" ref="F11:F74" si="9">IF(AND(N11=1,C11="",D11="",E11="",OR(COUNTBLANK(W11:X11)&gt;0,COUNTBLANK(Z11:AD11)&gt;1)),4,"")</f>
        <v/>
      </c>
      <c r="G11" s="120" t="str">
        <f t="shared" ref="G11:G74" si="10">IF(AND(N11&lt;&gt;"",C11="",D11="",E11="",F11="",AND(W11&lt;&gt;"",X11&lt;&gt;"",X11&gt;W11)),5,"")</f>
        <v/>
      </c>
      <c r="H11" s="120" t="str">
        <f t="shared" ref="H11:H74" si="11">IF(AND(N11&lt;&gt;"",C11="",D11="",E11="",F11="",G11="",COUNTBLANK(AE11:AF11)&gt;0),6,"")</f>
        <v/>
      </c>
      <c r="I11" s="120" t="str">
        <f>IF(Q11="","",IF(AF11="","",IF(AND(N11=1,OR(AF11&lt;EXPEDIENTE!$F$25,AF11&gt;EXPEDIENTE!$F$29)),7,"")))</f>
        <v/>
      </c>
      <c r="J11" s="120" t="b">
        <f t="shared" si="3"/>
        <v>0</v>
      </c>
      <c r="K11" s="120">
        <f>IF(AF11&lt;EXPEDIENTE!$I$25,-1,IF(AF11&gt;EXPEDIENTE!$I$29,1,0))</f>
        <v>0</v>
      </c>
      <c r="L11" s="165" t="str">
        <f>IF(IFERROR(VLOOKUP(J11,AUXILIAR!$AF$6:$AG$15,2,FALSE),"")="","",VLOOKUP(J11,AUXILIAR!$AF$6:$AG$15,2,FALSE))</f>
        <v/>
      </c>
      <c r="M11" s="166">
        <v>3</v>
      </c>
      <c r="N11" s="147" t="str">
        <f t="shared" si="4"/>
        <v/>
      </c>
      <c r="O11" s="167"/>
      <c r="P11" s="168"/>
      <c r="Q11" s="169"/>
      <c r="R11" s="170"/>
      <c r="S11" s="171"/>
      <c r="T11" s="170"/>
      <c r="U11" s="170"/>
      <c r="V11" s="172"/>
      <c r="W11" s="173"/>
      <c r="X11" s="174"/>
      <c r="Y11" s="175"/>
      <c r="Z11" s="176"/>
      <c r="AA11" s="177">
        <f t="shared" si="5"/>
        <v>0</v>
      </c>
      <c r="AB11" s="176"/>
      <c r="AC11" s="177">
        <f t="shared" ref="AC11:AC83" si="12">W11*AB11</f>
        <v>0</v>
      </c>
      <c r="AD11" s="178">
        <f t="shared" ref="AD11:AD83" si="13">W11+AC11-AA11</f>
        <v>0</v>
      </c>
      <c r="AE11" s="307"/>
      <c r="AF11" s="160"/>
      <c r="AG11" s="179"/>
      <c r="AH11" s="310"/>
      <c r="AI11" s="179"/>
      <c r="AJ11" s="180"/>
      <c r="AK11" s="181"/>
      <c r="AL11" s="182"/>
    </row>
    <row r="12" spans="2:38" ht="30" customHeight="1" x14ac:dyDescent="0.2">
      <c r="B12" s="120" t="str">
        <f>IF(COUNTBLANK(O12:AL12)=20,"",IF(AND(N12&lt;&gt;"",OR(EXPEDIENTE!$F$25="",EXPEDIENTE!$F$27="")),0,""))</f>
        <v/>
      </c>
      <c r="C12" s="120" t="str">
        <f t="shared" si="1"/>
        <v/>
      </c>
      <c r="D12" s="120" t="str">
        <f t="shared" si="8"/>
        <v/>
      </c>
      <c r="E12" s="120" t="str">
        <f>IF(Q12="","",IF(AND(N12=1,OR(Q12&lt;EXPEDIENTE!$F$25,Q12&gt;EXPEDIENTE!$F$27)),3,""))</f>
        <v/>
      </c>
      <c r="F12" s="120" t="str">
        <f t="shared" si="9"/>
        <v/>
      </c>
      <c r="G12" s="120" t="str">
        <f t="shared" si="10"/>
        <v/>
      </c>
      <c r="H12" s="120" t="str">
        <f t="shared" si="11"/>
        <v/>
      </c>
      <c r="I12" s="120" t="str">
        <f>IF(Q12="","",IF(AF12="","",IF(AND(N12=1,OR(AF12&lt;EXPEDIENTE!$F$25,AF12&gt;EXPEDIENTE!$F$29)),7,"")))</f>
        <v/>
      </c>
      <c r="J12" s="120" t="b">
        <f t="shared" si="3"/>
        <v>0</v>
      </c>
      <c r="K12" s="120">
        <f>IF(AF12&lt;EXPEDIENTE!$I$25,-1,IF(AF12&gt;EXPEDIENTE!$I$29,1,0))</f>
        <v>0</v>
      </c>
      <c r="L12" s="165" t="str">
        <f>IF(IFERROR(VLOOKUP(J12,AUXILIAR!$AF$6:$AG$15,2,FALSE),"")="","",VLOOKUP(J12,AUXILIAR!$AF$6:$AG$15,2,FALSE))</f>
        <v/>
      </c>
      <c r="M12" s="166">
        <v>4</v>
      </c>
      <c r="N12" s="147" t="str">
        <f t="shared" si="4"/>
        <v/>
      </c>
      <c r="O12" s="167"/>
      <c r="P12" s="168"/>
      <c r="Q12" s="169"/>
      <c r="R12" s="170"/>
      <c r="S12" s="171"/>
      <c r="T12" s="170"/>
      <c r="U12" s="170"/>
      <c r="V12" s="172"/>
      <c r="W12" s="173"/>
      <c r="X12" s="174"/>
      <c r="Y12" s="175"/>
      <c r="Z12" s="176"/>
      <c r="AA12" s="177">
        <f t="shared" si="5"/>
        <v>0</v>
      </c>
      <c r="AB12" s="176"/>
      <c r="AC12" s="177">
        <f t="shared" si="12"/>
        <v>0</v>
      </c>
      <c r="AD12" s="178">
        <f t="shared" si="13"/>
        <v>0</v>
      </c>
      <c r="AE12" s="307"/>
      <c r="AF12" s="160"/>
      <c r="AG12" s="179"/>
      <c r="AH12" s="310"/>
      <c r="AI12" s="179"/>
      <c r="AJ12" s="180"/>
      <c r="AK12" s="181"/>
      <c r="AL12" s="182"/>
    </row>
    <row r="13" spans="2:38" ht="30" customHeight="1" x14ac:dyDescent="0.2">
      <c r="B13" s="120" t="str">
        <f>IF(COUNTBLANK(O13:AL13)=20,"",IF(AND(N13&lt;&gt;"",OR(EXPEDIENTE!$F$25="",EXPEDIENTE!$F$27="")),0,""))</f>
        <v/>
      </c>
      <c r="C13" s="120" t="str">
        <f t="shared" si="1"/>
        <v/>
      </c>
      <c r="D13" s="120" t="str">
        <f t="shared" si="8"/>
        <v/>
      </c>
      <c r="E13" s="120" t="str">
        <f>IF(Q13="","",IF(AND(N13=1,OR(Q13&lt;EXPEDIENTE!$F$25,Q13&gt;EXPEDIENTE!$F$27)),3,""))</f>
        <v/>
      </c>
      <c r="F13" s="120" t="str">
        <f t="shared" si="9"/>
        <v/>
      </c>
      <c r="G13" s="120" t="str">
        <f t="shared" si="10"/>
        <v/>
      </c>
      <c r="H13" s="120" t="str">
        <f t="shared" si="11"/>
        <v/>
      </c>
      <c r="I13" s="120" t="str">
        <f>IF(Q13="","",IF(AF13="","",IF(AND(N13=1,OR(AF13&lt;EXPEDIENTE!$F$25,AF13&gt;EXPEDIENTE!$F$29)),7,"")))</f>
        <v/>
      </c>
      <c r="J13" s="120" t="b">
        <f t="shared" si="3"/>
        <v>0</v>
      </c>
      <c r="K13" s="120">
        <f>IF(AF13&lt;EXPEDIENTE!$I$25,-1,IF(AF13&gt;EXPEDIENTE!$I$29,1,0))</f>
        <v>0</v>
      </c>
      <c r="L13" s="165" t="str">
        <f>IF(IFERROR(VLOOKUP(J13,AUXILIAR!$AF$6:$AG$15,2,FALSE),"")="","",VLOOKUP(J13,AUXILIAR!$AF$6:$AG$15,2,FALSE))</f>
        <v/>
      </c>
      <c r="M13" s="166">
        <v>5</v>
      </c>
      <c r="N13" s="147" t="str">
        <f t="shared" si="4"/>
        <v/>
      </c>
      <c r="O13" s="167"/>
      <c r="P13" s="168"/>
      <c r="Q13" s="169"/>
      <c r="R13" s="170"/>
      <c r="S13" s="171"/>
      <c r="T13" s="170"/>
      <c r="U13" s="170"/>
      <c r="V13" s="172"/>
      <c r="W13" s="173"/>
      <c r="X13" s="174"/>
      <c r="Y13" s="175"/>
      <c r="Z13" s="176"/>
      <c r="AA13" s="177">
        <f t="shared" si="5"/>
        <v>0</v>
      </c>
      <c r="AB13" s="176"/>
      <c r="AC13" s="177">
        <f t="shared" si="12"/>
        <v>0</v>
      </c>
      <c r="AD13" s="178">
        <f t="shared" si="13"/>
        <v>0</v>
      </c>
      <c r="AE13" s="307"/>
      <c r="AF13" s="160"/>
      <c r="AG13" s="179"/>
      <c r="AH13" s="310"/>
      <c r="AI13" s="179"/>
      <c r="AJ13" s="180"/>
      <c r="AK13" s="181"/>
      <c r="AL13" s="182"/>
    </row>
    <row r="14" spans="2:38" ht="30" customHeight="1" x14ac:dyDescent="0.2">
      <c r="B14" s="120" t="str">
        <f>IF(COUNTBLANK(O14:AL14)=20,"",IF(AND(N14&lt;&gt;"",OR(EXPEDIENTE!$F$25="",EXPEDIENTE!$F$27="")),0,""))</f>
        <v/>
      </c>
      <c r="C14" s="120" t="str">
        <f t="shared" si="1"/>
        <v/>
      </c>
      <c r="D14" s="120" t="str">
        <f t="shared" si="8"/>
        <v/>
      </c>
      <c r="E14" s="120" t="str">
        <f>IF(Q14="","",IF(AND(N14=1,OR(Q14&lt;EXPEDIENTE!$F$25,Q14&gt;EXPEDIENTE!$F$27)),3,""))</f>
        <v/>
      </c>
      <c r="F14" s="120" t="str">
        <f t="shared" si="9"/>
        <v/>
      </c>
      <c r="G14" s="120" t="str">
        <f t="shared" si="10"/>
        <v/>
      </c>
      <c r="H14" s="120" t="str">
        <f t="shared" si="11"/>
        <v/>
      </c>
      <c r="I14" s="120" t="str">
        <f>IF(Q14="","",IF(AF14="","",IF(AND(N14=1,OR(AF14&lt;EXPEDIENTE!$F$25,AF14&gt;EXPEDIENTE!$F$29)),7,"")))</f>
        <v/>
      </c>
      <c r="J14" s="120" t="b">
        <f t="shared" si="3"/>
        <v>0</v>
      </c>
      <c r="K14" s="120">
        <f>IF(AF14&lt;EXPEDIENTE!$I$25,-1,IF(AF14&gt;EXPEDIENTE!$I$29,1,0))</f>
        <v>0</v>
      </c>
      <c r="L14" s="165" t="str">
        <f>IF(IFERROR(VLOOKUP(J14,AUXILIAR!$AF$6:$AG$15,2,FALSE),"")="","",VLOOKUP(J14,AUXILIAR!$AF$6:$AG$15,2,FALSE))</f>
        <v/>
      </c>
      <c r="M14" s="166">
        <v>6</v>
      </c>
      <c r="N14" s="147" t="str">
        <f t="shared" si="4"/>
        <v/>
      </c>
      <c r="O14" s="167"/>
      <c r="P14" s="168"/>
      <c r="Q14" s="169"/>
      <c r="R14" s="170"/>
      <c r="S14" s="171"/>
      <c r="T14" s="170"/>
      <c r="U14" s="170"/>
      <c r="V14" s="172"/>
      <c r="W14" s="173"/>
      <c r="X14" s="174"/>
      <c r="Y14" s="175"/>
      <c r="Z14" s="176"/>
      <c r="AA14" s="177">
        <f t="shared" si="5"/>
        <v>0</v>
      </c>
      <c r="AB14" s="176"/>
      <c r="AC14" s="177">
        <f t="shared" si="12"/>
        <v>0</v>
      </c>
      <c r="AD14" s="178">
        <f t="shared" si="13"/>
        <v>0</v>
      </c>
      <c r="AE14" s="307"/>
      <c r="AF14" s="160"/>
      <c r="AG14" s="179"/>
      <c r="AH14" s="310"/>
      <c r="AI14" s="179"/>
      <c r="AJ14" s="180"/>
      <c r="AK14" s="181"/>
      <c r="AL14" s="182"/>
    </row>
    <row r="15" spans="2:38" ht="30" customHeight="1" x14ac:dyDescent="0.2">
      <c r="B15" s="120" t="str">
        <f>IF(COUNTBLANK(O15:AL15)=20,"",IF(AND(N15&lt;&gt;"",OR(EXPEDIENTE!$F$25="",EXPEDIENTE!$F$27="")),0,""))</f>
        <v/>
      </c>
      <c r="C15" s="120" t="str">
        <f t="shared" si="1"/>
        <v/>
      </c>
      <c r="D15" s="120" t="str">
        <f t="shared" si="8"/>
        <v/>
      </c>
      <c r="E15" s="120" t="str">
        <f>IF(Q15="","",IF(AND(N15=1,OR(Q15&lt;EXPEDIENTE!$F$25,Q15&gt;EXPEDIENTE!$F$27)),3,""))</f>
        <v/>
      </c>
      <c r="F15" s="120" t="str">
        <f t="shared" si="9"/>
        <v/>
      </c>
      <c r="G15" s="120" t="str">
        <f t="shared" si="10"/>
        <v/>
      </c>
      <c r="H15" s="120" t="str">
        <f t="shared" si="11"/>
        <v/>
      </c>
      <c r="I15" s="120" t="str">
        <f>IF(Q15="","",IF(AF15="","",IF(AND(N15=1,OR(AF15&lt;EXPEDIENTE!$F$25,AF15&gt;EXPEDIENTE!$F$29)),7,"")))</f>
        <v/>
      </c>
      <c r="J15" s="120" t="b">
        <f t="shared" si="3"/>
        <v>0</v>
      </c>
      <c r="K15" s="120">
        <f>IF(AF15&lt;EXPEDIENTE!$I$25,-1,IF(AF15&gt;EXPEDIENTE!$I$29,1,0))</f>
        <v>0</v>
      </c>
      <c r="L15" s="165" t="str">
        <f>IF(IFERROR(VLOOKUP(J15,AUXILIAR!$AF$6:$AG$15,2,FALSE),"")="","",VLOOKUP(J15,AUXILIAR!$AF$6:$AG$15,2,FALSE))</f>
        <v/>
      </c>
      <c r="M15" s="166">
        <v>7</v>
      </c>
      <c r="N15" s="147" t="str">
        <f t="shared" si="4"/>
        <v/>
      </c>
      <c r="O15" s="167"/>
      <c r="P15" s="168"/>
      <c r="Q15" s="169"/>
      <c r="R15" s="170"/>
      <c r="S15" s="171"/>
      <c r="T15" s="170"/>
      <c r="U15" s="170"/>
      <c r="V15" s="172"/>
      <c r="W15" s="173"/>
      <c r="X15" s="174"/>
      <c r="Y15" s="175"/>
      <c r="Z15" s="176"/>
      <c r="AA15" s="177">
        <f t="shared" si="5"/>
        <v>0</v>
      </c>
      <c r="AB15" s="176"/>
      <c r="AC15" s="177">
        <f t="shared" si="12"/>
        <v>0</v>
      </c>
      <c r="AD15" s="178">
        <f t="shared" si="13"/>
        <v>0</v>
      </c>
      <c r="AE15" s="307"/>
      <c r="AF15" s="160"/>
      <c r="AG15" s="179"/>
      <c r="AH15" s="310"/>
      <c r="AI15" s="179"/>
      <c r="AJ15" s="180"/>
      <c r="AK15" s="181"/>
      <c r="AL15" s="182"/>
    </row>
    <row r="16" spans="2:38" ht="30" customHeight="1" x14ac:dyDescent="0.2">
      <c r="B16" s="120" t="str">
        <f>IF(COUNTBLANK(O16:AL16)=20,"",IF(AND(N16&lt;&gt;"",OR(EXPEDIENTE!$F$25="",EXPEDIENTE!$F$27="")),0,""))</f>
        <v/>
      </c>
      <c r="C16" s="120" t="str">
        <f t="shared" si="1"/>
        <v/>
      </c>
      <c r="D16" s="120" t="str">
        <f t="shared" si="8"/>
        <v/>
      </c>
      <c r="E16" s="120" t="str">
        <f>IF(Q16="","",IF(AND(N16=1,OR(Q16&lt;EXPEDIENTE!$F$25,Q16&gt;EXPEDIENTE!$F$27)),3,""))</f>
        <v/>
      </c>
      <c r="F16" s="120" t="str">
        <f t="shared" si="9"/>
        <v/>
      </c>
      <c r="G16" s="120" t="str">
        <f t="shared" si="10"/>
        <v/>
      </c>
      <c r="H16" s="120" t="str">
        <f t="shared" si="11"/>
        <v/>
      </c>
      <c r="I16" s="120" t="str">
        <f>IF(Q16="","",IF(AF16="","",IF(AND(N16=1,OR(AF16&lt;EXPEDIENTE!$F$25,AF16&gt;EXPEDIENTE!$F$29)),7,"")))</f>
        <v/>
      </c>
      <c r="J16" s="120" t="b">
        <f t="shared" si="3"/>
        <v>0</v>
      </c>
      <c r="K16" s="120">
        <f>IF(AF16&lt;EXPEDIENTE!$I$25,-1,IF(AF16&gt;EXPEDIENTE!$I$29,1,0))</f>
        <v>0</v>
      </c>
      <c r="L16" s="165" t="str">
        <f>IF(IFERROR(VLOOKUP(J16,AUXILIAR!$AF$6:$AG$15,2,FALSE),"")="","",VLOOKUP(J16,AUXILIAR!$AF$6:$AG$15,2,FALSE))</f>
        <v/>
      </c>
      <c r="M16" s="166">
        <v>8</v>
      </c>
      <c r="N16" s="147" t="str">
        <f t="shared" si="4"/>
        <v/>
      </c>
      <c r="O16" s="167"/>
      <c r="P16" s="168"/>
      <c r="Q16" s="169"/>
      <c r="R16" s="170"/>
      <c r="S16" s="171"/>
      <c r="T16" s="170"/>
      <c r="U16" s="170"/>
      <c r="V16" s="172"/>
      <c r="W16" s="173"/>
      <c r="X16" s="174"/>
      <c r="Y16" s="175"/>
      <c r="Z16" s="176"/>
      <c r="AA16" s="177">
        <f t="shared" si="5"/>
        <v>0</v>
      </c>
      <c r="AB16" s="176"/>
      <c r="AC16" s="177">
        <f t="shared" si="12"/>
        <v>0</v>
      </c>
      <c r="AD16" s="178">
        <f t="shared" si="13"/>
        <v>0</v>
      </c>
      <c r="AE16" s="307"/>
      <c r="AF16" s="160"/>
      <c r="AG16" s="179"/>
      <c r="AH16" s="310"/>
      <c r="AI16" s="179"/>
      <c r="AJ16" s="180"/>
      <c r="AK16" s="181"/>
      <c r="AL16" s="182"/>
    </row>
    <row r="17" spans="2:38" ht="30" customHeight="1" x14ac:dyDescent="0.2">
      <c r="B17" s="120" t="str">
        <f>IF(COUNTBLANK(O17:AL17)=20,"",IF(AND(N17&lt;&gt;"",OR(EXPEDIENTE!$F$25="",EXPEDIENTE!$F$27="")),0,""))</f>
        <v/>
      </c>
      <c r="C17" s="120" t="str">
        <f t="shared" si="1"/>
        <v/>
      </c>
      <c r="D17" s="120" t="str">
        <f t="shared" si="8"/>
        <v/>
      </c>
      <c r="E17" s="120" t="str">
        <f>IF(Q17="","",IF(AND(N17=1,OR(Q17&lt;EXPEDIENTE!$F$25,Q17&gt;EXPEDIENTE!$F$27)),3,""))</f>
        <v/>
      </c>
      <c r="F17" s="120" t="str">
        <f t="shared" si="9"/>
        <v/>
      </c>
      <c r="G17" s="120" t="str">
        <f t="shared" si="10"/>
        <v/>
      </c>
      <c r="H17" s="120" t="str">
        <f t="shared" si="11"/>
        <v/>
      </c>
      <c r="I17" s="120" t="str">
        <f>IF(Q17="","",IF(AF17="","",IF(AND(N17=1,OR(AF17&lt;EXPEDIENTE!$F$25,AF17&gt;EXPEDIENTE!$F$29)),7,"")))</f>
        <v/>
      </c>
      <c r="J17" s="120" t="b">
        <f t="shared" si="3"/>
        <v>0</v>
      </c>
      <c r="K17" s="120">
        <f>IF(AF17&lt;EXPEDIENTE!$I$25,-1,IF(AF17&gt;EXPEDIENTE!$I$29,1,0))</f>
        <v>0</v>
      </c>
      <c r="L17" s="165" t="str">
        <f>IF(IFERROR(VLOOKUP(J17,AUXILIAR!$AF$6:$AG$15,2,FALSE),"")="","",VLOOKUP(J17,AUXILIAR!$AF$6:$AG$15,2,FALSE))</f>
        <v/>
      </c>
      <c r="M17" s="166">
        <v>9</v>
      </c>
      <c r="N17" s="147" t="str">
        <f t="shared" si="4"/>
        <v/>
      </c>
      <c r="O17" s="167"/>
      <c r="P17" s="168"/>
      <c r="Q17" s="169"/>
      <c r="R17" s="170"/>
      <c r="S17" s="171"/>
      <c r="T17" s="170"/>
      <c r="U17" s="170"/>
      <c r="V17" s="172"/>
      <c r="W17" s="173"/>
      <c r="X17" s="174"/>
      <c r="Y17" s="175"/>
      <c r="Z17" s="176"/>
      <c r="AA17" s="177">
        <f t="shared" si="5"/>
        <v>0</v>
      </c>
      <c r="AB17" s="176"/>
      <c r="AC17" s="177">
        <f t="shared" si="12"/>
        <v>0</v>
      </c>
      <c r="AD17" s="178">
        <f t="shared" si="13"/>
        <v>0</v>
      </c>
      <c r="AE17" s="307"/>
      <c r="AF17" s="160"/>
      <c r="AG17" s="179"/>
      <c r="AH17" s="310"/>
      <c r="AI17" s="179"/>
      <c r="AJ17" s="180"/>
      <c r="AK17" s="181"/>
      <c r="AL17" s="182"/>
    </row>
    <row r="18" spans="2:38" ht="30" customHeight="1" x14ac:dyDescent="0.2">
      <c r="B18" s="120" t="str">
        <f>IF(COUNTBLANK(O18:AL18)=20,"",IF(AND(N18&lt;&gt;"",OR(EXPEDIENTE!$F$25="",EXPEDIENTE!$F$27="")),0,""))</f>
        <v/>
      </c>
      <c r="C18" s="120" t="str">
        <f t="shared" si="1"/>
        <v/>
      </c>
      <c r="D18" s="120" t="str">
        <f t="shared" si="8"/>
        <v/>
      </c>
      <c r="E18" s="120" t="str">
        <f>IF(Q18="","",IF(AND(N18=1,OR(Q18&lt;EXPEDIENTE!$F$25,Q18&gt;EXPEDIENTE!$F$27)),3,""))</f>
        <v/>
      </c>
      <c r="F18" s="120" t="str">
        <f t="shared" si="9"/>
        <v/>
      </c>
      <c r="G18" s="120" t="str">
        <f t="shared" si="10"/>
        <v/>
      </c>
      <c r="H18" s="120" t="str">
        <f t="shared" si="11"/>
        <v/>
      </c>
      <c r="I18" s="120" t="str">
        <f>IF(Q18="","",IF(AF18="","",IF(AND(N18=1,OR(AF18&lt;EXPEDIENTE!$F$25,AF18&gt;EXPEDIENTE!$F$29)),7,"")))</f>
        <v/>
      </c>
      <c r="J18" s="120" t="b">
        <f t="shared" si="3"/>
        <v>0</v>
      </c>
      <c r="K18" s="120">
        <f>IF(AF18&lt;EXPEDIENTE!$I$25,-1,IF(AF18&gt;EXPEDIENTE!$I$29,1,0))</f>
        <v>0</v>
      </c>
      <c r="L18" s="165" t="str">
        <f>IF(IFERROR(VLOOKUP(J18,AUXILIAR!$AF$6:$AG$15,2,FALSE),"")="","",VLOOKUP(J18,AUXILIAR!$AF$6:$AG$15,2,FALSE))</f>
        <v/>
      </c>
      <c r="M18" s="166">
        <v>10</v>
      </c>
      <c r="N18" s="147" t="str">
        <f t="shared" si="4"/>
        <v/>
      </c>
      <c r="O18" s="167"/>
      <c r="P18" s="168"/>
      <c r="Q18" s="169"/>
      <c r="R18" s="170"/>
      <c r="S18" s="171"/>
      <c r="T18" s="170"/>
      <c r="U18" s="170"/>
      <c r="V18" s="172"/>
      <c r="W18" s="173"/>
      <c r="X18" s="174"/>
      <c r="Y18" s="175"/>
      <c r="Z18" s="176"/>
      <c r="AA18" s="177">
        <f t="shared" si="5"/>
        <v>0</v>
      </c>
      <c r="AB18" s="176"/>
      <c r="AC18" s="177">
        <f t="shared" si="12"/>
        <v>0</v>
      </c>
      <c r="AD18" s="178">
        <f t="shared" si="13"/>
        <v>0</v>
      </c>
      <c r="AE18" s="307"/>
      <c r="AF18" s="160"/>
      <c r="AG18" s="179"/>
      <c r="AH18" s="310"/>
      <c r="AI18" s="179"/>
      <c r="AJ18" s="180"/>
      <c r="AK18" s="181"/>
      <c r="AL18" s="182"/>
    </row>
    <row r="19" spans="2:38" ht="30" customHeight="1" x14ac:dyDescent="0.2">
      <c r="B19" s="120" t="str">
        <f>IF(COUNTBLANK(O19:AL19)=20,"",IF(AND(N19&lt;&gt;"",OR(EXPEDIENTE!$F$25="",EXPEDIENTE!$F$27="")),0,""))</f>
        <v/>
      </c>
      <c r="C19" s="120" t="str">
        <f t="shared" si="1"/>
        <v/>
      </c>
      <c r="D19" s="120" t="str">
        <f t="shared" si="8"/>
        <v/>
      </c>
      <c r="E19" s="120" t="str">
        <f>IF(Q19="","",IF(AND(N19=1,OR(Q19&lt;EXPEDIENTE!$F$25,Q19&gt;EXPEDIENTE!$F$27)),3,""))</f>
        <v/>
      </c>
      <c r="F19" s="120" t="str">
        <f t="shared" si="9"/>
        <v/>
      </c>
      <c r="G19" s="120" t="str">
        <f t="shared" si="10"/>
        <v/>
      </c>
      <c r="H19" s="120" t="str">
        <f t="shared" si="11"/>
        <v/>
      </c>
      <c r="I19" s="120" t="str">
        <f>IF(Q19="","",IF(AF19="","",IF(AND(N19=1,OR(AF19&lt;EXPEDIENTE!$F$25,AF19&gt;EXPEDIENTE!$F$29)),7,"")))</f>
        <v/>
      </c>
      <c r="J19" s="120" t="b">
        <f t="shared" si="3"/>
        <v>0</v>
      </c>
      <c r="K19" s="120">
        <f>IF(AF19&lt;EXPEDIENTE!$I$25,-1,IF(AF19&gt;EXPEDIENTE!$I$29,1,0))</f>
        <v>0</v>
      </c>
      <c r="L19" s="165" t="str">
        <f>IF(IFERROR(VLOOKUP(J19,AUXILIAR!$AF$6:$AG$15,2,FALSE),"")="","",VLOOKUP(J19,AUXILIAR!$AF$6:$AG$15,2,FALSE))</f>
        <v/>
      </c>
      <c r="M19" s="166">
        <v>11</v>
      </c>
      <c r="N19" s="147" t="str">
        <f t="shared" si="4"/>
        <v/>
      </c>
      <c r="O19" s="167"/>
      <c r="P19" s="168"/>
      <c r="Q19" s="169"/>
      <c r="R19" s="170"/>
      <c r="S19" s="171"/>
      <c r="T19" s="170"/>
      <c r="U19" s="170"/>
      <c r="V19" s="172"/>
      <c r="W19" s="173"/>
      <c r="X19" s="174"/>
      <c r="Y19" s="175"/>
      <c r="Z19" s="176"/>
      <c r="AA19" s="177">
        <f t="shared" si="5"/>
        <v>0</v>
      </c>
      <c r="AB19" s="176"/>
      <c r="AC19" s="177">
        <f t="shared" si="12"/>
        <v>0</v>
      </c>
      <c r="AD19" s="178">
        <f t="shared" si="13"/>
        <v>0</v>
      </c>
      <c r="AE19" s="307"/>
      <c r="AF19" s="160"/>
      <c r="AG19" s="179"/>
      <c r="AH19" s="310"/>
      <c r="AI19" s="179"/>
      <c r="AJ19" s="180"/>
      <c r="AK19" s="181"/>
      <c r="AL19" s="182"/>
    </row>
    <row r="20" spans="2:38" ht="30" customHeight="1" x14ac:dyDescent="0.2">
      <c r="B20" s="120" t="str">
        <f>IF(COUNTBLANK(O20:AL20)=20,"",IF(AND(N20&lt;&gt;"",OR(EXPEDIENTE!$F$25="",EXPEDIENTE!$F$27="")),0,""))</f>
        <v/>
      </c>
      <c r="C20" s="120" t="str">
        <f t="shared" si="1"/>
        <v/>
      </c>
      <c r="D20" s="120" t="str">
        <f t="shared" si="8"/>
        <v/>
      </c>
      <c r="E20" s="120" t="str">
        <f>IF(Q20="","",IF(AND(N20=1,OR(Q20&lt;EXPEDIENTE!$F$25,Q20&gt;EXPEDIENTE!$F$27)),3,""))</f>
        <v/>
      </c>
      <c r="F20" s="120" t="str">
        <f t="shared" si="9"/>
        <v/>
      </c>
      <c r="G20" s="120" t="str">
        <f t="shared" si="10"/>
        <v/>
      </c>
      <c r="H20" s="120" t="str">
        <f t="shared" si="11"/>
        <v/>
      </c>
      <c r="I20" s="120" t="str">
        <f>IF(Q20="","",IF(AF20="","",IF(AND(N20=1,OR(AF20&lt;EXPEDIENTE!$F$25,AF20&gt;EXPEDIENTE!$F$29)),7,"")))</f>
        <v/>
      </c>
      <c r="J20" s="120" t="b">
        <f t="shared" si="3"/>
        <v>0</v>
      </c>
      <c r="K20" s="120">
        <f>IF(AF20&lt;EXPEDIENTE!$I$25,-1,IF(AF20&gt;EXPEDIENTE!$I$29,1,0))</f>
        <v>0</v>
      </c>
      <c r="L20" s="165" t="str">
        <f>IF(IFERROR(VLOOKUP(J20,AUXILIAR!$AF$6:$AG$15,2,FALSE),"")="","",VLOOKUP(J20,AUXILIAR!$AF$6:$AG$15,2,FALSE))</f>
        <v/>
      </c>
      <c r="M20" s="166">
        <v>12</v>
      </c>
      <c r="N20" s="147" t="str">
        <f t="shared" si="4"/>
        <v/>
      </c>
      <c r="O20" s="167"/>
      <c r="P20" s="168"/>
      <c r="Q20" s="169"/>
      <c r="R20" s="170"/>
      <c r="S20" s="171"/>
      <c r="T20" s="170"/>
      <c r="U20" s="170"/>
      <c r="V20" s="172"/>
      <c r="W20" s="173"/>
      <c r="X20" s="174"/>
      <c r="Y20" s="175"/>
      <c r="Z20" s="176"/>
      <c r="AA20" s="177">
        <f t="shared" si="5"/>
        <v>0</v>
      </c>
      <c r="AB20" s="176"/>
      <c r="AC20" s="177">
        <f t="shared" si="12"/>
        <v>0</v>
      </c>
      <c r="AD20" s="178">
        <f t="shared" si="13"/>
        <v>0</v>
      </c>
      <c r="AE20" s="307"/>
      <c r="AF20" s="160"/>
      <c r="AG20" s="179"/>
      <c r="AH20" s="310"/>
      <c r="AI20" s="179"/>
      <c r="AJ20" s="180"/>
      <c r="AK20" s="181"/>
      <c r="AL20" s="182"/>
    </row>
    <row r="21" spans="2:38" ht="30" customHeight="1" x14ac:dyDescent="0.2">
      <c r="B21" s="120" t="str">
        <f>IF(COUNTBLANK(O21:AL21)=20,"",IF(AND(N21&lt;&gt;"",OR(EXPEDIENTE!$F$25="",EXPEDIENTE!$F$27="")),0,""))</f>
        <v/>
      </c>
      <c r="C21" s="120" t="str">
        <f t="shared" si="1"/>
        <v/>
      </c>
      <c r="D21" s="120" t="str">
        <f t="shared" si="8"/>
        <v/>
      </c>
      <c r="E21" s="120" t="str">
        <f>IF(Q21="","",IF(AND(N21=1,OR(Q21&lt;EXPEDIENTE!$F$25,Q21&gt;EXPEDIENTE!$F$27)),3,""))</f>
        <v/>
      </c>
      <c r="F21" s="120" t="str">
        <f t="shared" si="9"/>
        <v/>
      </c>
      <c r="G21" s="120" t="str">
        <f t="shared" si="10"/>
        <v/>
      </c>
      <c r="H21" s="120" t="str">
        <f t="shared" si="11"/>
        <v/>
      </c>
      <c r="I21" s="120" t="str">
        <f>IF(Q21="","",IF(AF21="","",IF(AND(N21=1,OR(AF21&lt;EXPEDIENTE!$F$25,AF21&gt;EXPEDIENTE!$F$29)),7,"")))</f>
        <v/>
      </c>
      <c r="J21" s="120" t="b">
        <f t="shared" si="3"/>
        <v>0</v>
      </c>
      <c r="K21" s="120">
        <f>IF(AF21&lt;EXPEDIENTE!$I$25,-1,IF(AF21&gt;EXPEDIENTE!$I$29,1,0))</f>
        <v>0</v>
      </c>
      <c r="L21" s="165" t="str">
        <f>IF(IFERROR(VLOOKUP(J21,AUXILIAR!$AF$6:$AG$15,2,FALSE),"")="","",VLOOKUP(J21,AUXILIAR!$AF$6:$AG$15,2,FALSE))</f>
        <v/>
      </c>
      <c r="M21" s="166">
        <v>13</v>
      </c>
      <c r="N21" s="147" t="str">
        <f t="shared" si="4"/>
        <v/>
      </c>
      <c r="O21" s="167"/>
      <c r="P21" s="168"/>
      <c r="Q21" s="169"/>
      <c r="R21" s="170"/>
      <c r="S21" s="171"/>
      <c r="T21" s="170"/>
      <c r="U21" s="170"/>
      <c r="V21" s="172"/>
      <c r="W21" s="173"/>
      <c r="X21" s="174"/>
      <c r="Y21" s="175"/>
      <c r="Z21" s="176"/>
      <c r="AA21" s="177">
        <f t="shared" si="5"/>
        <v>0</v>
      </c>
      <c r="AB21" s="176"/>
      <c r="AC21" s="177">
        <f t="shared" si="12"/>
        <v>0</v>
      </c>
      <c r="AD21" s="178">
        <f t="shared" si="13"/>
        <v>0</v>
      </c>
      <c r="AE21" s="307"/>
      <c r="AF21" s="160"/>
      <c r="AG21" s="179"/>
      <c r="AH21" s="310"/>
      <c r="AI21" s="179"/>
      <c r="AJ21" s="180"/>
      <c r="AK21" s="181"/>
      <c r="AL21" s="182"/>
    </row>
    <row r="22" spans="2:38" ht="30" customHeight="1" x14ac:dyDescent="0.2">
      <c r="B22" s="120" t="str">
        <f>IF(COUNTBLANK(O22:AL22)=20,"",IF(AND(N22&lt;&gt;"",OR(EXPEDIENTE!$F$25="",EXPEDIENTE!$F$27="")),0,""))</f>
        <v/>
      </c>
      <c r="C22" s="120" t="str">
        <f t="shared" si="1"/>
        <v/>
      </c>
      <c r="D22" s="120" t="str">
        <f t="shared" si="8"/>
        <v/>
      </c>
      <c r="E22" s="120" t="str">
        <f>IF(Q22="","",IF(AND(N22=1,OR(Q22&lt;EXPEDIENTE!$F$25,Q22&gt;EXPEDIENTE!$F$27)),3,""))</f>
        <v/>
      </c>
      <c r="F22" s="120" t="str">
        <f t="shared" si="9"/>
        <v/>
      </c>
      <c r="G22" s="120" t="str">
        <f t="shared" si="10"/>
        <v/>
      </c>
      <c r="H22" s="120" t="str">
        <f t="shared" si="11"/>
        <v/>
      </c>
      <c r="I22" s="120" t="str">
        <f>IF(Q22="","",IF(AF22="","",IF(AND(N22=1,OR(AF22&lt;EXPEDIENTE!$F$25,AF22&gt;EXPEDIENTE!$F$29)),7,"")))</f>
        <v/>
      </c>
      <c r="J22" s="120" t="b">
        <f t="shared" si="3"/>
        <v>0</v>
      </c>
      <c r="K22" s="120">
        <f>IF(AF22&lt;EXPEDIENTE!$I$25,-1,IF(AF22&gt;EXPEDIENTE!$I$29,1,0))</f>
        <v>0</v>
      </c>
      <c r="L22" s="165" t="str">
        <f>IF(IFERROR(VLOOKUP(J22,AUXILIAR!$AF$6:$AG$15,2,FALSE),"")="","",VLOOKUP(J22,AUXILIAR!$AF$6:$AG$15,2,FALSE))</f>
        <v/>
      </c>
      <c r="M22" s="166">
        <v>14</v>
      </c>
      <c r="N22" s="147" t="str">
        <f t="shared" si="4"/>
        <v/>
      </c>
      <c r="O22" s="167"/>
      <c r="P22" s="168"/>
      <c r="Q22" s="169"/>
      <c r="R22" s="170"/>
      <c r="S22" s="171"/>
      <c r="T22" s="170"/>
      <c r="U22" s="170"/>
      <c r="V22" s="172"/>
      <c r="W22" s="173"/>
      <c r="X22" s="174"/>
      <c r="Y22" s="175"/>
      <c r="Z22" s="176"/>
      <c r="AA22" s="177">
        <f t="shared" si="5"/>
        <v>0</v>
      </c>
      <c r="AB22" s="176"/>
      <c r="AC22" s="177">
        <f t="shared" si="12"/>
        <v>0</v>
      </c>
      <c r="AD22" s="178">
        <f t="shared" si="13"/>
        <v>0</v>
      </c>
      <c r="AE22" s="307"/>
      <c r="AF22" s="160"/>
      <c r="AG22" s="179"/>
      <c r="AH22" s="310"/>
      <c r="AI22" s="179"/>
      <c r="AJ22" s="180"/>
      <c r="AK22" s="181"/>
      <c r="AL22" s="182"/>
    </row>
    <row r="23" spans="2:38" ht="30" customHeight="1" x14ac:dyDescent="0.2">
      <c r="B23" s="120" t="str">
        <f>IF(COUNTBLANK(O23:AL23)=20,"",IF(AND(N23&lt;&gt;"",OR(EXPEDIENTE!$F$25="",EXPEDIENTE!$F$27="")),0,""))</f>
        <v/>
      </c>
      <c r="C23" s="120" t="str">
        <f t="shared" si="1"/>
        <v/>
      </c>
      <c r="D23" s="120" t="str">
        <f t="shared" si="8"/>
        <v/>
      </c>
      <c r="E23" s="120" t="str">
        <f>IF(Q23="","",IF(AND(N23=1,OR(Q23&lt;EXPEDIENTE!$F$25,Q23&gt;EXPEDIENTE!$F$27)),3,""))</f>
        <v/>
      </c>
      <c r="F23" s="120" t="str">
        <f t="shared" si="9"/>
        <v/>
      </c>
      <c r="G23" s="120" t="str">
        <f t="shared" si="10"/>
        <v/>
      </c>
      <c r="H23" s="120" t="str">
        <f t="shared" si="11"/>
        <v/>
      </c>
      <c r="I23" s="120" t="str">
        <f>IF(Q23="","",IF(AF23="","",IF(AND(N23=1,OR(AF23&lt;EXPEDIENTE!$F$25,AF23&gt;EXPEDIENTE!$F$29)),7,"")))</f>
        <v/>
      </c>
      <c r="J23" s="120" t="b">
        <f t="shared" si="3"/>
        <v>0</v>
      </c>
      <c r="K23" s="120">
        <f>IF(AF23&lt;EXPEDIENTE!$I$25,-1,IF(AF23&gt;EXPEDIENTE!$I$29,1,0))</f>
        <v>0</v>
      </c>
      <c r="L23" s="165" t="str">
        <f>IF(IFERROR(VLOOKUP(J23,AUXILIAR!$AF$6:$AG$15,2,FALSE),"")="","",VLOOKUP(J23,AUXILIAR!$AF$6:$AG$15,2,FALSE))</f>
        <v/>
      </c>
      <c r="M23" s="166">
        <v>15</v>
      </c>
      <c r="N23" s="147" t="str">
        <f t="shared" si="4"/>
        <v/>
      </c>
      <c r="O23" s="167"/>
      <c r="P23" s="168"/>
      <c r="Q23" s="169"/>
      <c r="R23" s="170"/>
      <c r="S23" s="171"/>
      <c r="T23" s="170"/>
      <c r="U23" s="170"/>
      <c r="V23" s="172"/>
      <c r="W23" s="173"/>
      <c r="X23" s="174"/>
      <c r="Y23" s="175"/>
      <c r="Z23" s="176"/>
      <c r="AA23" s="177">
        <f t="shared" si="5"/>
        <v>0</v>
      </c>
      <c r="AB23" s="176"/>
      <c r="AC23" s="177">
        <f t="shared" si="12"/>
        <v>0</v>
      </c>
      <c r="AD23" s="178">
        <f t="shared" si="13"/>
        <v>0</v>
      </c>
      <c r="AE23" s="307"/>
      <c r="AF23" s="160"/>
      <c r="AG23" s="179"/>
      <c r="AH23" s="310"/>
      <c r="AI23" s="179"/>
      <c r="AJ23" s="180"/>
      <c r="AK23" s="181"/>
      <c r="AL23" s="182"/>
    </row>
    <row r="24" spans="2:38" ht="30" customHeight="1" x14ac:dyDescent="0.2">
      <c r="B24" s="120" t="str">
        <f>IF(COUNTBLANK(O24:AL24)=20,"",IF(AND(N24&lt;&gt;"",OR(EXPEDIENTE!$F$25="",EXPEDIENTE!$F$27="")),0,""))</f>
        <v/>
      </c>
      <c r="C24" s="120" t="str">
        <f t="shared" si="1"/>
        <v/>
      </c>
      <c r="D24" s="120" t="str">
        <f t="shared" si="8"/>
        <v/>
      </c>
      <c r="E24" s="120" t="str">
        <f>IF(Q24="","",IF(AND(N24=1,OR(Q24&lt;EXPEDIENTE!$F$25,Q24&gt;EXPEDIENTE!$F$27)),3,""))</f>
        <v/>
      </c>
      <c r="F24" s="120" t="str">
        <f t="shared" si="9"/>
        <v/>
      </c>
      <c r="G24" s="120" t="str">
        <f t="shared" si="10"/>
        <v/>
      </c>
      <c r="H24" s="120" t="str">
        <f t="shared" si="11"/>
        <v/>
      </c>
      <c r="I24" s="120" t="str">
        <f>IF(Q24="","",IF(AF24="","",IF(AND(N24=1,OR(AF24&lt;EXPEDIENTE!$F$25,AF24&gt;EXPEDIENTE!$F$29)),7,"")))</f>
        <v/>
      </c>
      <c r="J24" s="120" t="b">
        <f t="shared" si="3"/>
        <v>0</v>
      </c>
      <c r="K24" s="120">
        <f>IF(AF24&lt;EXPEDIENTE!$I$25,-1,IF(AF24&gt;EXPEDIENTE!$I$29,1,0))</f>
        <v>0</v>
      </c>
      <c r="L24" s="165" t="str">
        <f>IF(IFERROR(VLOOKUP(J24,AUXILIAR!$AF$6:$AG$15,2,FALSE),"")="","",VLOOKUP(J24,AUXILIAR!$AF$6:$AG$15,2,FALSE))</f>
        <v/>
      </c>
      <c r="M24" s="166">
        <v>16</v>
      </c>
      <c r="N24" s="147" t="str">
        <f t="shared" si="4"/>
        <v/>
      </c>
      <c r="O24" s="167"/>
      <c r="P24" s="168"/>
      <c r="Q24" s="169"/>
      <c r="R24" s="170"/>
      <c r="S24" s="171"/>
      <c r="T24" s="170"/>
      <c r="U24" s="170"/>
      <c r="V24" s="172"/>
      <c r="W24" s="173"/>
      <c r="X24" s="174"/>
      <c r="Y24" s="175"/>
      <c r="Z24" s="176"/>
      <c r="AA24" s="177">
        <f t="shared" si="5"/>
        <v>0</v>
      </c>
      <c r="AB24" s="176"/>
      <c r="AC24" s="177">
        <f t="shared" si="12"/>
        <v>0</v>
      </c>
      <c r="AD24" s="178">
        <f t="shared" si="13"/>
        <v>0</v>
      </c>
      <c r="AE24" s="307"/>
      <c r="AF24" s="160"/>
      <c r="AG24" s="179"/>
      <c r="AH24" s="310"/>
      <c r="AI24" s="179"/>
      <c r="AJ24" s="180"/>
      <c r="AK24" s="181"/>
      <c r="AL24" s="182"/>
    </row>
    <row r="25" spans="2:38" ht="30" customHeight="1" x14ac:dyDescent="0.2">
      <c r="B25" s="120" t="str">
        <f>IF(COUNTBLANK(O25:AL25)=20,"",IF(AND(N25&lt;&gt;"",OR(EXPEDIENTE!$F$25="",EXPEDIENTE!$F$27="")),0,""))</f>
        <v/>
      </c>
      <c r="C25" s="120" t="str">
        <f t="shared" si="1"/>
        <v/>
      </c>
      <c r="D25" s="120" t="str">
        <f t="shared" si="8"/>
        <v/>
      </c>
      <c r="E25" s="120" t="str">
        <f>IF(Q25="","",IF(AND(N25=1,OR(Q25&lt;EXPEDIENTE!$F$25,Q25&gt;EXPEDIENTE!$F$27)),3,""))</f>
        <v/>
      </c>
      <c r="F25" s="120" t="str">
        <f t="shared" si="9"/>
        <v/>
      </c>
      <c r="G25" s="120" t="str">
        <f t="shared" si="10"/>
        <v/>
      </c>
      <c r="H25" s="120" t="str">
        <f t="shared" si="11"/>
        <v/>
      </c>
      <c r="I25" s="120" t="str">
        <f>IF(Q25="","",IF(AF25="","",IF(AND(N25=1,OR(AF25&lt;EXPEDIENTE!$F$25,AF25&gt;EXPEDIENTE!$F$29)),7,"")))</f>
        <v/>
      </c>
      <c r="J25" s="120" t="b">
        <f t="shared" si="3"/>
        <v>0</v>
      </c>
      <c r="K25" s="120">
        <f>IF(AF25&lt;EXPEDIENTE!$I$25,-1,IF(AF25&gt;EXPEDIENTE!$I$29,1,0))</f>
        <v>0</v>
      </c>
      <c r="L25" s="165" t="str">
        <f>IF(IFERROR(VLOOKUP(J25,AUXILIAR!$AF$6:$AG$15,2,FALSE),"")="","",VLOOKUP(J25,AUXILIAR!$AF$6:$AG$15,2,FALSE))</f>
        <v/>
      </c>
      <c r="M25" s="166">
        <v>17</v>
      </c>
      <c r="N25" s="147" t="str">
        <f t="shared" si="4"/>
        <v/>
      </c>
      <c r="O25" s="167"/>
      <c r="P25" s="168"/>
      <c r="Q25" s="169"/>
      <c r="R25" s="170"/>
      <c r="S25" s="171"/>
      <c r="T25" s="170"/>
      <c r="U25" s="170"/>
      <c r="V25" s="172"/>
      <c r="W25" s="173"/>
      <c r="X25" s="174"/>
      <c r="Y25" s="175"/>
      <c r="Z25" s="176"/>
      <c r="AA25" s="177">
        <f t="shared" si="5"/>
        <v>0</v>
      </c>
      <c r="AB25" s="176"/>
      <c r="AC25" s="177">
        <f t="shared" si="12"/>
        <v>0</v>
      </c>
      <c r="AD25" s="178">
        <f t="shared" si="13"/>
        <v>0</v>
      </c>
      <c r="AE25" s="307"/>
      <c r="AF25" s="160"/>
      <c r="AG25" s="179"/>
      <c r="AH25" s="310"/>
      <c r="AI25" s="179"/>
      <c r="AJ25" s="180"/>
      <c r="AK25" s="181"/>
      <c r="AL25" s="182"/>
    </row>
    <row r="26" spans="2:38" ht="30" customHeight="1" x14ac:dyDescent="0.2">
      <c r="B26" s="120" t="str">
        <f>IF(COUNTBLANK(O26:AL26)=20,"",IF(AND(N26&lt;&gt;"",OR(EXPEDIENTE!$F$25="",EXPEDIENTE!$F$27="")),0,""))</f>
        <v/>
      </c>
      <c r="C26" s="120" t="str">
        <f t="shared" si="1"/>
        <v/>
      </c>
      <c r="D26" s="120" t="str">
        <f t="shared" si="8"/>
        <v/>
      </c>
      <c r="E26" s="120" t="str">
        <f>IF(Q26="","",IF(AND(N26=1,OR(Q26&lt;EXPEDIENTE!$F$25,Q26&gt;EXPEDIENTE!$F$27)),3,""))</f>
        <v/>
      </c>
      <c r="F26" s="120" t="str">
        <f t="shared" si="9"/>
        <v/>
      </c>
      <c r="G26" s="120" t="str">
        <f t="shared" si="10"/>
        <v/>
      </c>
      <c r="H26" s="120" t="str">
        <f t="shared" si="11"/>
        <v/>
      </c>
      <c r="I26" s="120" t="str">
        <f>IF(Q26="","",IF(AF26="","",IF(AND(N26=1,OR(AF26&lt;EXPEDIENTE!$F$25,AF26&gt;EXPEDIENTE!$F$29)),7,"")))</f>
        <v/>
      </c>
      <c r="J26" s="120" t="b">
        <f t="shared" si="3"/>
        <v>0</v>
      </c>
      <c r="K26" s="120">
        <f>IF(AF26&lt;EXPEDIENTE!$I$25,-1,IF(AF26&gt;EXPEDIENTE!$I$29,1,0))</f>
        <v>0</v>
      </c>
      <c r="L26" s="165" t="str">
        <f>IF(IFERROR(VLOOKUP(J26,AUXILIAR!$AF$6:$AG$15,2,FALSE),"")="","",VLOOKUP(J26,AUXILIAR!$AF$6:$AG$15,2,FALSE))</f>
        <v/>
      </c>
      <c r="M26" s="166">
        <v>18</v>
      </c>
      <c r="N26" s="147" t="str">
        <f t="shared" si="4"/>
        <v/>
      </c>
      <c r="O26" s="167"/>
      <c r="P26" s="168"/>
      <c r="Q26" s="169"/>
      <c r="R26" s="170"/>
      <c r="S26" s="171"/>
      <c r="T26" s="170"/>
      <c r="U26" s="170"/>
      <c r="V26" s="172"/>
      <c r="W26" s="173"/>
      <c r="X26" s="174"/>
      <c r="Y26" s="175"/>
      <c r="Z26" s="176"/>
      <c r="AA26" s="177">
        <f t="shared" si="5"/>
        <v>0</v>
      </c>
      <c r="AB26" s="176"/>
      <c r="AC26" s="177">
        <f t="shared" si="12"/>
        <v>0</v>
      </c>
      <c r="AD26" s="178">
        <f t="shared" si="13"/>
        <v>0</v>
      </c>
      <c r="AE26" s="307"/>
      <c r="AF26" s="160"/>
      <c r="AG26" s="179"/>
      <c r="AH26" s="310"/>
      <c r="AI26" s="179"/>
      <c r="AJ26" s="180"/>
      <c r="AK26" s="181"/>
      <c r="AL26" s="182"/>
    </row>
    <row r="27" spans="2:38" ht="30" customHeight="1" x14ac:dyDescent="0.2">
      <c r="B27" s="120" t="str">
        <f>IF(COUNTBLANK(O27:AL27)=20,"",IF(AND(N27&lt;&gt;"",OR(EXPEDIENTE!$F$25="",EXPEDIENTE!$F$27="")),0,""))</f>
        <v/>
      </c>
      <c r="C27" s="120" t="str">
        <f t="shared" si="1"/>
        <v/>
      </c>
      <c r="D27" s="120" t="str">
        <f t="shared" si="8"/>
        <v/>
      </c>
      <c r="E27" s="120" t="str">
        <f>IF(Q27="","",IF(AND(N27=1,OR(Q27&lt;EXPEDIENTE!$F$25,Q27&gt;EXPEDIENTE!$F$27)),3,""))</f>
        <v/>
      </c>
      <c r="F27" s="120" t="str">
        <f t="shared" si="9"/>
        <v/>
      </c>
      <c r="G27" s="120" t="str">
        <f t="shared" si="10"/>
        <v/>
      </c>
      <c r="H27" s="120" t="str">
        <f t="shared" si="11"/>
        <v/>
      </c>
      <c r="I27" s="120" t="str">
        <f>IF(Q27="","",IF(AF27="","",IF(AND(N27=1,OR(AF27&lt;EXPEDIENTE!$F$25,AF27&gt;EXPEDIENTE!$F$29)),7,"")))</f>
        <v/>
      </c>
      <c r="J27" s="120" t="b">
        <f t="shared" si="3"/>
        <v>0</v>
      </c>
      <c r="K27" s="120">
        <f>IF(AF27&lt;EXPEDIENTE!$I$25,-1,IF(AF27&gt;EXPEDIENTE!$I$29,1,0))</f>
        <v>0</v>
      </c>
      <c r="L27" s="165" t="str">
        <f>IF(IFERROR(VLOOKUP(J27,AUXILIAR!$AF$6:$AG$15,2,FALSE),"")="","",VLOOKUP(J27,AUXILIAR!$AF$6:$AG$15,2,FALSE))</f>
        <v/>
      </c>
      <c r="M27" s="166">
        <v>19</v>
      </c>
      <c r="N27" s="147" t="str">
        <f t="shared" si="4"/>
        <v/>
      </c>
      <c r="O27" s="167"/>
      <c r="P27" s="168"/>
      <c r="Q27" s="169"/>
      <c r="R27" s="170"/>
      <c r="S27" s="171"/>
      <c r="T27" s="170"/>
      <c r="U27" s="170"/>
      <c r="V27" s="172"/>
      <c r="W27" s="173"/>
      <c r="X27" s="174"/>
      <c r="Y27" s="175"/>
      <c r="Z27" s="176"/>
      <c r="AA27" s="177">
        <f t="shared" si="5"/>
        <v>0</v>
      </c>
      <c r="AB27" s="176"/>
      <c r="AC27" s="177">
        <f t="shared" si="12"/>
        <v>0</v>
      </c>
      <c r="AD27" s="178">
        <f t="shared" si="13"/>
        <v>0</v>
      </c>
      <c r="AE27" s="307"/>
      <c r="AF27" s="160"/>
      <c r="AG27" s="179"/>
      <c r="AH27" s="310"/>
      <c r="AI27" s="179"/>
      <c r="AJ27" s="180"/>
      <c r="AK27" s="181"/>
      <c r="AL27" s="182"/>
    </row>
    <row r="28" spans="2:38" ht="30" customHeight="1" x14ac:dyDescent="0.2">
      <c r="B28" s="120" t="str">
        <f>IF(COUNTBLANK(O28:AL28)=20,"",IF(AND(N28&lt;&gt;"",OR(EXPEDIENTE!$F$25="",EXPEDIENTE!$F$27="")),0,""))</f>
        <v/>
      </c>
      <c r="C28" s="120" t="str">
        <f t="shared" si="1"/>
        <v/>
      </c>
      <c r="D28" s="120" t="str">
        <f t="shared" si="8"/>
        <v/>
      </c>
      <c r="E28" s="120" t="str">
        <f>IF(Q28="","",IF(AND(N28=1,OR(Q28&lt;EXPEDIENTE!$F$25,Q28&gt;EXPEDIENTE!$F$27)),3,""))</f>
        <v/>
      </c>
      <c r="F28" s="120" t="str">
        <f t="shared" si="9"/>
        <v/>
      </c>
      <c r="G28" s="120" t="str">
        <f t="shared" si="10"/>
        <v/>
      </c>
      <c r="H28" s="120" t="str">
        <f t="shared" si="11"/>
        <v/>
      </c>
      <c r="I28" s="120" t="str">
        <f>IF(Q28="","",IF(AF28="","",IF(AND(N28=1,OR(AF28&lt;EXPEDIENTE!$F$25,AF28&gt;EXPEDIENTE!$F$29)),7,"")))</f>
        <v/>
      </c>
      <c r="J28" s="120" t="b">
        <f t="shared" si="3"/>
        <v>0</v>
      </c>
      <c r="K28" s="120">
        <f>IF(AF28&lt;EXPEDIENTE!$I$25,-1,IF(AF28&gt;EXPEDIENTE!$I$29,1,0))</f>
        <v>0</v>
      </c>
      <c r="L28" s="165" t="str">
        <f>IF(IFERROR(VLOOKUP(J28,AUXILIAR!$AF$6:$AG$15,2,FALSE),"")="","",VLOOKUP(J28,AUXILIAR!$AF$6:$AG$15,2,FALSE))</f>
        <v/>
      </c>
      <c r="M28" s="166">
        <v>20</v>
      </c>
      <c r="N28" s="147" t="str">
        <f t="shared" si="4"/>
        <v/>
      </c>
      <c r="O28" s="167"/>
      <c r="P28" s="168"/>
      <c r="Q28" s="169"/>
      <c r="R28" s="170"/>
      <c r="S28" s="171"/>
      <c r="T28" s="170"/>
      <c r="U28" s="170"/>
      <c r="V28" s="172"/>
      <c r="W28" s="173"/>
      <c r="X28" s="174"/>
      <c r="Y28" s="175"/>
      <c r="Z28" s="176"/>
      <c r="AA28" s="177">
        <f t="shared" si="5"/>
        <v>0</v>
      </c>
      <c r="AB28" s="176"/>
      <c r="AC28" s="177">
        <f t="shared" si="12"/>
        <v>0</v>
      </c>
      <c r="AD28" s="178">
        <f t="shared" si="13"/>
        <v>0</v>
      </c>
      <c r="AE28" s="307"/>
      <c r="AF28" s="160"/>
      <c r="AG28" s="179"/>
      <c r="AH28" s="310"/>
      <c r="AI28" s="179"/>
      <c r="AJ28" s="180"/>
      <c r="AK28" s="181"/>
      <c r="AL28" s="182"/>
    </row>
    <row r="29" spans="2:38" ht="30" customHeight="1" x14ac:dyDescent="0.2">
      <c r="B29" s="120" t="str">
        <f>IF(COUNTBLANK(O29:AL29)=20,"",IF(AND(N29&lt;&gt;"",OR(EXPEDIENTE!$F$25="",EXPEDIENTE!$F$27="")),0,""))</f>
        <v/>
      </c>
      <c r="C29" s="120" t="str">
        <f t="shared" si="1"/>
        <v/>
      </c>
      <c r="D29" s="120" t="str">
        <f t="shared" si="8"/>
        <v/>
      </c>
      <c r="E29" s="120" t="str">
        <f>IF(Q29="","",IF(AND(N29=1,OR(Q29&lt;EXPEDIENTE!$F$25,Q29&gt;EXPEDIENTE!$F$27)),3,""))</f>
        <v/>
      </c>
      <c r="F29" s="120" t="str">
        <f t="shared" si="9"/>
        <v/>
      </c>
      <c r="G29" s="120" t="str">
        <f t="shared" si="10"/>
        <v/>
      </c>
      <c r="H29" s="120" t="str">
        <f t="shared" si="11"/>
        <v/>
      </c>
      <c r="I29" s="120" t="str">
        <f>IF(Q29="","",IF(AF29="","",IF(AND(N29=1,OR(AF29&lt;EXPEDIENTE!$F$25,AF29&gt;EXPEDIENTE!$F$29)),7,"")))</f>
        <v/>
      </c>
      <c r="J29" s="120" t="b">
        <f t="shared" si="3"/>
        <v>0</v>
      </c>
      <c r="K29" s="120">
        <f>IF(AF29&lt;EXPEDIENTE!$I$25,-1,IF(AF29&gt;EXPEDIENTE!$I$29,1,0))</f>
        <v>0</v>
      </c>
      <c r="L29" s="165" t="str">
        <f>IF(IFERROR(VLOOKUP(J29,AUXILIAR!$AF$6:$AG$15,2,FALSE),"")="","",VLOOKUP(J29,AUXILIAR!$AF$6:$AG$15,2,FALSE))</f>
        <v/>
      </c>
      <c r="M29" s="166">
        <v>21</v>
      </c>
      <c r="N29" s="147" t="str">
        <f t="shared" si="4"/>
        <v/>
      </c>
      <c r="O29" s="167"/>
      <c r="P29" s="168"/>
      <c r="Q29" s="169"/>
      <c r="R29" s="170"/>
      <c r="S29" s="171"/>
      <c r="T29" s="170"/>
      <c r="U29" s="170"/>
      <c r="V29" s="172"/>
      <c r="W29" s="173"/>
      <c r="X29" s="174"/>
      <c r="Y29" s="175"/>
      <c r="Z29" s="176"/>
      <c r="AA29" s="177">
        <f t="shared" si="5"/>
        <v>0</v>
      </c>
      <c r="AB29" s="176"/>
      <c r="AC29" s="177">
        <f t="shared" si="12"/>
        <v>0</v>
      </c>
      <c r="AD29" s="178">
        <f t="shared" si="13"/>
        <v>0</v>
      </c>
      <c r="AE29" s="307"/>
      <c r="AF29" s="160"/>
      <c r="AG29" s="179"/>
      <c r="AH29" s="310"/>
      <c r="AI29" s="179"/>
      <c r="AJ29" s="180"/>
      <c r="AK29" s="181"/>
      <c r="AL29" s="182"/>
    </row>
    <row r="30" spans="2:38" ht="30" customHeight="1" x14ac:dyDescent="0.2">
      <c r="B30" s="120" t="str">
        <f>IF(COUNTBLANK(O30:AL30)=20,"",IF(AND(N30&lt;&gt;"",OR(EXPEDIENTE!$F$25="",EXPEDIENTE!$F$27="")),0,""))</f>
        <v/>
      </c>
      <c r="C30" s="120" t="str">
        <f t="shared" si="1"/>
        <v/>
      </c>
      <c r="D30" s="120" t="str">
        <f t="shared" si="8"/>
        <v/>
      </c>
      <c r="E30" s="120" t="str">
        <f>IF(Q30="","",IF(AND(N30=1,OR(Q30&lt;EXPEDIENTE!$F$25,Q30&gt;EXPEDIENTE!$F$27)),3,""))</f>
        <v/>
      </c>
      <c r="F30" s="120" t="str">
        <f t="shared" si="9"/>
        <v/>
      </c>
      <c r="G30" s="120" t="str">
        <f t="shared" si="10"/>
        <v/>
      </c>
      <c r="H30" s="120" t="str">
        <f t="shared" si="11"/>
        <v/>
      </c>
      <c r="I30" s="120" t="str">
        <f>IF(Q30="","",IF(AF30="","",IF(AND(N30=1,OR(AF30&lt;EXPEDIENTE!$F$25,AF30&gt;EXPEDIENTE!$F$29)),7,"")))</f>
        <v/>
      </c>
      <c r="J30" s="120" t="b">
        <f t="shared" si="3"/>
        <v>0</v>
      </c>
      <c r="K30" s="120">
        <f>IF(AF30&lt;EXPEDIENTE!$I$25,-1,IF(AF30&gt;EXPEDIENTE!$I$29,1,0))</f>
        <v>0</v>
      </c>
      <c r="L30" s="165" t="str">
        <f>IF(IFERROR(VLOOKUP(J30,AUXILIAR!$AF$6:$AG$15,2,FALSE),"")="","",VLOOKUP(J30,AUXILIAR!$AF$6:$AG$15,2,FALSE))</f>
        <v/>
      </c>
      <c r="M30" s="166">
        <v>22</v>
      </c>
      <c r="N30" s="147" t="str">
        <f t="shared" si="4"/>
        <v/>
      </c>
      <c r="O30" s="167"/>
      <c r="P30" s="168"/>
      <c r="Q30" s="169"/>
      <c r="R30" s="170"/>
      <c r="S30" s="171"/>
      <c r="T30" s="170"/>
      <c r="U30" s="170"/>
      <c r="V30" s="172"/>
      <c r="W30" s="173"/>
      <c r="X30" s="174"/>
      <c r="Y30" s="175"/>
      <c r="Z30" s="176"/>
      <c r="AA30" s="177">
        <f t="shared" si="5"/>
        <v>0</v>
      </c>
      <c r="AB30" s="176"/>
      <c r="AC30" s="177">
        <f t="shared" si="12"/>
        <v>0</v>
      </c>
      <c r="AD30" s="178">
        <f t="shared" si="13"/>
        <v>0</v>
      </c>
      <c r="AE30" s="307"/>
      <c r="AF30" s="160"/>
      <c r="AG30" s="179"/>
      <c r="AH30" s="310"/>
      <c r="AI30" s="179"/>
      <c r="AJ30" s="180"/>
      <c r="AK30" s="181"/>
      <c r="AL30" s="182"/>
    </row>
    <row r="31" spans="2:38" ht="30" customHeight="1" x14ac:dyDescent="0.2">
      <c r="B31" s="120" t="str">
        <f>IF(COUNTBLANK(O31:AL31)=20,"",IF(AND(N31&lt;&gt;"",OR(EXPEDIENTE!$F$25="",EXPEDIENTE!$F$27="")),0,""))</f>
        <v/>
      </c>
      <c r="C31" s="120" t="str">
        <f t="shared" si="1"/>
        <v/>
      </c>
      <c r="D31" s="120" t="str">
        <f t="shared" si="8"/>
        <v/>
      </c>
      <c r="E31" s="120" t="str">
        <f>IF(Q31="","",IF(AND(N31=1,OR(Q31&lt;EXPEDIENTE!$F$25,Q31&gt;EXPEDIENTE!$F$27)),3,""))</f>
        <v/>
      </c>
      <c r="F31" s="120" t="str">
        <f t="shared" si="9"/>
        <v/>
      </c>
      <c r="G31" s="120" t="str">
        <f t="shared" si="10"/>
        <v/>
      </c>
      <c r="H31" s="120" t="str">
        <f t="shared" si="11"/>
        <v/>
      </c>
      <c r="I31" s="120" t="str">
        <f>IF(Q31="","",IF(AF31="","",IF(AND(N31=1,OR(AF31&lt;EXPEDIENTE!$F$25,AF31&gt;EXPEDIENTE!$F$29)),7,"")))</f>
        <v/>
      </c>
      <c r="J31" s="120" t="b">
        <f t="shared" si="3"/>
        <v>0</v>
      </c>
      <c r="K31" s="120">
        <f>IF(AF31&lt;EXPEDIENTE!$I$25,-1,IF(AF31&gt;EXPEDIENTE!$I$29,1,0))</f>
        <v>0</v>
      </c>
      <c r="L31" s="165" t="str">
        <f>IF(IFERROR(VLOOKUP(J31,AUXILIAR!$AF$6:$AG$15,2,FALSE),"")="","",VLOOKUP(J31,AUXILIAR!$AF$6:$AG$15,2,FALSE))</f>
        <v/>
      </c>
      <c r="M31" s="166">
        <v>23</v>
      </c>
      <c r="N31" s="147" t="str">
        <f t="shared" si="4"/>
        <v/>
      </c>
      <c r="O31" s="167"/>
      <c r="P31" s="168"/>
      <c r="Q31" s="169"/>
      <c r="R31" s="170"/>
      <c r="S31" s="171"/>
      <c r="T31" s="170"/>
      <c r="U31" s="170"/>
      <c r="V31" s="172"/>
      <c r="W31" s="173"/>
      <c r="X31" s="174"/>
      <c r="Y31" s="175"/>
      <c r="Z31" s="176"/>
      <c r="AA31" s="177">
        <f t="shared" si="5"/>
        <v>0</v>
      </c>
      <c r="AB31" s="176"/>
      <c r="AC31" s="177">
        <f t="shared" si="12"/>
        <v>0</v>
      </c>
      <c r="AD31" s="178">
        <f t="shared" si="13"/>
        <v>0</v>
      </c>
      <c r="AE31" s="307"/>
      <c r="AF31" s="160"/>
      <c r="AG31" s="179"/>
      <c r="AH31" s="310"/>
      <c r="AI31" s="179"/>
      <c r="AJ31" s="180"/>
      <c r="AK31" s="181"/>
      <c r="AL31" s="182"/>
    </row>
    <row r="32" spans="2:38" ht="30" customHeight="1" x14ac:dyDescent="0.2">
      <c r="B32" s="120" t="str">
        <f>IF(COUNTBLANK(O32:AL32)=20,"",IF(AND(N32&lt;&gt;"",OR(EXPEDIENTE!$F$25="",EXPEDIENTE!$F$27="")),0,""))</f>
        <v/>
      </c>
      <c r="C32" s="120" t="str">
        <f t="shared" si="1"/>
        <v/>
      </c>
      <c r="D32" s="120" t="str">
        <f t="shared" si="8"/>
        <v/>
      </c>
      <c r="E32" s="120" t="str">
        <f>IF(Q32="","",IF(AND(N32=1,OR(Q32&lt;EXPEDIENTE!$F$25,Q32&gt;EXPEDIENTE!$F$27)),3,""))</f>
        <v/>
      </c>
      <c r="F32" s="120" t="str">
        <f t="shared" si="9"/>
        <v/>
      </c>
      <c r="G32" s="120" t="str">
        <f t="shared" si="10"/>
        <v/>
      </c>
      <c r="H32" s="120" t="str">
        <f t="shared" si="11"/>
        <v/>
      </c>
      <c r="I32" s="120" t="str">
        <f>IF(Q32="","",IF(AF32="","",IF(AND(N32=1,OR(AF32&lt;EXPEDIENTE!$F$25,AF32&gt;EXPEDIENTE!$F$29)),7,"")))</f>
        <v/>
      </c>
      <c r="J32" s="120" t="b">
        <f t="shared" si="3"/>
        <v>0</v>
      </c>
      <c r="K32" s="120">
        <f>IF(AF32&lt;EXPEDIENTE!$I$25,-1,IF(AF32&gt;EXPEDIENTE!$I$29,1,0))</f>
        <v>0</v>
      </c>
      <c r="L32" s="165" t="str">
        <f>IF(IFERROR(VLOOKUP(J32,AUXILIAR!$AF$6:$AG$15,2,FALSE),"")="","",VLOOKUP(J32,AUXILIAR!$AF$6:$AG$15,2,FALSE))</f>
        <v/>
      </c>
      <c r="M32" s="166">
        <v>24</v>
      </c>
      <c r="N32" s="147" t="str">
        <f t="shared" si="4"/>
        <v/>
      </c>
      <c r="O32" s="167"/>
      <c r="P32" s="168"/>
      <c r="Q32" s="169"/>
      <c r="R32" s="170"/>
      <c r="S32" s="171"/>
      <c r="T32" s="170"/>
      <c r="U32" s="170"/>
      <c r="V32" s="172"/>
      <c r="W32" s="173"/>
      <c r="X32" s="174"/>
      <c r="Y32" s="175"/>
      <c r="Z32" s="176"/>
      <c r="AA32" s="177">
        <f t="shared" si="5"/>
        <v>0</v>
      </c>
      <c r="AB32" s="176"/>
      <c r="AC32" s="177">
        <f t="shared" si="12"/>
        <v>0</v>
      </c>
      <c r="AD32" s="178">
        <f t="shared" si="13"/>
        <v>0</v>
      </c>
      <c r="AE32" s="307"/>
      <c r="AF32" s="160"/>
      <c r="AG32" s="179"/>
      <c r="AH32" s="310"/>
      <c r="AI32" s="179"/>
      <c r="AJ32" s="180"/>
      <c r="AK32" s="181"/>
      <c r="AL32" s="182"/>
    </row>
    <row r="33" spans="2:38" ht="30" customHeight="1" x14ac:dyDescent="0.2">
      <c r="B33" s="120" t="str">
        <f>IF(COUNTBLANK(O33:AL33)=20,"",IF(AND(N33&lt;&gt;"",OR(EXPEDIENTE!$F$25="",EXPEDIENTE!$F$27="")),0,""))</f>
        <v/>
      </c>
      <c r="C33" s="120" t="str">
        <f t="shared" si="1"/>
        <v/>
      </c>
      <c r="D33" s="120" t="str">
        <f t="shared" si="8"/>
        <v/>
      </c>
      <c r="E33" s="120" t="str">
        <f>IF(Q33="","",IF(AND(N33=1,OR(Q33&lt;EXPEDIENTE!$F$25,Q33&gt;EXPEDIENTE!$F$27)),3,""))</f>
        <v/>
      </c>
      <c r="F33" s="120" t="str">
        <f t="shared" si="9"/>
        <v/>
      </c>
      <c r="G33" s="120" t="str">
        <f t="shared" si="10"/>
        <v/>
      </c>
      <c r="H33" s="120" t="str">
        <f t="shared" si="11"/>
        <v/>
      </c>
      <c r="I33" s="120" t="str">
        <f>IF(Q33="","",IF(AF33="","",IF(AND(N33=1,OR(AF33&lt;EXPEDIENTE!$F$25,AF33&gt;EXPEDIENTE!$F$29)),7,"")))</f>
        <v/>
      </c>
      <c r="J33" s="120" t="b">
        <f t="shared" si="3"/>
        <v>0</v>
      </c>
      <c r="K33" s="120">
        <f>IF(AF33&lt;EXPEDIENTE!$I$25,-1,IF(AF33&gt;EXPEDIENTE!$I$29,1,0))</f>
        <v>0</v>
      </c>
      <c r="L33" s="165" t="str">
        <f>IF(IFERROR(VLOOKUP(J33,AUXILIAR!$AF$6:$AG$15,2,FALSE),"")="","",VLOOKUP(J33,AUXILIAR!$AF$6:$AG$15,2,FALSE))</f>
        <v/>
      </c>
      <c r="M33" s="166">
        <v>25</v>
      </c>
      <c r="N33" s="147" t="str">
        <f t="shared" si="4"/>
        <v/>
      </c>
      <c r="O33" s="167"/>
      <c r="P33" s="168"/>
      <c r="Q33" s="169"/>
      <c r="R33" s="170"/>
      <c r="S33" s="171"/>
      <c r="T33" s="170"/>
      <c r="U33" s="170"/>
      <c r="V33" s="172"/>
      <c r="W33" s="173"/>
      <c r="X33" s="174"/>
      <c r="Y33" s="175"/>
      <c r="Z33" s="176"/>
      <c r="AA33" s="177">
        <f t="shared" si="5"/>
        <v>0</v>
      </c>
      <c r="AB33" s="176"/>
      <c r="AC33" s="177">
        <f t="shared" si="12"/>
        <v>0</v>
      </c>
      <c r="AD33" s="178">
        <f t="shared" si="13"/>
        <v>0</v>
      </c>
      <c r="AE33" s="307"/>
      <c r="AF33" s="160"/>
      <c r="AG33" s="179"/>
      <c r="AH33" s="310"/>
      <c r="AI33" s="179"/>
      <c r="AJ33" s="180"/>
      <c r="AK33" s="181"/>
      <c r="AL33" s="182"/>
    </row>
    <row r="34" spans="2:38" ht="30" customHeight="1" x14ac:dyDescent="0.2">
      <c r="B34" s="120" t="str">
        <f>IF(COUNTBLANK(O34:AL34)=20,"",IF(AND(N34&lt;&gt;"",OR(EXPEDIENTE!$F$25="",EXPEDIENTE!$F$27="")),0,""))</f>
        <v/>
      </c>
      <c r="C34" s="120" t="str">
        <f t="shared" si="1"/>
        <v/>
      </c>
      <c r="D34" s="120" t="str">
        <f t="shared" si="8"/>
        <v/>
      </c>
      <c r="E34" s="120" t="str">
        <f>IF(Q34="","",IF(AND(N34=1,OR(Q34&lt;EXPEDIENTE!$F$25,Q34&gt;EXPEDIENTE!$F$27)),3,""))</f>
        <v/>
      </c>
      <c r="F34" s="120" t="str">
        <f t="shared" si="9"/>
        <v/>
      </c>
      <c r="G34" s="120" t="str">
        <f t="shared" si="10"/>
        <v/>
      </c>
      <c r="H34" s="120" t="str">
        <f t="shared" si="11"/>
        <v/>
      </c>
      <c r="I34" s="120" t="str">
        <f>IF(Q34="","",IF(AF34="","",IF(AND(N34=1,OR(AF34&lt;EXPEDIENTE!$F$25,AF34&gt;EXPEDIENTE!$F$29)),7,"")))</f>
        <v/>
      </c>
      <c r="J34" s="120" t="b">
        <f t="shared" si="3"/>
        <v>0</v>
      </c>
      <c r="K34" s="120">
        <f>IF(AF34&lt;EXPEDIENTE!$I$25,-1,IF(AF34&gt;EXPEDIENTE!$I$29,1,0))</f>
        <v>0</v>
      </c>
      <c r="L34" s="165" t="str">
        <f>IF(IFERROR(VLOOKUP(J34,AUXILIAR!$AF$6:$AG$15,2,FALSE),"")="","",VLOOKUP(J34,AUXILIAR!$AF$6:$AG$15,2,FALSE))</f>
        <v/>
      </c>
      <c r="M34" s="166">
        <v>26</v>
      </c>
      <c r="N34" s="147" t="str">
        <f t="shared" si="4"/>
        <v/>
      </c>
      <c r="O34" s="167"/>
      <c r="P34" s="168"/>
      <c r="Q34" s="169"/>
      <c r="R34" s="170"/>
      <c r="S34" s="171"/>
      <c r="T34" s="170"/>
      <c r="U34" s="170"/>
      <c r="V34" s="172"/>
      <c r="W34" s="173"/>
      <c r="X34" s="174"/>
      <c r="Y34" s="175"/>
      <c r="Z34" s="176"/>
      <c r="AA34" s="177">
        <f t="shared" si="5"/>
        <v>0</v>
      </c>
      <c r="AB34" s="176"/>
      <c r="AC34" s="177">
        <f t="shared" si="12"/>
        <v>0</v>
      </c>
      <c r="AD34" s="178">
        <f t="shared" si="13"/>
        <v>0</v>
      </c>
      <c r="AE34" s="307"/>
      <c r="AF34" s="160"/>
      <c r="AG34" s="179"/>
      <c r="AH34" s="310"/>
      <c r="AI34" s="179"/>
      <c r="AJ34" s="180"/>
      <c r="AK34" s="181"/>
      <c r="AL34" s="182"/>
    </row>
    <row r="35" spans="2:38" ht="30" customHeight="1" x14ac:dyDescent="0.2">
      <c r="B35" s="120" t="str">
        <f>IF(COUNTBLANK(O35:AL35)=20,"",IF(AND(N35&lt;&gt;"",OR(EXPEDIENTE!$F$25="",EXPEDIENTE!$F$27="")),0,""))</f>
        <v/>
      </c>
      <c r="C35" s="120" t="str">
        <f t="shared" si="1"/>
        <v/>
      </c>
      <c r="D35" s="120" t="str">
        <f t="shared" si="8"/>
        <v/>
      </c>
      <c r="E35" s="120" t="str">
        <f>IF(Q35="","",IF(AND(N35=1,OR(Q35&lt;EXPEDIENTE!$F$25,Q35&gt;EXPEDIENTE!$F$27)),3,""))</f>
        <v/>
      </c>
      <c r="F35" s="120" t="str">
        <f t="shared" si="9"/>
        <v/>
      </c>
      <c r="G35" s="120" t="str">
        <f t="shared" si="10"/>
        <v/>
      </c>
      <c r="H35" s="120" t="str">
        <f t="shared" si="11"/>
        <v/>
      </c>
      <c r="I35" s="120" t="str">
        <f>IF(Q35="","",IF(AF35="","",IF(AND(N35=1,OR(AF35&lt;EXPEDIENTE!$F$25,AF35&gt;EXPEDIENTE!$F$29)),7,"")))</f>
        <v/>
      </c>
      <c r="J35" s="120" t="b">
        <f t="shared" si="3"/>
        <v>0</v>
      </c>
      <c r="K35" s="120">
        <f>IF(AF35&lt;EXPEDIENTE!$I$25,-1,IF(AF35&gt;EXPEDIENTE!$I$29,1,0))</f>
        <v>0</v>
      </c>
      <c r="L35" s="165" t="str">
        <f>IF(IFERROR(VLOOKUP(J35,AUXILIAR!$AF$6:$AG$15,2,FALSE),"")="","",VLOOKUP(J35,AUXILIAR!$AF$6:$AG$15,2,FALSE))</f>
        <v/>
      </c>
      <c r="M35" s="166">
        <v>27</v>
      </c>
      <c r="N35" s="147" t="str">
        <f t="shared" si="4"/>
        <v/>
      </c>
      <c r="O35" s="167"/>
      <c r="P35" s="168"/>
      <c r="Q35" s="169"/>
      <c r="R35" s="170"/>
      <c r="S35" s="171"/>
      <c r="T35" s="170"/>
      <c r="U35" s="170"/>
      <c r="V35" s="172"/>
      <c r="W35" s="173"/>
      <c r="X35" s="174"/>
      <c r="Y35" s="175"/>
      <c r="Z35" s="176"/>
      <c r="AA35" s="177">
        <f t="shared" si="5"/>
        <v>0</v>
      </c>
      <c r="AB35" s="176"/>
      <c r="AC35" s="177">
        <f t="shared" si="12"/>
        <v>0</v>
      </c>
      <c r="AD35" s="178">
        <f t="shared" si="13"/>
        <v>0</v>
      </c>
      <c r="AE35" s="307"/>
      <c r="AF35" s="160"/>
      <c r="AG35" s="179"/>
      <c r="AH35" s="310"/>
      <c r="AI35" s="179"/>
      <c r="AJ35" s="180"/>
      <c r="AK35" s="181"/>
      <c r="AL35" s="182"/>
    </row>
    <row r="36" spans="2:38" ht="30" customHeight="1" x14ac:dyDescent="0.2">
      <c r="B36" s="120" t="str">
        <f>IF(COUNTBLANK(O36:AL36)=20,"",IF(AND(N36&lt;&gt;"",OR(EXPEDIENTE!$F$25="",EXPEDIENTE!$F$27="")),0,""))</f>
        <v/>
      </c>
      <c r="C36" s="120" t="str">
        <f t="shared" si="1"/>
        <v/>
      </c>
      <c r="D36" s="120" t="str">
        <f t="shared" si="8"/>
        <v/>
      </c>
      <c r="E36" s="120" t="str">
        <f>IF(Q36="","",IF(AND(N36=1,OR(Q36&lt;EXPEDIENTE!$F$25,Q36&gt;EXPEDIENTE!$F$27)),3,""))</f>
        <v/>
      </c>
      <c r="F36" s="120" t="str">
        <f t="shared" si="9"/>
        <v/>
      </c>
      <c r="G36" s="120" t="str">
        <f t="shared" si="10"/>
        <v/>
      </c>
      <c r="H36" s="120" t="str">
        <f t="shared" si="11"/>
        <v/>
      </c>
      <c r="I36" s="120" t="str">
        <f>IF(Q36="","",IF(AF36="","",IF(AND(N36=1,OR(AF36&lt;EXPEDIENTE!$F$25,AF36&gt;EXPEDIENTE!$F$29)),7,"")))</f>
        <v/>
      </c>
      <c r="J36" s="120" t="b">
        <f t="shared" si="3"/>
        <v>0</v>
      </c>
      <c r="K36" s="120">
        <f>IF(AF36&lt;EXPEDIENTE!$I$25,-1,IF(AF36&gt;EXPEDIENTE!$I$29,1,0))</f>
        <v>0</v>
      </c>
      <c r="L36" s="165" t="str">
        <f>IF(IFERROR(VLOOKUP(J36,AUXILIAR!$AF$6:$AG$15,2,FALSE),"")="","",VLOOKUP(J36,AUXILIAR!$AF$6:$AG$15,2,FALSE))</f>
        <v/>
      </c>
      <c r="M36" s="166">
        <v>28</v>
      </c>
      <c r="N36" s="147" t="str">
        <f t="shared" si="4"/>
        <v/>
      </c>
      <c r="O36" s="167"/>
      <c r="P36" s="168"/>
      <c r="Q36" s="169"/>
      <c r="R36" s="170"/>
      <c r="S36" s="171"/>
      <c r="T36" s="170"/>
      <c r="U36" s="170"/>
      <c r="V36" s="172"/>
      <c r="W36" s="173"/>
      <c r="X36" s="174"/>
      <c r="Y36" s="175"/>
      <c r="Z36" s="176"/>
      <c r="AA36" s="177">
        <f t="shared" si="5"/>
        <v>0</v>
      </c>
      <c r="AB36" s="176"/>
      <c r="AC36" s="177">
        <f t="shared" si="12"/>
        <v>0</v>
      </c>
      <c r="AD36" s="178">
        <f t="shared" si="13"/>
        <v>0</v>
      </c>
      <c r="AE36" s="307"/>
      <c r="AF36" s="160"/>
      <c r="AG36" s="179"/>
      <c r="AH36" s="310"/>
      <c r="AI36" s="179"/>
      <c r="AJ36" s="180"/>
      <c r="AK36" s="181"/>
      <c r="AL36" s="182"/>
    </row>
    <row r="37" spans="2:38" ht="30" customHeight="1" x14ac:dyDescent="0.2">
      <c r="B37" s="120" t="str">
        <f>IF(COUNTBLANK(O37:AL37)=20,"",IF(AND(N37&lt;&gt;"",OR(EXPEDIENTE!$F$25="",EXPEDIENTE!$F$27="")),0,""))</f>
        <v/>
      </c>
      <c r="C37" s="120" t="str">
        <f t="shared" si="1"/>
        <v/>
      </c>
      <c r="D37" s="120" t="str">
        <f t="shared" si="8"/>
        <v/>
      </c>
      <c r="E37" s="120" t="str">
        <f>IF(Q37="","",IF(AND(N37=1,OR(Q37&lt;EXPEDIENTE!$F$25,Q37&gt;EXPEDIENTE!$F$27)),3,""))</f>
        <v/>
      </c>
      <c r="F37" s="120" t="str">
        <f t="shared" si="9"/>
        <v/>
      </c>
      <c r="G37" s="120" t="str">
        <f t="shared" si="10"/>
        <v/>
      </c>
      <c r="H37" s="120" t="str">
        <f t="shared" si="11"/>
        <v/>
      </c>
      <c r="I37" s="120" t="str">
        <f>IF(Q37="","",IF(AF37="","",IF(AND(N37=1,OR(AF37&lt;EXPEDIENTE!$F$25,AF37&gt;EXPEDIENTE!$F$29)),7,"")))</f>
        <v/>
      </c>
      <c r="J37" s="120" t="b">
        <f t="shared" si="3"/>
        <v>0</v>
      </c>
      <c r="K37" s="120">
        <f>IF(AF37&lt;EXPEDIENTE!$I$25,-1,IF(AF37&gt;EXPEDIENTE!$I$29,1,0))</f>
        <v>0</v>
      </c>
      <c r="L37" s="165" t="str">
        <f>IF(IFERROR(VLOOKUP(J37,AUXILIAR!$AF$6:$AG$15,2,FALSE),"")="","",VLOOKUP(J37,AUXILIAR!$AF$6:$AG$15,2,FALSE))</f>
        <v/>
      </c>
      <c r="M37" s="166">
        <v>29</v>
      </c>
      <c r="N37" s="147" t="str">
        <f t="shared" si="4"/>
        <v/>
      </c>
      <c r="O37" s="167"/>
      <c r="P37" s="168"/>
      <c r="Q37" s="169"/>
      <c r="R37" s="170"/>
      <c r="S37" s="171"/>
      <c r="T37" s="170"/>
      <c r="U37" s="170"/>
      <c r="V37" s="172"/>
      <c r="W37" s="173"/>
      <c r="X37" s="174"/>
      <c r="Y37" s="175"/>
      <c r="Z37" s="176"/>
      <c r="AA37" s="177">
        <f t="shared" si="5"/>
        <v>0</v>
      </c>
      <c r="AB37" s="176"/>
      <c r="AC37" s="177">
        <f t="shared" si="12"/>
        <v>0</v>
      </c>
      <c r="AD37" s="178">
        <f t="shared" si="13"/>
        <v>0</v>
      </c>
      <c r="AE37" s="307"/>
      <c r="AF37" s="160"/>
      <c r="AG37" s="179"/>
      <c r="AH37" s="310"/>
      <c r="AI37" s="179"/>
      <c r="AJ37" s="180"/>
      <c r="AK37" s="181"/>
      <c r="AL37" s="182"/>
    </row>
    <row r="38" spans="2:38" ht="30" customHeight="1" x14ac:dyDescent="0.2">
      <c r="B38" s="120" t="str">
        <f>IF(COUNTBLANK(O38:AL38)=20,"",IF(AND(N38&lt;&gt;"",OR(EXPEDIENTE!$F$25="",EXPEDIENTE!$F$27="")),0,""))</f>
        <v/>
      </c>
      <c r="C38" s="120" t="str">
        <f t="shared" si="1"/>
        <v/>
      </c>
      <c r="D38" s="120" t="str">
        <f t="shared" si="8"/>
        <v/>
      </c>
      <c r="E38" s="120" t="str">
        <f>IF(Q38="","",IF(AND(N38=1,OR(Q38&lt;EXPEDIENTE!$F$25,Q38&gt;EXPEDIENTE!$F$27)),3,""))</f>
        <v/>
      </c>
      <c r="F38" s="120" t="str">
        <f t="shared" si="9"/>
        <v/>
      </c>
      <c r="G38" s="120" t="str">
        <f t="shared" si="10"/>
        <v/>
      </c>
      <c r="H38" s="120" t="str">
        <f t="shared" si="11"/>
        <v/>
      </c>
      <c r="I38" s="120" t="str">
        <f>IF(Q38="","",IF(AF38="","",IF(AND(N38=1,OR(AF38&lt;EXPEDIENTE!$F$25,AF38&gt;EXPEDIENTE!$F$29)),7,"")))</f>
        <v/>
      </c>
      <c r="J38" s="120" t="b">
        <f t="shared" si="3"/>
        <v>0</v>
      </c>
      <c r="K38" s="120">
        <f>IF(AF38&lt;EXPEDIENTE!$I$25,-1,IF(AF38&gt;EXPEDIENTE!$I$29,1,0))</f>
        <v>0</v>
      </c>
      <c r="L38" s="165" t="str">
        <f>IF(IFERROR(VLOOKUP(J38,AUXILIAR!$AF$6:$AG$15,2,FALSE),"")="","",VLOOKUP(J38,AUXILIAR!$AF$6:$AG$15,2,FALSE))</f>
        <v/>
      </c>
      <c r="M38" s="166">
        <v>30</v>
      </c>
      <c r="N38" s="147" t="str">
        <f t="shared" si="4"/>
        <v/>
      </c>
      <c r="O38" s="167"/>
      <c r="P38" s="168"/>
      <c r="Q38" s="169"/>
      <c r="R38" s="170"/>
      <c r="S38" s="171"/>
      <c r="T38" s="170"/>
      <c r="U38" s="170"/>
      <c r="V38" s="172"/>
      <c r="W38" s="173"/>
      <c r="X38" s="174"/>
      <c r="Y38" s="175"/>
      <c r="Z38" s="176"/>
      <c r="AA38" s="177">
        <f t="shared" si="5"/>
        <v>0</v>
      </c>
      <c r="AB38" s="176"/>
      <c r="AC38" s="177">
        <f t="shared" si="12"/>
        <v>0</v>
      </c>
      <c r="AD38" s="178">
        <f t="shared" si="13"/>
        <v>0</v>
      </c>
      <c r="AE38" s="307"/>
      <c r="AF38" s="160"/>
      <c r="AG38" s="179"/>
      <c r="AH38" s="310"/>
      <c r="AI38" s="179"/>
      <c r="AJ38" s="180"/>
      <c r="AK38" s="181"/>
      <c r="AL38" s="182"/>
    </row>
    <row r="39" spans="2:38" ht="30" customHeight="1" x14ac:dyDescent="0.2">
      <c r="B39" s="120" t="str">
        <f>IF(COUNTBLANK(O39:AL39)=20,"",IF(AND(N39&lt;&gt;"",OR(EXPEDIENTE!$F$25="",EXPEDIENTE!$F$27="")),0,""))</f>
        <v/>
      </c>
      <c r="C39" s="120" t="str">
        <f t="shared" si="1"/>
        <v/>
      </c>
      <c r="D39" s="120" t="str">
        <f t="shared" si="8"/>
        <v/>
      </c>
      <c r="E39" s="120" t="str">
        <f>IF(Q39="","",IF(AND(N39=1,OR(Q39&lt;EXPEDIENTE!$F$25,Q39&gt;EXPEDIENTE!$F$27)),3,""))</f>
        <v/>
      </c>
      <c r="F39" s="120" t="str">
        <f t="shared" si="9"/>
        <v/>
      </c>
      <c r="G39" s="120" t="str">
        <f t="shared" si="10"/>
        <v/>
      </c>
      <c r="H39" s="120" t="str">
        <f t="shared" si="11"/>
        <v/>
      </c>
      <c r="I39" s="120" t="str">
        <f>IF(Q39="","",IF(AF39="","",IF(AND(N39=1,OR(AF39&lt;EXPEDIENTE!$F$25,AF39&gt;EXPEDIENTE!$F$29)),7,"")))</f>
        <v/>
      </c>
      <c r="J39" s="120" t="b">
        <f t="shared" si="3"/>
        <v>0</v>
      </c>
      <c r="K39" s="120">
        <f>IF(AF39&lt;EXPEDIENTE!$I$25,-1,IF(AF39&gt;EXPEDIENTE!$I$29,1,0))</f>
        <v>0</v>
      </c>
      <c r="L39" s="165" t="str">
        <f>IF(IFERROR(VLOOKUP(J39,AUXILIAR!$AF$6:$AG$15,2,FALSE),"")="","",VLOOKUP(J39,AUXILIAR!$AF$6:$AG$15,2,FALSE))</f>
        <v/>
      </c>
      <c r="M39" s="166">
        <v>31</v>
      </c>
      <c r="N39" s="147" t="str">
        <f t="shared" si="4"/>
        <v/>
      </c>
      <c r="O39" s="167"/>
      <c r="P39" s="168"/>
      <c r="Q39" s="169"/>
      <c r="R39" s="170"/>
      <c r="S39" s="171"/>
      <c r="T39" s="170"/>
      <c r="U39" s="170"/>
      <c r="V39" s="172"/>
      <c r="W39" s="173"/>
      <c r="X39" s="174"/>
      <c r="Y39" s="175"/>
      <c r="Z39" s="176"/>
      <c r="AA39" s="177">
        <f t="shared" si="5"/>
        <v>0</v>
      </c>
      <c r="AB39" s="176"/>
      <c r="AC39" s="177">
        <f t="shared" si="12"/>
        <v>0</v>
      </c>
      <c r="AD39" s="178">
        <f t="shared" si="13"/>
        <v>0</v>
      </c>
      <c r="AE39" s="307"/>
      <c r="AF39" s="160"/>
      <c r="AG39" s="179"/>
      <c r="AH39" s="310"/>
      <c r="AI39" s="179"/>
      <c r="AJ39" s="180"/>
      <c r="AK39" s="181"/>
      <c r="AL39" s="182"/>
    </row>
    <row r="40" spans="2:38" ht="30" customHeight="1" x14ac:dyDescent="0.2">
      <c r="B40" s="120" t="str">
        <f>IF(COUNTBLANK(O40:AL40)=20,"",IF(AND(N40&lt;&gt;"",OR(EXPEDIENTE!$F$25="",EXPEDIENTE!$F$27="")),0,""))</f>
        <v/>
      </c>
      <c r="C40" s="120" t="str">
        <f t="shared" si="1"/>
        <v/>
      </c>
      <c r="D40" s="120" t="str">
        <f t="shared" si="8"/>
        <v/>
      </c>
      <c r="E40" s="120" t="str">
        <f>IF(Q40="","",IF(AND(N40=1,OR(Q40&lt;EXPEDIENTE!$F$25,Q40&gt;EXPEDIENTE!$F$27)),3,""))</f>
        <v/>
      </c>
      <c r="F40" s="120" t="str">
        <f t="shared" si="9"/>
        <v/>
      </c>
      <c r="G40" s="120" t="str">
        <f t="shared" si="10"/>
        <v/>
      </c>
      <c r="H40" s="120" t="str">
        <f t="shared" si="11"/>
        <v/>
      </c>
      <c r="I40" s="120" t="str">
        <f>IF(Q40="","",IF(AF40="","",IF(AND(N40=1,OR(AF40&lt;EXPEDIENTE!$F$25,AF40&gt;EXPEDIENTE!$F$29)),7,"")))</f>
        <v/>
      </c>
      <c r="J40" s="120" t="b">
        <f t="shared" si="3"/>
        <v>0</v>
      </c>
      <c r="K40" s="120">
        <f>IF(AF40&lt;EXPEDIENTE!$I$25,-1,IF(AF40&gt;EXPEDIENTE!$I$29,1,0))</f>
        <v>0</v>
      </c>
      <c r="L40" s="165" t="str">
        <f>IF(IFERROR(VLOOKUP(J40,AUXILIAR!$AF$6:$AG$15,2,FALSE),"")="","",VLOOKUP(J40,AUXILIAR!$AF$6:$AG$15,2,FALSE))</f>
        <v/>
      </c>
      <c r="M40" s="166">
        <v>32</v>
      </c>
      <c r="N40" s="147" t="str">
        <f t="shared" si="4"/>
        <v/>
      </c>
      <c r="O40" s="167"/>
      <c r="P40" s="168"/>
      <c r="Q40" s="169"/>
      <c r="R40" s="170"/>
      <c r="S40" s="171"/>
      <c r="T40" s="170"/>
      <c r="U40" s="170"/>
      <c r="V40" s="172"/>
      <c r="W40" s="173"/>
      <c r="X40" s="174"/>
      <c r="Y40" s="175"/>
      <c r="Z40" s="176"/>
      <c r="AA40" s="177">
        <f t="shared" si="5"/>
        <v>0</v>
      </c>
      <c r="AB40" s="176"/>
      <c r="AC40" s="177">
        <f t="shared" si="12"/>
        <v>0</v>
      </c>
      <c r="AD40" s="178">
        <f t="shared" si="13"/>
        <v>0</v>
      </c>
      <c r="AE40" s="307"/>
      <c r="AF40" s="160"/>
      <c r="AG40" s="179"/>
      <c r="AH40" s="310"/>
      <c r="AI40" s="179"/>
      <c r="AJ40" s="180"/>
      <c r="AK40" s="181"/>
      <c r="AL40" s="182"/>
    </row>
    <row r="41" spans="2:38" ht="30" customHeight="1" x14ac:dyDescent="0.2">
      <c r="B41" s="120" t="str">
        <f>IF(COUNTBLANK(O41:AL41)=20,"",IF(AND(N41&lt;&gt;"",OR(EXPEDIENTE!$F$25="",EXPEDIENTE!$F$27="")),0,""))</f>
        <v/>
      </c>
      <c r="C41" s="120" t="str">
        <f t="shared" si="1"/>
        <v/>
      </c>
      <c r="D41" s="120" t="str">
        <f t="shared" si="8"/>
        <v/>
      </c>
      <c r="E41" s="120" t="str">
        <f>IF(Q41="","",IF(AND(N41=1,OR(Q41&lt;EXPEDIENTE!$F$25,Q41&gt;EXPEDIENTE!$F$27)),3,""))</f>
        <v/>
      </c>
      <c r="F41" s="120" t="str">
        <f t="shared" si="9"/>
        <v/>
      </c>
      <c r="G41" s="120" t="str">
        <f t="shared" si="10"/>
        <v/>
      </c>
      <c r="H41" s="120" t="str">
        <f t="shared" si="11"/>
        <v/>
      </c>
      <c r="I41" s="120" t="str">
        <f>IF(Q41="","",IF(AF41="","",IF(AND(N41=1,OR(AF41&lt;EXPEDIENTE!$F$25,AF41&gt;EXPEDIENTE!$F$29)),7,"")))</f>
        <v/>
      </c>
      <c r="J41" s="120" t="b">
        <f t="shared" si="3"/>
        <v>0</v>
      </c>
      <c r="K41" s="120">
        <f>IF(AF41&lt;EXPEDIENTE!$I$25,-1,IF(AF41&gt;EXPEDIENTE!$I$29,1,0))</f>
        <v>0</v>
      </c>
      <c r="L41" s="165" t="str">
        <f>IF(IFERROR(VLOOKUP(J41,AUXILIAR!$AF$6:$AG$15,2,FALSE),"")="","",VLOOKUP(J41,AUXILIAR!$AF$6:$AG$15,2,FALSE))</f>
        <v/>
      </c>
      <c r="M41" s="166">
        <v>33</v>
      </c>
      <c r="N41" s="147" t="str">
        <f t="shared" si="4"/>
        <v/>
      </c>
      <c r="O41" s="167"/>
      <c r="P41" s="168"/>
      <c r="Q41" s="169"/>
      <c r="R41" s="170"/>
      <c r="S41" s="171"/>
      <c r="T41" s="170"/>
      <c r="U41" s="170"/>
      <c r="V41" s="172"/>
      <c r="W41" s="173"/>
      <c r="X41" s="174"/>
      <c r="Y41" s="175"/>
      <c r="Z41" s="176"/>
      <c r="AA41" s="177">
        <f t="shared" si="5"/>
        <v>0</v>
      </c>
      <c r="AB41" s="176"/>
      <c r="AC41" s="177">
        <f t="shared" si="12"/>
        <v>0</v>
      </c>
      <c r="AD41" s="178">
        <f t="shared" si="13"/>
        <v>0</v>
      </c>
      <c r="AE41" s="307"/>
      <c r="AF41" s="160"/>
      <c r="AG41" s="179"/>
      <c r="AH41" s="310"/>
      <c r="AI41" s="179"/>
      <c r="AJ41" s="180"/>
      <c r="AK41" s="181"/>
      <c r="AL41" s="182"/>
    </row>
    <row r="42" spans="2:38" ht="30" customHeight="1" x14ac:dyDescent="0.2">
      <c r="B42" s="120" t="str">
        <f>IF(COUNTBLANK(O42:AL42)=20,"",IF(AND(N42&lt;&gt;"",OR(EXPEDIENTE!$F$25="",EXPEDIENTE!$F$27="")),0,""))</f>
        <v/>
      </c>
      <c r="C42" s="120" t="str">
        <f t="shared" si="1"/>
        <v/>
      </c>
      <c r="D42" s="120" t="str">
        <f t="shared" si="8"/>
        <v/>
      </c>
      <c r="E42" s="120" t="str">
        <f>IF(Q42="","",IF(AND(N42=1,OR(Q42&lt;EXPEDIENTE!$F$25,Q42&gt;EXPEDIENTE!$F$27)),3,""))</f>
        <v/>
      </c>
      <c r="F42" s="120" t="str">
        <f t="shared" si="9"/>
        <v/>
      </c>
      <c r="G42" s="120" t="str">
        <f t="shared" si="10"/>
        <v/>
      </c>
      <c r="H42" s="120" t="str">
        <f t="shared" si="11"/>
        <v/>
      </c>
      <c r="I42" s="120" t="str">
        <f>IF(Q42="","",IF(AF42="","",IF(AND(N42=1,OR(AF42&lt;EXPEDIENTE!$F$25,AF42&gt;EXPEDIENTE!$F$29)),7,"")))</f>
        <v/>
      </c>
      <c r="J42" s="120" t="b">
        <f t="shared" ref="J42:J73" si="14">IF(B42&lt;&gt;"",B42,IF(C42&lt;&gt;"",C42,IF(D42&lt;&gt;"",D42,IF(E42&lt;&gt;"",E42,IF(F42&lt;&gt;"",F42,IF(H42&lt;&gt;"",H42,IF(I42&lt;&gt;"",I42)))))))</f>
        <v>0</v>
      </c>
      <c r="K42" s="120">
        <f>IF(AF42&lt;EXPEDIENTE!$I$25,-1,IF(AF42&gt;EXPEDIENTE!$I$29,1,0))</f>
        <v>0</v>
      </c>
      <c r="L42" s="165" t="str">
        <f>IF(IFERROR(VLOOKUP(J42,AUXILIAR!$AF$6:$AG$15,2,FALSE),"")="","",VLOOKUP(J42,AUXILIAR!$AF$6:$AG$15,2,FALSE))</f>
        <v/>
      </c>
      <c r="M42" s="166">
        <v>34</v>
      </c>
      <c r="N42" s="147" t="str">
        <f t="shared" si="4"/>
        <v/>
      </c>
      <c r="O42" s="167"/>
      <c r="P42" s="168"/>
      <c r="Q42" s="169"/>
      <c r="R42" s="170"/>
      <c r="S42" s="171"/>
      <c r="T42" s="170"/>
      <c r="U42" s="170"/>
      <c r="V42" s="172"/>
      <c r="W42" s="173"/>
      <c r="X42" s="174"/>
      <c r="Y42" s="175"/>
      <c r="Z42" s="176"/>
      <c r="AA42" s="177">
        <f t="shared" si="5"/>
        <v>0</v>
      </c>
      <c r="AB42" s="176"/>
      <c r="AC42" s="177">
        <f t="shared" si="12"/>
        <v>0</v>
      </c>
      <c r="AD42" s="178">
        <f t="shared" si="13"/>
        <v>0</v>
      </c>
      <c r="AE42" s="307"/>
      <c r="AF42" s="160"/>
      <c r="AG42" s="179"/>
      <c r="AH42" s="310"/>
      <c r="AI42" s="179"/>
      <c r="AJ42" s="180"/>
      <c r="AK42" s="181"/>
      <c r="AL42" s="182"/>
    </row>
    <row r="43" spans="2:38" ht="30" customHeight="1" x14ac:dyDescent="0.2">
      <c r="B43" s="120" t="str">
        <f>IF(COUNTBLANK(O43:AL43)=20,"",IF(AND(N43&lt;&gt;"",OR(EXPEDIENTE!$F$25="",EXPEDIENTE!$F$27="")),0,""))</f>
        <v/>
      </c>
      <c r="C43" s="120" t="str">
        <f t="shared" si="1"/>
        <v/>
      </c>
      <c r="D43" s="120" t="str">
        <f t="shared" si="8"/>
        <v/>
      </c>
      <c r="E43" s="120" t="str">
        <f>IF(Q43="","",IF(AND(N43=1,OR(Q43&lt;EXPEDIENTE!$F$25,Q43&gt;EXPEDIENTE!$F$27)),3,""))</f>
        <v/>
      </c>
      <c r="F43" s="120" t="str">
        <f t="shared" si="9"/>
        <v/>
      </c>
      <c r="G43" s="120" t="str">
        <f t="shared" si="10"/>
        <v/>
      </c>
      <c r="H43" s="120" t="str">
        <f t="shared" si="11"/>
        <v/>
      </c>
      <c r="I43" s="120" t="str">
        <f>IF(Q43="","",IF(AF43="","",IF(AND(N43=1,OR(AF43&lt;EXPEDIENTE!$F$25,AF43&gt;EXPEDIENTE!$F$29)),7,"")))</f>
        <v/>
      </c>
      <c r="J43" s="120" t="b">
        <f t="shared" si="14"/>
        <v>0</v>
      </c>
      <c r="K43" s="120">
        <f>IF(AF43&lt;EXPEDIENTE!$I$25,-1,IF(AF43&gt;EXPEDIENTE!$I$29,1,0))</f>
        <v>0</v>
      </c>
      <c r="L43" s="165" t="str">
        <f>IF(IFERROR(VLOOKUP(J43,AUXILIAR!$AF$6:$AG$15,2,FALSE),"")="","",VLOOKUP(J43,AUXILIAR!$AF$6:$AG$15,2,FALSE))</f>
        <v/>
      </c>
      <c r="M43" s="166">
        <v>35</v>
      </c>
      <c r="N43" s="147" t="str">
        <f t="shared" si="4"/>
        <v/>
      </c>
      <c r="O43" s="167"/>
      <c r="P43" s="168"/>
      <c r="Q43" s="169"/>
      <c r="R43" s="170"/>
      <c r="S43" s="171"/>
      <c r="T43" s="170"/>
      <c r="U43" s="170"/>
      <c r="V43" s="172"/>
      <c r="W43" s="173"/>
      <c r="X43" s="174"/>
      <c r="Y43" s="175"/>
      <c r="Z43" s="176"/>
      <c r="AA43" s="177">
        <f t="shared" si="5"/>
        <v>0</v>
      </c>
      <c r="AB43" s="176"/>
      <c r="AC43" s="177">
        <f t="shared" si="12"/>
        <v>0</v>
      </c>
      <c r="AD43" s="178">
        <f t="shared" si="13"/>
        <v>0</v>
      </c>
      <c r="AE43" s="307"/>
      <c r="AF43" s="160"/>
      <c r="AG43" s="179"/>
      <c r="AH43" s="310"/>
      <c r="AI43" s="179"/>
      <c r="AJ43" s="180"/>
      <c r="AK43" s="181"/>
      <c r="AL43" s="182"/>
    </row>
    <row r="44" spans="2:38" ht="30" customHeight="1" x14ac:dyDescent="0.2">
      <c r="B44" s="120" t="str">
        <f>IF(COUNTBLANK(O44:AL44)=20,"",IF(AND(N44&lt;&gt;"",OR(EXPEDIENTE!$F$25="",EXPEDIENTE!$F$27="")),0,""))</f>
        <v/>
      </c>
      <c r="C44" s="120" t="str">
        <f t="shared" si="1"/>
        <v/>
      </c>
      <c r="D44" s="120" t="str">
        <f t="shared" si="8"/>
        <v/>
      </c>
      <c r="E44" s="120" t="str">
        <f>IF(Q44="","",IF(AND(N44=1,OR(Q44&lt;EXPEDIENTE!$F$25,Q44&gt;EXPEDIENTE!$F$27)),3,""))</f>
        <v/>
      </c>
      <c r="F44" s="120" t="str">
        <f t="shared" si="9"/>
        <v/>
      </c>
      <c r="G44" s="120" t="str">
        <f t="shared" si="10"/>
        <v/>
      </c>
      <c r="H44" s="120" t="str">
        <f t="shared" si="11"/>
        <v/>
      </c>
      <c r="I44" s="120" t="str">
        <f>IF(Q44="","",IF(AF44="","",IF(AND(N44=1,OR(AF44&lt;EXPEDIENTE!$F$25,AF44&gt;EXPEDIENTE!$F$29)),7,"")))</f>
        <v/>
      </c>
      <c r="J44" s="120" t="b">
        <f t="shared" si="14"/>
        <v>0</v>
      </c>
      <c r="K44" s="120">
        <f>IF(AF44&lt;EXPEDIENTE!$I$25,-1,IF(AF44&gt;EXPEDIENTE!$I$29,1,0))</f>
        <v>0</v>
      </c>
      <c r="L44" s="165" t="str">
        <f>IF(IFERROR(VLOOKUP(J44,AUXILIAR!$AF$6:$AG$15,2,FALSE),"")="","",VLOOKUP(J44,AUXILIAR!$AF$6:$AG$15,2,FALSE))</f>
        <v/>
      </c>
      <c r="M44" s="166">
        <v>36</v>
      </c>
      <c r="N44" s="147" t="str">
        <f t="shared" si="4"/>
        <v/>
      </c>
      <c r="O44" s="167"/>
      <c r="P44" s="168"/>
      <c r="Q44" s="169"/>
      <c r="R44" s="170"/>
      <c r="S44" s="171"/>
      <c r="T44" s="170"/>
      <c r="U44" s="170"/>
      <c r="V44" s="172"/>
      <c r="W44" s="173"/>
      <c r="X44" s="174"/>
      <c r="Y44" s="175"/>
      <c r="Z44" s="176"/>
      <c r="AA44" s="177">
        <f t="shared" si="5"/>
        <v>0</v>
      </c>
      <c r="AB44" s="176"/>
      <c r="AC44" s="177">
        <f t="shared" si="12"/>
        <v>0</v>
      </c>
      <c r="AD44" s="178">
        <f t="shared" si="13"/>
        <v>0</v>
      </c>
      <c r="AE44" s="307"/>
      <c r="AF44" s="160"/>
      <c r="AG44" s="179"/>
      <c r="AH44" s="310"/>
      <c r="AI44" s="179"/>
      <c r="AJ44" s="180"/>
      <c r="AK44" s="181"/>
      <c r="AL44" s="182"/>
    </row>
    <row r="45" spans="2:38" ht="30" customHeight="1" x14ac:dyDescent="0.2">
      <c r="B45" s="120" t="str">
        <f>IF(COUNTBLANK(O45:AL45)=20,"",IF(AND(N45&lt;&gt;"",OR(EXPEDIENTE!$F$25="",EXPEDIENTE!$F$27="")),0,""))</f>
        <v/>
      </c>
      <c r="C45" s="120" t="str">
        <f t="shared" si="1"/>
        <v/>
      </c>
      <c r="D45" s="120" t="str">
        <f t="shared" si="8"/>
        <v/>
      </c>
      <c r="E45" s="120" t="str">
        <f>IF(Q45="","",IF(AND(N45=1,OR(Q45&lt;EXPEDIENTE!$F$25,Q45&gt;EXPEDIENTE!$F$27)),3,""))</f>
        <v/>
      </c>
      <c r="F45" s="120" t="str">
        <f t="shared" si="9"/>
        <v/>
      </c>
      <c r="G45" s="120" t="str">
        <f t="shared" si="10"/>
        <v/>
      </c>
      <c r="H45" s="120" t="str">
        <f t="shared" si="11"/>
        <v/>
      </c>
      <c r="I45" s="120" t="str">
        <f>IF(Q45="","",IF(AF45="","",IF(AND(N45=1,OR(AF45&lt;EXPEDIENTE!$F$25,AF45&gt;EXPEDIENTE!$F$29)),7,"")))</f>
        <v/>
      </c>
      <c r="J45" s="120" t="b">
        <f t="shared" si="14"/>
        <v>0</v>
      </c>
      <c r="K45" s="120">
        <f>IF(AF45&lt;EXPEDIENTE!$I$25,-1,IF(AF45&gt;EXPEDIENTE!$I$29,1,0))</f>
        <v>0</v>
      </c>
      <c r="L45" s="165" t="str">
        <f>IF(IFERROR(VLOOKUP(J45,AUXILIAR!$AF$6:$AG$15,2,FALSE),"")="","",VLOOKUP(J45,AUXILIAR!$AF$6:$AG$15,2,FALSE))</f>
        <v/>
      </c>
      <c r="M45" s="166">
        <v>37</v>
      </c>
      <c r="N45" s="147" t="str">
        <f t="shared" si="4"/>
        <v/>
      </c>
      <c r="O45" s="167"/>
      <c r="P45" s="168"/>
      <c r="Q45" s="169"/>
      <c r="R45" s="170"/>
      <c r="S45" s="171"/>
      <c r="T45" s="170"/>
      <c r="U45" s="170"/>
      <c r="V45" s="172"/>
      <c r="W45" s="173"/>
      <c r="X45" s="174"/>
      <c r="Y45" s="175"/>
      <c r="Z45" s="176"/>
      <c r="AA45" s="177">
        <f t="shared" si="5"/>
        <v>0</v>
      </c>
      <c r="AB45" s="176"/>
      <c r="AC45" s="177">
        <f t="shared" si="12"/>
        <v>0</v>
      </c>
      <c r="AD45" s="178">
        <f t="shared" si="13"/>
        <v>0</v>
      </c>
      <c r="AE45" s="307"/>
      <c r="AF45" s="160"/>
      <c r="AG45" s="179"/>
      <c r="AH45" s="310"/>
      <c r="AI45" s="179"/>
      <c r="AJ45" s="180"/>
      <c r="AK45" s="181"/>
      <c r="AL45" s="182"/>
    </row>
    <row r="46" spans="2:38" ht="30" customHeight="1" x14ac:dyDescent="0.2">
      <c r="B46" s="120" t="str">
        <f>IF(COUNTBLANK(O46:AL46)=20,"",IF(AND(N46&lt;&gt;"",OR(EXPEDIENTE!$F$25="",EXPEDIENTE!$F$27="")),0,""))</f>
        <v/>
      </c>
      <c r="C46" s="120" t="str">
        <f t="shared" si="1"/>
        <v/>
      </c>
      <c r="D46" s="120" t="str">
        <f t="shared" si="8"/>
        <v/>
      </c>
      <c r="E46" s="120" t="str">
        <f>IF(Q46="","",IF(AND(N46=1,OR(Q46&lt;EXPEDIENTE!$F$25,Q46&gt;EXPEDIENTE!$F$27)),3,""))</f>
        <v/>
      </c>
      <c r="F46" s="120" t="str">
        <f t="shared" si="9"/>
        <v/>
      </c>
      <c r="G46" s="120" t="str">
        <f t="shared" si="10"/>
        <v/>
      </c>
      <c r="H46" s="120" t="str">
        <f t="shared" si="11"/>
        <v/>
      </c>
      <c r="I46" s="120" t="str">
        <f>IF(Q46="","",IF(AF46="","",IF(AND(N46=1,OR(AF46&lt;EXPEDIENTE!$F$25,AF46&gt;EXPEDIENTE!$F$29)),7,"")))</f>
        <v/>
      </c>
      <c r="J46" s="120" t="b">
        <f t="shared" si="14"/>
        <v>0</v>
      </c>
      <c r="K46" s="120">
        <f>IF(AF46&lt;EXPEDIENTE!$I$25,-1,IF(AF46&gt;EXPEDIENTE!$I$29,1,0))</f>
        <v>0</v>
      </c>
      <c r="L46" s="165" t="str">
        <f>IF(IFERROR(VLOOKUP(J46,AUXILIAR!$AF$6:$AG$15,2,FALSE),"")="","",VLOOKUP(J46,AUXILIAR!$AF$6:$AG$15,2,FALSE))</f>
        <v/>
      </c>
      <c r="M46" s="166">
        <v>38</v>
      </c>
      <c r="N46" s="147" t="str">
        <f t="shared" si="4"/>
        <v/>
      </c>
      <c r="O46" s="167"/>
      <c r="P46" s="168"/>
      <c r="Q46" s="169"/>
      <c r="R46" s="170"/>
      <c r="S46" s="171"/>
      <c r="T46" s="170"/>
      <c r="U46" s="170"/>
      <c r="V46" s="172"/>
      <c r="W46" s="173"/>
      <c r="X46" s="174"/>
      <c r="Y46" s="175"/>
      <c r="Z46" s="176"/>
      <c r="AA46" s="177">
        <f t="shared" si="5"/>
        <v>0</v>
      </c>
      <c r="AB46" s="176"/>
      <c r="AC46" s="177">
        <f t="shared" si="12"/>
        <v>0</v>
      </c>
      <c r="AD46" s="178">
        <f t="shared" si="13"/>
        <v>0</v>
      </c>
      <c r="AE46" s="307"/>
      <c r="AF46" s="160"/>
      <c r="AG46" s="179"/>
      <c r="AH46" s="310"/>
      <c r="AI46" s="179"/>
      <c r="AJ46" s="180"/>
      <c r="AK46" s="181"/>
      <c r="AL46" s="182"/>
    </row>
    <row r="47" spans="2:38" ht="30" customHeight="1" x14ac:dyDescent="0.2">
      <c r="B47" s="120" t="str">
        <f>IF(COUNTBLANK(O47:AL47)=20,"",IF(AND(N47&lt;&gt;"",OR(EXPEDIENTE!$F$25="",EXPEDIENTE!$F$27="")),0,""))</f>
        <v/>
      </c>
      <c r="C47" s="120" t="str">
        <f t="shared" si="1"/>
        <v/>
      </c>
      <c r="D47" s="120" t="str">
        <f t="shared" si="8"/>
        <v/>
      </c>
      <c r="E47" s="120" t="str">
        <f>IF(Q47="","",IF(AND(N47=1,OR(Q47&lt;EXPEDIENTE!$F$25,Q47&gt;EXPEDIENTE!$F$27)),3,""))</f>
        <v/>
      </c>
      <c r="F47" s="120" t="str">
        <f t="shared" si="9"/>
        <v/>
      </c>
      <c r="G47" s="120" t="str">
        <f t="shared" si="10"/>
        <v/>
      </c>
      <c r="H47" s="120" t="str">
        <f t="shared" si="11"/>
        <v/>
      </c>
      <c r="I47" s="120" t="str">
        <f>IF(Q47="","",IF(AF47="","",IF(AND(N47=1,OR(AF47&lt;EXPEDIENTE!$F$25,AF47&gt;EXPEDIENTE!$F$29)),7,"")))</f>
        <v/>
      </c>
      <c r="J47" s="120" t="b">
        <f t="shared" si="14"/>
        <v>0</v>
      </c>
      <c r="K47" s="120">
        <f>IF(AF47&lt;EXPEDIENTE!$I$25,-1,IF(AF47&gt;EXPEDIENTE!$I$29,1,0))</f>
        <v>0</v>
      </c>
      <c r="L47" s="165" t="str">
        <f>IF(IFERROR(VLOOKUP(J47,AUXILIAR!$AF$6:$AG$15,2,FALSE),"")="","",VLOOKUP(J47,AUXILIAR!$AF$6:$AG$15,2,FALSE))</f>
        <v/>
      </c>
      <c r="M47" s="166">
        <v>39</v>
      </c>
      <c r="N47" s="147" t="str">
        <f t="shared" si="4"/>
        <v/>
      </c>
      <c r="O47" s="167"/>
      <c r="P47" s="168"/>
      <c r="Q47" s="169"/>
      <c r="R47" s="170"/>
      <c r="S47" s="171"/>
      <c r="T47" s="170"/>
      <c r="U47" s="170"/>
      <c r="V47" s="172"/>
      <c r="W47" s="173"/>
      <c r="X47" s="174"/>
      <c r="Y47" s="175"/>
      <c r="Z47" s="176"/>
      <c r="AA47" s="177">
        <f t="shared" si="5"/>
        <v>0</v>
      </c>
      <c r="AB47" s="176"/>
      <c r="AC47" s="177">
        <f t="shared" si="12"/>
        <v>0</v>
      </c>
      <c r="AD47" s="178">
        <f t="shared" si="13"/>
        <v>0</v>
      </c>
      <c r="AE47" s="307"/>
      <c r="AF47" s="160"/>
      <c r="AG47" s="179"/>
      <c r="AH47" s="310"/>
      <c r="AI47" s="179"/>
      <c r="AJ47" s="180"/>
      <c r="AK47" s="181"/>
      <c r="AL47" s="182"/>
    </row>
    <row r="48" spans="2:38" ht="30" customHeight="1" x14ac:dyDescent="0.2">
      <c r="B48" s="120" t="str">
        <f>IF(COUNTBLANK(O48:AL48)=20,"",IF(AND(N48&lt;&gt;"",OR(EXPEDIENTE!$F$25="",EXPEDIENTE!$F$27="")),0,""))</f>
        <v/>
      </c>
      <c r="C48" s="120" t="str">
        <f t="shared" si="1"/>
        <v/>
      </c>
      <c r="D48" s="120" t="str">
        <f t="shared" si="8"/>
        <v/>
      </c>
      <c r="E48" s="120" t="str">
        <f>IF(Q48="","",IF(AND(N48=1,OR(Q48&lt;EXPEDIENTE!$F$25,Q48&gt;EXPEDIENTE!$F$27)),3,""))</f>
        <v/>
      </c>
      <c r="F48" s="120" t="str">
        <f t="shared" si="9"/>
        <v/>
      </c>
      <c r="G48" s="120" t="str">
        <f t="shared" si="10"/>
        <v/>
      </c>
      <c r="H48" s="120" t="str">
        <f t="shared" si="11"/>
        <v/>
      </c>
      <c r="I48" s="120" t="str">
        <f>IF(Q48="","",IF(AF48="","",IF(AND(N48=1,OR(AF48&lt;EXPEDIENTE!$F$25,AF48&gt;EXPEDIENTE!$F$29)),7,"")))</f>
        <v/>
      </c>
      <c r="J48" s="120" t="b">
        <f t="shared" si="14"/>
        <v>0</v>
      </c>
      <c r="K48" s="120">
        <f>IF(AF48&lt;EXPEDIENTE!$I$25,-1,IF(AF48&gt;EXPEDIENTE!$I$29,1,0))</f>
        <v>0</v>
      </c>
      <c r="L48" s="165" t="str">
        <f>IF(IFERROR(VLOOKUP(J48,AUXILIAR!$AF$6:$AG$15,2,FALSE),"")="","",VLOOKUP(J48,AUXILIAR!$AF$6:$AG$15,2,FALSE))</f>
        <v/>
      </c>
      <c r="M48" s="166">
        <v>40</v>
      </c>
      <c r="N48" s="147" t="str">
        <f t="shared" si="4"/>
        <v/>
      </c>
      <c r="O48" s="183"/>
      <c r="P48" s="184"/>
      <c r="Q48" s="185"/>
      <c r="R48" s="186"/>
      <c r="S48" s="187"/>
      <c r="T48" s="186"/>
      <c r="U48" s="186"/>
      <c r="V48" s="188"/>
      <c r="W48" s="189"/>
      <c r="X48" s="190"/>
      <c r="Y48" s="191"/>
      <c r="Z48" s="192"/>
      <c r="AA48" s="177">
        <f t="shared" ref="AA48:AA82" si="15">W48*Z48</f>
        <v>0</v>
      </c>
      <c r="AB48" s="176"/>
      <c r="AC48" s="177">
        <f t="shared" ref="AC48:AC82" si="16">W48*AB48</f>
        <v>0</v>
      </c>
      <c r="AD48" s="178">
        <f t="shared" ref="AD48:AD82" si="17">W48+AC48-AA48</f>
        <v>0</v>
      </c>
      <c r="AE48" s="307"/>
      <c r="AF48" s="160"/>
      <c r="AG48" s="193"/>
      <c r="AH48" s="311"/>
      <c r="AI48" s="179"/>
      <c r="AJ48" s="180"/>
      <c r="AK48" s="181"/>
      <c r="AL48" s="194"/>
    </row>
    <row r="49" spans="2:38" ht="30" customHeight="1" x14ac:dyDescent="0.2">
      <c r="B49" s="120" t="str">
        <f>IF(COUNTBLANK(O49:AL49)=20,"",IF(AND(N49&lt;&gt;"",OR(EXPEDIENTE!$F$25="",EXPEDIENTE!$F$27="")),0,""))</f>
        <v/>
      </c>
      <c r="C49" s="120" t="str">
        <f t="shared" si="1"/>
        <v/>
      </c>
      <c r="D49" s="120" t="str">
        <f t="shared" si="8"/>
        <v/>
      </c>
      <c r="E49" s="120" t="str">
        <f>IF(Q49="","",IF(AND(N49=1,OR(Q49&lt;EXPEDIENTE!$F$25,Q49&gt;EXPEDIENTE!$F$27)),3,""))</f>
        <v/>
      </c>
      <c r="F49" s="120" t="str">
        <f t="shared" si="9"/>
        <v/>
      </c>
      <c r="G49" s="120" t="str">
        <f t="shared" si="10"/>
        <v/>
      </c>
      <c r="H49" s="120" t="str">
        <f t="shared" si="11"/>
        <v/>
      </c>
      <c r="I49" s="120" t="str">
        <f>IF(Q49="","",IF(AF49="","",IF(AND(N49=1,OR(AF49&lt;EXPEDIENTE!$F$25,AF49&gt;EXPEDIENTE!$F$29)),7,"")))</f>
        <v/>
      </c>
      <c r="J49" s="120" t="b">
        <f t="shared" si="14"/>
        <v>0</v>
      </c>
      <c r="K49" s="120">
        <f>IF(AF49&lt;EXPEDIENTE!$I$25,-1,IF(AF49&gt;EXPEDIENTE!$I$29,1,0))</f>
        <v>0</v>
      </c>
      <c r="L49" s="165" t="str">
        <f>IF(IFERROR(VLOOKUP(J49,AUXILIAR!$AF$6:$AG$15,2,FALSE),"")="","",VLOOKUP(J49,AUXILIAR!$AF$6:$AG$15,2,FALSE))</f>
        <v/>
      </c>
      <c r="M49" s="166">
        <v>41</v>
      </c>
      <c r="N49" s="147" t="str">
        <f t="shared" si="4"/>
        <v/>
      </c>
      <c r="O49" s="183"/>
      <c r="P49" s="184"/>
      <c r="Q49" s="185"/>
      <c r="R49" s="186"/>
      <c r="S49" s="187"/>
      <c r="T49" s="186"/>
      <c r="U49" s="186"/>
      <c r="V49" s="188"/>
      <c r="W49" s="189"/>
      <c r="X49" s="190"/>
      <c r="Y49" s="191"/>
      <c r="Z49" s="192"/>
      <c r="AA49" s="177">
        <f t="shared" si="15"/>
        <v>0</v>
      </c>
      <c r="AB49" s="176"/>
      <c r="AC49" s="177">
        <f t="shared" si="16"/>
        <v>0</v>
      </c>
      <c r="AD49" s="178">
        <f t="shared" si="17"/>
        <v>0</v>
      </c>
      <c r="AE49" s="307"/>
      <c r="AF49" s="160"/>
      <c r="AG49" s="193"/>
      <c r="AH49" s="311"/>
      <c r="AI49" s="179"/>
      <c r="AJ49" s="180"/>
      <c r="AK49" s="181"/>
      <c r="AL49" s="194"/>
    </row>
    <row r="50" spans="2:38" ht="30" customHeight="1" x14ac:dyDescent="0.2">
      <c r="B50" s="120" t="str">
        <f>IF(COUNTBLANK(O50:AL50)=20,"",IF(AND(N50&lt;&gt;"",OR(EXPEDIENTE!$F$25="",EXPEDIENTE!$F$27="")),0,""))</f>
        <v/>
      </c>
      <c r="C50" s="120" t="str">
        <f t="shared" si="1"/>
        <v/>
      </c>
      <c r="D50" s="120" t="str">
        <f t="shared" si="8"/>
        <v/>
      </c>
      <c r="E50" s="120" t="str">
        <f>IF(Q50="","",IF(AND(N50=1,OR(Q50&lt;EXPEDIENTE!$F$25,Q50&gt;EXPEDIENTE!$F$27)),3,""))</f>
        <v/>
      </c>
      <c r="F50" s="120" t="str">
        <f t="shared" si="9"/>
        <v/>
      </c>
      <c r="G50" s="120" t="str">
        <f t="shared" si="10"/>
        <v/>
      </c>
      <c r="H50" s="120" t="str">
        <f t="shared" si="11"/>
        <v/>
      </c>
      <c r="I50" s="120" t="str">
        <f>IF(Q50="","",IF(AF50="","",IF(AND(N50=1,OR(AF50&lt;EXPEDIENTE!$F$25,AF50&gt;EXPEDIENTE!$F$29)),7,"")))</f>
        <v/>
      </c>
      <c r="J50" s="120" t="b">
        <f t="shared" si="14"/>
        <v>0</v>
      </c>
      <c r="K50" s="120">
        <f>IF(AF50&lt;EXPEDIENTE!$I$25,-1,IF(AF50&gt;EXPEDIENTE!$I$29,1,0))</f>
        <v>0</v>
      </c>
      <c r="L50" s="165" t="str">
        <f>IF(IFERROR(VLOOKUP(J50,AUXILIAR!$AF$6:$AG$15,2,FALSE),"")="","",VLOOKUP(J50,AUXILIAR!$AF$6:$AG$15,2,FALSE))</f>
        <v/>
      </c>
      <c r="M50" s="166">
        <v>42</v>
      </c>
      <c r="N50" s="147" t="str">
        <f t="shared" si="4"/>
        <v/>
      </c>
      <c r="O50" s="183"/>
      <c r="P50" s="184"/>
      <c r="Q50" s="185"/>
      <c r="R50" s="186"/>
      <c r="S50" s="187"/>
      <c r="T50" s="186"/>
      <c r="U50" s="186"/>
      <c r="V50" s="188"/>
      <c r="W50" s="189"/>
      <c r="X50" s="190"/>
      <c r="Y50" s="191"/>
      <c r="Z50" s="192"/>
      <c r="AA50" s="177">
        <f t="shared" si="15"/>
        <v>0</v>
      </c>
      <c r="AB50" s="176"/>
      <c r="AC50" s="177">
        <f t="shared" si="16"/>
        <v>0</v>
      </c>
      <c r="AD50" s="178">
        <f t="shared" si="17"/>
        <v>0</v>
      </c>
      <c r="AE50" s="307"/>
      <c r="AF50" s="160"/>
      <c r="AG50" s="193"/>
      <c r="AH50" s="311"/>
      <c r="AI50" s="179"/>
      <c r="AJ50" s="180"/>
      <c r="AK50" s="181"/>
      <c r="AL50" s="194"/>
    </row>
    <row r="51" spans="2:38" ht="30" customHeight="1" x14ac:dyDescent="0.2">
      <c r="B51" s="120" t="str">
        <f>IF(COUNTBLANK(O51:AL51)=20,"",IF(AND(N51&lt;&gt;"",OR(EXPEDIENTE!$F$25="",EXPEDIENTE!$F$27="")),0,""))</f>
        <v/>
      </c>
      <c r="C51" s="120" t="str">
        <f t="shared" si="1"/>
        <v/>
      </c>
      <c r="D51" s="120" t="str">
        <f t="shared" si="8"/>
        <v/>
      </c>
      <c r="E51" s="120" t="str">
        <f>IF(Q51="","",IF(AND(N51=1,OR(Q51&lt;EXPEDIENTE!$F$25,Q51&gt;EXPEDIENTE!$F$27)),3,""))</f>
        <v/>
      </c>
      <c r="F51" s="120" t="str">
        <f t="shared" si="9"/>
        <v/>
      </c>
      <c r="G51" s="120" t="str">
        <f t="shared" si="10"/>
        <v/>
      </c>
      <c r="H51" s="120" t="str">
        <f t="shared" si="11"/>
        <v/>
      </c>
      <c r="I51" s="120" t="str">
        <f>IF(Q51="","",IF(AF51="","",IF(AND(N51=1,OR(AF51&lt;EXPEDIENTE!$F$25,AF51&gt;EXPEDIENTE!$F$29)),7,"")))</f>
        <v/>
      </c>
      <c r="J51" s="120" t="b">
        <f t="shared" si="14"/>
        <v>0</v>
      </c>
      <c r="K51" s="120">
        <f>IF(AF51&lt;EXPEDIENTE!$I$25,-1,IF(AF51&gt;EXPEDIENTE!$I$29,1,0))</f>
        <v>0</v>
      </c>
      <c r="L51" s="165" t="str">
        <f>IF(IFERROR(VLOOKUP(J51,AUXILIAR!$AF$6:$AG$15,2,FALSE),"")="","",VLOOKUP(J51,AUXILIAR!$AF$6:$AG$15,2,FALSE))</f>
        <v/>
      </c>
      <c r="M51" s="166">
        <v>43</v>
      </c>
      <c r="N51" s="147" t="str">
        <f t="shared" si="4"/>
        <v/>
      </c>
      <c r="O51" s="183"/>
      <c r="P51" s="184"/>
      <c r="Q51" s="185"/>
      <c r="R51" s="186"/>
      <c r="S51" s="187"/>
      <c r="T51" s="186"/>
      <c r="U51" s="186"/>
      <c r="V51" s="188"/>
      <c r="W51" s="189"/>
      <c r="X51" s="190"/>
      <c r="Y51" s="191"/>
      <c r="Z51" s="192"/>
      <c r="AA51" s="177">
        <f t="shared" si="15"/>
        <v>0</v>
      </c>
      <c r="AB51" s="176"/>
      <c r="AC51" s="177">
        <f t="shared" si="16"/>
        <v>0</v>
      </c>
      <c r="AD51" s="178">
        <f t="shared" si="17"/>
        <v>0</v>
      </c>
      <c r="AE51" s="307"/>
      <c r="AF51" s="160"/>
      <c r="AG51" s="193"/>
      <c r="AH51" s="311"/>
      <c r="AI51" s="179"/>
      <c r="AJ51" s="180"/>
      <c r="AK51" s="181"/>
      <c r="AL51" s="194"/>
    </row>
    <row r="52" spans="2:38" ht="30" customHeight="1" x14ac:dyDescent="0.2">
      <c r="B52" s="120" t="str">
        <f>IF(COUNTBLANK(O52:AL52)=20,"",IF(AND(N52&lt;&gt;"",OR(EXPEDIENTE!$F$25="",EXPEDIENTE!$F$27="")),0,""))</f>
        <v/>
      </c>
      <c r="C52" s="120" t="str">
        <f t="shared" si="1"/>
        <v/>
      </c>
      <c r="D52" s="120" t="str">
        <f t="shared" si="8"/>
        <v/>
      </c>
      <c r="E52" s="120" t="str">
        <f>IF(Q52="","",IF(AND(N52=1,OR(Q52&lt;EXPEDIENTE!$F$25,Q52&gt;EXPEDIENTE!$F$27)),3,""))</f>
        <v/>
      </c>
      <c r="F52" s="120" t="str">
        <f t="shared" si="9"/>
        <v/>
      </c>
      <c r="G52" s="120" t="str">
        <f t="shared" si="10"/>
        <v/>
      </c>
      <c r="H52" s="120" t="str">
        <f t="shared" si="11"/>
        <v/>
      </c>
      <c r="I52" s="120" t="str">
        <f>IF(Q52="","",IF(AF52="","",IF(AND(N52=1,OR(AF52&lt;EXPEDIENTE!$F$25,AF52&gt;EXPEDIENTE!$F$29)),7,"")))</f>
        <v/>
      </c>
      <c r="J52" s="120" t="b">
        <f t="shared" si="14"/>
        <v>0</v>
      </c>
      <c r="K52" s="120">
        <f>IF(AF52&lt;EXPEDIENTE!$I$25,-1,IF(AF52&gt;EXPEDIENTE!$I$29,1,0))</f>
        <v>0</v>
      </c>
      <c r="L52" s="165" t="str">
        <f>IF(IFERROR(VLOOKUP(J52,AUXILIAR!$AF$6:$AG$15,2,FALSE),"")="","",VLOOKUP(J52,AUXILIAR!$AF$6:$AG$15,2,FALSE))</f>
        <v/>
      </c>
      <c r="M52" s="166">
        <v>44</v>
      </c>
      <c r="N52" s="147" t="str">
        <f t="shared" si="4"/>
        <v/>
      </c>
      <c r="O52" s="183"/>
      <c r="P52" s="184"/>
      <c r="Q52" s="185"/>
      <c r="R52" s="186"/>
      <c r="S52" s="187"/>
      <c r="T52" s="186"/>
      <c r="U52" s="186"/>
      <c r="V52" s="188"/>
      <c r="W52" s="189"/>
      <c r="X52" s="190"/>
      <c r="Y52" s="191"/>
      <c r="Z52" s="192"/>
      <c r="AA52" s="177">
        <f t="shared" si="15"/>
        <v>0</v>
      </c>
      <c r="AB52" s="176"/>
      <c r="AC52" s="177">
        <f t="shared" si="16"/>
        <v>0</v>
      </c>
      <c r="AD52" s="178">
        <f t="shared" si="17"/>
        <v>0</v>
      </c>
      <c r="AE52" s="307"/>
      <c r="AF52" s="160"/>
      <c r="AG52" s="193"/>
      <c r="AH52" s="311"/>
      <c r="AI52" s="179"/>
      <c r="AJ52" s="180"/>
      <c r="AK52" s="181"/>
      <c r="AL52" s="194"/>
    </row>
    <row r="53" spans="2:38" ht="30" customHeight="1" x14ac:dyDescent="0.2">
      <c r="B53" s="120" t="str">
        <f>IF(COUNTBLANK(O53:AL53)=20,"",IF(AND(N53&lt;&gt;"",OR(EXPEDIENTE!$F$25="",EXPEDIENTE!$F$27="")),0,""))</f>
        <v/>
      </c>
      <c r="C53" s="120" t="str">
        <f t="shared" si="1"/>
        <v/>
      </c>
      <c r="D53" s="120" t="str">
        <f t="shared" si="8"/>
        <v/>
      </c>
      <c r="E53" s="120" t="str">
        <f>IF(Q53="","",IF(AND(N53=1,OR(Q53&lt;EXPEDIENTE!$F$25,Q53&gt;EXPEDIENTE!$F$27)),3,""))</f>
        <v/>
      </c>
      <c r="F53" s="120" t="str">
        <f t="shared" si="9"/>
        <v/>
      </c>
      <c r="G53" s="120" t="str">
        <f t="shared" si="10"/>
        <v/>
      </c>
      <c r="H53" s="120" t="str">
        <f t="shared" si="11"/>
        <v/>
      </c>
      <c r="I53" s="120" t="str">
        <f>IF(Q53="","",IF(AF53="","",IF(AND(N53=1,OR(AF53&lt;EXPEDIENTE!$F$25,AF53&gt;EXPEDIENTE!$F$29)),7,"")))</f>
        <v/>
      </c>
      <c r="J53" s="120" t="b">
        <f t="shared" si="14"/>
        <v>0</v>
      </c>
      <c r="K53" s="120">
        <f>IF(AF53&lt;EXPEDIENTE!$I$25,-1,IF(AF53&gt;EXPEDIENTE!$I$29,1,0))</f>
        <v>0</v>
      </c>
      <c r="L53" s="165" t="str">
        <f>IF(IFERROR(VLOOKUP(J53,AUXILIAR!$AF$6:$AG$15,2,FALSE),"")="","",VLOOKUP(J53,AUXILIAR!$AF$6:$AG$15,2,FALSE))</f>
        <v/>
      </c>
      <c r="M53" s="166">
        <v>45</v>
      </c>
      <c r="N53" s="147" t="str">
        <f t="shared" si="4"/>
        <v/>
      </c>
      <c r="O53" s="183"/>
      <c r="P53" s="184"/>
      <c r="Q53" s="185"/>
      <c r="R53" s="186"/>
      <c r="S53" s="187"/>
      <c r="T53" s="186"/>
      <c r="U53" s="186"/>
      <c r="V53" s="188"/>
      <c r="W53" s="189"/>
      <c r="X53" s="190"/>
      <c r="Y53" s="191"/>
      <c r="Z53" s="192"/>
      <c r="AA53" s="177">
        <f t="shared" si="15"/>
        <v>0</v>
      </c>
      <c r="AB53" s="176"/>
      <c r="AC53" s="177">
        <f t="shared" si="16"/>
        <v>0</v>
      </c>
      <c r="AD53" s="178">
        <f t="shared" si="17"/>
        <v>0</v>
      </c>
      <c r="AE53" s="307"/>
      <c r="AF53" s="160"/>
      <c r="AG53" s="193"/>
      <c r="AH53" s="311"/>
      <c r="AI53" s="179"/>
      <c r="AJ53" s="180"/>
      <c r="AK53" s="181"/>
      <c r="AL53" s="194"/>
    </row>
    <row r="54" spans="2:38" ht="30" customHeight="1" x14ac:dyDescent="0.2">
      <c r="B54" s="120" t="str">
        <f>IF(COUNTBLANK(O54:AL54)=20,"",IF(AND(N54&lt;&gt;"",OR(EXPEDIENTE!$F$25="",EXPEDIENTE!$F$27="")),0,""))</f>
        <v/>
      </c>
      <c r="C54" s="120" t="str">
        <f t="shared" si="1"/>
        <v/>
      </c>
      <c r="D54" s="120" t="str">
        <f t="shared" si="8"/>
        <v/>
      </c>
      <c r="E54" s="120" t="str">
        <f>IF(Q54="","",IF(AND(N54=1,OR(Q54&lt;EXPEDIENTE!$F$25,Q54&gt;EXPEDIENTE!$F$27)),3,""))</f>
        <v/>
      </c>
      <c r="F54" s="120" t="str">
        <f t="shared" si="9"/>
        <v/>
      </c>
      <c r="G54" s="120" t="str">
        <f t="shared" si="10"/>
        <v/>
      </c>
      <c r="H54" s="120" t="str">
        <f t="shared" si="11"/>
        <v/>
      </c>
      <c r="I54" s="120" t="str">
        <f>IF(Q54="","",IF(AF54="","",IF(AND(N54=1,OR(AF54&lt;EXPEDIENTE!$F$25,AF54&gt;EXPEDIENTE!$F$29)),7,"")))</f>
        <v/>
      </c>
      <c r="J54" s="120" t="b">
        <f t="shared" si="14"/>
        <v>0</v>
      </c>
      <c r="K54" s="120">
        <f>IF(AF54&lt;EXPEDIENTE!$I$25,-1,IF(AF54&gt;EXPEDIENTE!$I$29,1,0))</f>
        <v>0</v>
      </c>
      <c r="L54" s="165" t="str">
        <f>IF(IFERROR(VLOOKUP(J54,AUXILIAR!$AF$6:$AG$15,2,FALSE),"")="","",VLOOKUP(J54,AUXILIAR!$AF$6:$AG$15,2,FALSE))</f>
        <v/>
      </c>
      <c r="M54" s="166">
        <v>46</v>
      </c>
      <c r="N54" s="147" t="str">
        <f t="shared" si="4"/>
        <v/>
      </c>
      <c r="O54" s="183"/>
      <c r="P54" s="184"/>
      <c r="Q54" s="185"/>
      <c r="R54" s="186"/>
      <c r="S54" s="187"/>
      <c r="T54" s="186"/>
      <c r="U54" s="186"/>
      <c r="V54" s="188"/>
      <c r="W54" s="189"/>
      <c r="X54" s="190"/>
      <c r="Y54" s="191"/>
      <c r="Z54" s="192"/>
      <c r="AA54" s="177">
        <f t="shared" si="15"/>
        <v>0</v>
      </c>
      <c r="AB54" s="176"/>
      <c r="AC54" s="177">
        <f t="shared" si="16"/>
        <v>0</v>
      </c>
      <c r="AD54" s="178">
        <f t="shared" si="17"/>
        <v>0</v>
      </c>
      <c r="AE54" s="307"/>
      <c r="AF54" s="160"/>
      <c r="AG54" s="193"/>
      <c r="AH54" s="311"/>
      <c r="AI54" s="179"/>
      <c r="AJ54" s="180"/>
      <c r="AK54" s="181"/>
      <c r="AL54" s="194"/>
    </row>
    <row r="55" spans="2:38" ht="30" customHeight="1" x14ac:dyDescent="0.2">
      <c r="B55" s="120" t="str">
        <f>IF(COUNTBLANK(O55:AL55)=20,"",IF(AND(N55&lt;&gt;"",OR(EXPEDIENTE!$F$25="",EXPEDIENTE!$F$27="")),0,""))</f>
        <v/>
      </c>
      <c r="C55" s="120" t="str">
        <f t="shared" si="1"/>
        <v/>
      </c>
      <c r="D55" s="120" t="str">
        <f t="shared" si="8"/>
        <v/>
      </c>
      <c r="E55" s="120" t="str">
        <f>IF(Q55="","",IF(AND(N55=1,OR(Q55&lt;EXPEDIENTE!$F$25,Q55&gt;EXPEDIENTE!$F$27)),3,""))</f>
        <v/>
      </c>
      <c r="F55" s="120" t="str">
        <f t="shared" si="9"/>
        <v/>
      </c>
      <c r="G55" s="120" t="str">
        <f t="shared" si="10"/>
        <v/>
      </c>
      <c r="H55" s="120" t="str">
        <f t="shared" si="11"/>
        <v/>
      </c>
      <c r="I55" s="120" t="str">
        <f>IF(Q55="","",IF(AF55="","",IF(AND(N55=1,OR(AF55&lt;EXPEDIENTE!$F$25,AF55&gt;EXPEDIENTE!$F$29)),7,"")))</f>
        <v/>
      </c>
      <c r="J55" s="120" t="b">
        <f t="shared" si="14"/>
        <v>0</v>
      </c>
      <c r="K55" s="120">
        <f>IF(AF55&lt;EXPEDIENTE!$I$25,-1,IF(AF55&gt;EXPEDIENTE!$I$29,1,0))</f>
        <v>0</v>
      </c>
      <c r="L55" s="165" t="str">
        <f>IF(IFERROR(VLOOKUP(J55,AUXILIAR!$AF$6:$AG$15,2,FALSE),"")="","",VLOOKUP(J55,AUXILIAR!$AF$6:$AG$15,2,FALSE))</f>
        <v/>
      </c>
      <c r="M55" s="166">
        <v>47</v>
      </c>
      <c r="N55" s="147" t="str">
        <f t="shared" si="4"/>
        <v/>
      </c>
      <c r="O55" s="183"/>
      <c r="P55" s="184"/>
      <c r="Q55" s="185"/>
      <c r="R55" s="186"/>
      <c r="S55" s="187"/>
      <c r="T55" s="186"/>
      <c r="U55" s="186"/>
      <c r="V55" s="188"/>
      <c r="W55" s="189"/>
      <c r="X55" s="190"/>
      <c r="Y55" s="191"/>
      <c r="Z55" s="192"/>
      <c r="AA55" s="177">
        <f t="shared" si="15"/>
        <v>0</v>
      </c>
      <c r="AB55" s="176"/>
      <c r="AC55" s="177">
        <f t="shared" si="16"/>
        <v>0</v>
      </c>
      <c r="AD55" s="178">
        <f t="shared" si="17"/>
        <v>0</v>
      </c>
      <c r="AE55" s="307"/>
      <c r="AF55" s="160"/>
      <c r="AG55" s="193"/>
      <c r="AH55" s="311"/>
      <c r="AI55" s="179"/>
      <c r="AJ55" s="180"/>
      <c r="AK55" s="181"/>
      <c r="AL55" s="194"/>
    </row>
    <row r="56" spans="2:38" ht="30" customHeight="1" x14ac:dyDescent="0.2">
      <c r="B56" s="120" t="str">
        <f>IF(COUNTBLANK(O56:AL56)=20,"",IF(AND(N56&lt;&gt;"",OR(EXPEDIENTE!$F$25="",EXPEDIENTE!$F$27="")),0,""))</f>
        <v/>
      </c>
      <c r="C56" s="120" t="str">
        <f t="shared" si="1"/>
        <v/>
      </c>
      <c r="D56" s="120" t="str">
        <f t="shared" si="8"/>
        <v/>
      </c>
      <c r="E56" s="120" t="str">
        <f>IF(Q56="","",IF(AND(N56=1,OR(Q56&lt;EXPEDIENTE!$F$25,Q56&gt;EXPEDIENTE!$F$27)),3,""))</f>
        <v/>
      </c>
      <c r="F56" s="120" t="str">
        <f t="shared" si="9"/>
        <v/>
      </c>
      <c r="G56" s="120" t="str">
        <f t="shared" si="10"/>
        <v/>
      </c>
      <c r="H56" s="120" t="str">
        <f t="shared" si="11"/>
        <v/>
      </c>
      <c r="I56" s="120" t="str">
        <f>IF(Q56="","",IF(AF56="","",IF(AND(N56=1,OR(AF56&lt;EXPEDIENTE!$F$25,AF56&gt;EXPEDIENTE!$F$29)),7,"")))</f>
        <v/>
      </c>
      <c r="J56" s="120" t="b">
        <f t="shared" si="14"/>
        <v>0</v>
      </c>
      <c r="K56" s="120">
        <f>IF(AF56&lt;EXPEDIENTE!$I$25,-1,IF(AF56&gt;EXPEDIENTE!$I$29,1,0))</f>
        <v>0</v>
      </c>
      <c r="L56" s="165" t="str">
        <f>IF(IFERROR(VLOOKUP(J56,AUXILIAR!$AF$6:$AG$15,2,FALSE),"")="","",VLOOKUP(J56,AUXILIAR!$AF$6:$AG$15,2,FALSE))</f>
        <v/>
      </c>
      <c r="M56" s="166">
        <v>48</v>
      </c>
      <c r="N56" s="147" t="str">
        <f t="shared" si="4"/>
        <v/>
      </c>
      <c r="O56" s="183"/>
      <c r="P56" s="184"/>
      <c r="Q56" s="185"/>
      <c r="R56" s="186"/>
      <c r="S56" s="187"/>
      <c r="T56" s="186"/>
      <c r="U56" s="186"/>
      <c r="V56" s="188"/>
      <c r="W56" s="189"/>
      <c r="X56" s="190"/>
      <c r="Y56" s="191"/>
      <c r="Z56" s="192"/>
      <c r="AA56" s="177">
        <f t="shared" si="15"/>
        <v>0</v>
      </c>
      <c r="AB56" s="176"/>
      <c r="AC56" s="177">
        <f t="shared" si="16"/>
        <v>0</v>
      </c>
      <c r="AD56" s="178">
        <f t="shared" si="17"/>
        <v>0</v>
      </c>
      <c r="AE56" s="307"/>
      <c r="AF56" s="160"/>
      <c r="AG56" s="193"/>
      <c r="AH56" s="311"/>
      <c r="AI56" s="179"/>
      <c r="AJ56" s="180"/>
      <c r="AK56" s="181"/>
      <c r="AL56" s="194"/>
    </row>
    <row r="57" spans="2:38" ht="30" customHeight="1" x14ac:dyDescent="0.2">
      <c r="B57" s="120" t="str">
        <f>IF(COUNTBLANK(O57:AL57)=20,"",IF(AND(N57&lt;&gt;"",OR(EXPEDIENTE!$F$25="",EXPEDIENTE!$F$27="")),0,""))</f>
        <v/>
      </c>
      <c r="C57" s="120" t="str">
        <f t="shared" si="1"/>
        <v/>
      </c>
      <c r="D57" s="120" t="str">
        <f t="shared" si="8"/>
        <v/>
      </c>
      <c r="E57" s="120" t="str">
        <f>IF(Q57="","",IF(AND(N57=1,OR(Q57&lt;EXPEDIENTE!$F$25,Q57&gt;EXPEDIENTE!$F$27)),3,""))</f>
        <v/>
      </c>
      <c r="F57" s="120" t="str">
        <f t="shared" si="9"/>
        <v/>
      </c>
      <c r="G57" s="120" t="str">
        <f t="shared" si="10"/>
        <v/>
      </c>
      <c r="H57" s="120" t="str">
        <f t="shared" si="11"/>
        <v/>
      </c>
      <c r="I57" s="120" t="str">
        <f>IF(Q57="","",IF(AF57="","",IF(AND(N57=1,OR(AF57&lt;EXPEDIENTE!$F$25,AF57&gt;EXPEDIENTE!$F$29)),7,"")))</f>
        <v/>
      </c>
      <c r="J57" s="120" t="b">
        <f t="shared" si="14"/>
        <v>0</v>
      </c>
      <c r="K57" s="120">
        <f>IF(AF57&lt;EXPEDIENTE!$I$25,-1,IF(AF57&gt;EXPEDIENTE!$I$29,1,0))</f>
        <v>0</v>
      </c>
      <c r="L57" s="165" t="str">
        <f>IF(IFERROR(VLOOKUP(J57,AUXILIAR!$AF$6:$AG$15,2,FALSE),"")="","",VLOOKUP(J57,AUXILIAR!$AF$6:$AG$15,2,FALSE))</f>
        <v/>
      </c>
      <c r="M57" s="166">
        <v>49</v>
      </c>
      <c r="N57" s="147" t="str">
        <f t="shared" si="4"/>
        <v/>
      </c>
      <c r="O57" s="183"/>
      <c r="P57" s="184"/>
      <c r="Q57" s="185"/>
      <c r="R57" s="186"/>
      <c r="S57" s="187"/>
      <c r="T57" s="186"/>
      <c r="U57" s="186"/>
      <c r="V57" s="188"/>
      <c r="W57" s="189"/>
      <c r="X57" s="190"/>
      <c r="Y57" s="191"/>
      <c r="Z57" s="192"/>
      <c r="AA57" s="177">
        <f t="shared" si="15"/>
        <v>0</v>
      </c>
      <c r="AB57" s="176"/>
      <c r="AC57" s="177">
        <f t="shared" si="16"/>
        <v>0</v>
      </c>
      <c r="AD57" s="178">
        <f t="shared" si="17"/>
        <v>0</v>
      </c>
      <c r="AE57" s="307"/>
      <c r="AF57" s="160"/>
      <c r="AG57" s="193"/>
      <c r="AH57" s="311"/>
      <c r="AI57" s="179"/>
      <c r="AJ57" s="180"/>
      <c r="AK57" s="181"/>
      <c r="AL57" s="194"/>
    </row>
    <row r="58" spans="2:38" ht="30" customHeight="1" x14ac:dyDescent="0.2">
      <c r="B58" s="120" t="str">
        <f>IF(COUNTBLANK(O58:AL58)=20,"",IF(AND(N58&lt;&gt;"",OR(EXPEDIENTE!$F$25="",EXPEDIENTE!$F$27="")),0,""))</f>
        <v/>
      </c>
      <c r="C58" s="120" t="str">
        <f t="shared" si="1"/>
        <v/>
      </c>
      <c r="D58" s="120" t="str">
        <f t="shared" si="8"/>
        <v/>
      </c>
      <c r="E58" s="120" t="str">
        <f>IF(Q58="","",IF(AND(N58=1,OR(Q58&lt;EXPEDIENTE!$F$25,Q58&gt;EXPEDIENTE!$F$27)),3,""))</f>
        <v/>
      </c>
      <c r="F58" s="120" t="str">
        <f t="shared" si="9"/>
        <v/>
      </c>
      <c r="G58" s="120" t="str">
        <f t="shared" si="10"/>
        <v/>
      </c>
      <c r="H58" s="120" t="str">
        <f t="shared" si="11"/>
        <v/>
      </c>
      <c r="I58" s="120" t="str">
        <f>IF(Q58="","",IF(AF58="","",IF(AND(N58=1,OR(AF58&lt;EXPEDIENTE!$F$25,AF58&gt;EXPEDIENTE!$F$29)),7,"")))</f>
        <v/>
      </c>
      <c r="J58" s="120" t="b">
        <f t="shared" si="14"/>
        <v>0</v>
      </c>
      <c r="K58" s="120">
        <f>IF(AF58&lt;EXPEDIENTE!$I$25,-1,IF(AF58&gt;EXPEDIENTE!$I$29,1,0))</f>
        <v>0</v>
      </c>
      <c r="L58" s="165" t="str">
        <f>IF(IFERROR(VLOOKUP(J58,AUXILIAR!$AF$6:$AG$15,2,FALSE),"")="","",VLOOKUP(J58,AUXILIAR!$AF$6:$AG$15,2,FALSE))</f>
        <v/>
      </c>
      <c r="M58" s="166">
        <v>50</v>
      </c>
      <c r="N58" s="147" t="str">
        <f t="shared" si="4"/>
        <v/>
      </c>
      <c r="O58" s="183"/>
      <c r="P58" s="184"/>
      <c r="Q58" s="185"/>
      <c r="R58" s="186"/>
      <c r="S58" s="187"/>
      <c r="T58" s="186"/>
      <c r="U58" s="186"/>
      <c r="V58" s="188"/>
      <c r="W58" s="189"/>
      <c r="X58" s="190"/>
      <c r="Y58" s="191"/>
      <c r="Z58" s="192"/>
      <c r="AA58" s="177">
        <f t="shared" si="15"/>
        <v>0</v>
      </c>
      <c r="AB58" s="176"/>
      <c r="AC58" s="177">
        <f t="shared" si="16"/>
        <v>0</v>
      </c>
      <c r="AD58" s="178">
        <f t="shared" si="17"/>
        <v>0</v>
      </c>
      <c r="AE58" s="307"/>
      <c r="AF58" s="160"/>
      <c r="AG58" s="193"/>
      <c r="AH58" s="311"/>
      <c r="AI58" s="179"/>
      <c r="AJ58" s="180"/>
      <c r="AK58" s="181"/>
      <c r="AL58" s="194"/>
    </row>
    <row r="59" spans="2:38" ht="30" customHeight="1" x14ac:dyDescent="0.2">
      <c r="B59" s="120" t="str">
        <f>IF(COUNTBLANK(O59:AL59)=20,"",IF(AND(N59&lt;&gt;"",OR(EXPEDIENTE!$F$25="",EXPEDIENTE!$F$27="")),0,""))</f>
        <v/>
      </c>
      <c r="C59" s="120" t="str">
        <f t="shared" si="1"/>
        <v/>
      </c>
      <c r="D59" s="120" t="str">
        <f t="shared" si="8"/>
        <v/>
      </c>
      <c r="E59" s="120" t="str">
        <f>IF(Q59="","",IF(AND(N59=1,OR(Q59&lt;EXPEDIENTE!$F$25,Q59&gt;EXPEDIENTE!$F$27)),3,""))</f>
        <v/>
      </c>
      <c r="F59" s="120" t="str">
        <f t="shared" si="9"/>
        <v/>
      </c>
      <c r="G59" s="120" t="str">
        <f t="shared" si="10"/>
        <v/>
      </c>
      <c r="H59" s="120" t="str">
        <f t="shared" si="11"/>
        <v/>
      </c>
      <c r="I59" s="120" t="str">
        <f>IF(Q59="","",IF(AF59="","",IF(AND(N59=1,OR(AF59&lt;EXPEDIENTE!$F$25,AF59&gt;EXPEDIENTE!$F$29)),7,"")))</f>
        <v/>
      </c>
      <c r="J59" s="120" t="b">
        <f t="shared" si="14"/>
        <v>0</v>
      </c>
      <c r="K59" s="120">
        <f>IF(AF59&lt;EXPEDIENTE!$I$25,-1,IF(AF59&gt;EXPEDIENTE!$I$29,1,0))</f>
        <v>0</v>
      </c>
      <c r="L59" s="165" t="str">
        <f>IF(IFERROR(VLOOKUP(J59,AUXILIAR!$AF$6:$AG$15,2,FALSE),"")="","",VLOOKUP(J59,AUXILIAR!$AF$6:$AG$15,2,FALSE))</f>
        <v/>
      </c>
      <c r="M59" s="166">
        <v>51</v>
      </c>
      <c r="N59" s="147" t="str">
        <f t="shared" si="4"/>
        <v/>
      </c>
      <c r="O59" s="183"/>
      <c r="P59" s="184"/>
      <c r="Q59" s="185"/>
      <c r="R59" s="186"/>
      <c r="S59" s="187"/>
      <c r="T59" s="186"/>
      <c r="U59" s="186"/>
      <c r="V59" s="188"/>
      <c r="W59" s="189"/>
      <c r="X59" s="190"/>
      <c r="Y59" s="191"/>
      <c r="Z59" s="192"/>
      <c r="AA59" s="177">
        <f t="shared" si="15"/>
        <v>0</v>
      </c>
      <c r="AB59" s="176"/>
      <c r="AC59" s="177">
        <f t="shared" si="16"/>
        <v>0</v>
      </c>
      <c r="AD59" s="178">
        <f t="shared" si="17"/>
        <v>0</v>
      </c>
      <c r="AE59" s="307"/>
      <c r="AF59" s="160"/>
      <c r="AG59" s="193"/>
      <c r="AH59" s="311"/>
      <c r="AI59" s="179"/>
      <c r="AJ59" s="180"/>
      <c r="AK59" s="181"/>
      <c r="AL59" s="194"/>
    </row>
    <row r="60" spans="2:38" ht="30" customHeight="1" x14ac:dyDescent="0.2">
      <c r="B60" s="120" t="str">
        <f>IF(COUNTBLANK(O60:AL60)=20,"",IF(AND(N60&lt;&gt;"",OR(EXPEDIENTE!$F$25="",EXPEDIENTE!$F$27="")),0,""))</f>
        <v/>
      </c>
      <c r="C60" s="120" t="str">
        <f t="shared" si="1"/>
        <v/>
      </c>
      <c r="D60" s="120" t="str">
        <f t="shared" si="8"/>
        <v/>
      </c>
      <c r="E60" s="120" t="str">
        <f>IF(Q60="","",IF(AND(N60=1,OR(Q60&lt;EXPEDIENTE!$F$25,Q60&gt;EXPEDIENTE!$F$27)),3,""))</f>
        <v/>
      </c>
      <c r="F60" s="120" t="str">
        <f t="shared" si="9"/>
        <v/>
      </c>
      <c r="G60" s="120" t="str">
        <f t="shared" si="10"/>
        <v/>
      </c>
      <c r="H60" s="120" t="str">
        <f t="shared" si="11"/>
        <v/>
      </c>
      <c r="I60" s="120" t="str">
        <f>IF(Q60="","",IF(AF60="","",IF(AND(N60=1,OR(AF60&lt;EXPEDIENTE!$F$25,AF60&gt;EXPEDIENTE!$F$29)),7,"")))</f>
        <v/>
      </c>
      <c r="J60" s="120" t="b">
        <f t="shared" si="14"/>
        <v>0</v>
      </c>
      <c r="K60" s="120">
        <f>IF(AF60&lt;EXPEDIENTE!$I$25,-1,IF(AF60&gt;EXPEDIENTE!$I$29,1,0))</f>
        <v>0</v>
      </c>
      <c r="L60" s="165" t="str">
        <f>IF(IFERROR(VLOOKUP(J60,AUXILIAR!$AF$6:$AG$15,2,FALSE),"")="","",VLOOKUP(J60,AUXILIAR!$AF$6:$AG$15,2,FALSE))</f>
        <v/>
      </c>
      <c r="M60" s="166">
        <v>52</v>
      </c>
      <c r="N60" s="147" t="str">
        <f t="shared" si="4"/>
        <v/>
      </c>
      <c r="O60" s="183"/>
      <c r="P60" s="184"/>
      <c r="Q60" s="185"/>
      <c r="R60" s="186"/>
      <c r="S60" s="187"/>
      <c r="T60" s="186"/>
      <c r="U60" s="186"/>
      <c r="V60" s="188"/>
      <c r="W60" s="189"/>
      <c r="X60" s="190"/>
      <c r="Y60" s="191"/>
      <c r="Z60" s="192"/>
      <c r="AA60" s="177">
        <f t="shared" si="15"/>
        <v>0</v>
      </c>
      <c r="AB60" s="176"/>
      <c r="AC60" s="177">
        <f t="shared" si="16"/>
        <v>0</v>
      </c>
      <c r="AD60" s="178">
        <f t="shared" si="17"/>
        <v>0</v>
      </c>
      <c r="AE60" s="307"/>
      <c r="AF60" s="160"/>
      <c r="AG60" s="193"/>
      <c r="AH60" s="311"/>
      <c r="AI60" s="179"/>
      <c r="AJ60" s="180"/>
      <c r="AK60" s="181"/>
      <c r="AL60" s="194"/>
    </row>
    <row r="61" spans="2:38" ht="30" customHeight="1" x14ac:dyDescent="0.2">
      <c r="B61" s="120" t="str">
        <f>IF(COUNTBLANK(O61:AL61)=20,"",IF(AND(N61&lt;&gt;"",OR(EXPEDIENTE!$F$25="",EXPEDIENTE!$F$27="")),0,""))</f>
        <v/>
      </c>
      <c r="C61" s="120" t="str">
        <f t="shared" si="1"/>
        <v/>
      </c>
      <c r="D61" s="120" t="str">
        <f t="shared" si="8"/>
        <v/>
      </c>
      <c r="E61" s="120" t="str">
        <f>IF(Q61="","",IF(AND(N61=1,OR(Q61&lt;EXPEDIENTE!$F$25,Q61&gt;EXPEDIENTE!$F$27)),3,""))</f>
        <v/>
      </c>
      <c r="F61" s="120" t="str">
        <f t="shared" si="9"/>
        <v/>
      </c>
      <c r="G61" s="120" t="str">
        <f t="shared" si="10"/>
        <v/>
      </c>
      <c r="H61" s="120" t="str">
        <f t="shared" si="11"/>
        <v/>
      </c>
      <c r="I61" s="120" t="str">
        <f>IF(Q61="","",IF(AF61="","",IF(AND(N61=1,OR(AF61&lt;EXPEDIENTE!$F$25,AF61&gt;EXPEDIENTE!$F$29)),7,"")))</f>
        <v/>
      </c>
      <c r="J61" s="120" t="b">
        <f t="shared" si="14"/>
        <v>0</v>
      </c>
      <c r="K61" s="120">
        <f>IF(AF61&lt;EXPEDIENTE!$I$25,-1,IF(AF61&gt;EXPEDIENTE!$I$29,1,0))</f>
        <v>0</v>
      </c>
      <c r="L61" s="165" t="str">
        <f>IF(IFERROR(VLOOKUP(J61,AUXILIAR!$AF$6:$AG$15,2,FALSE),"")="","",VLOOKUP(J61,AUXILIAR!$AF$6:$AG$15,2,FALSE))</f>
        <v/>
      </c>
      <c r="M61" s="166">
        <v>53</v>
      </c>
      <c r="N61" s="147" t="str">
        <f t="shared" si="4"/>
        <v/>
      </c>
      <c r="O61" s="183"/>
      <c r="P61" s="184"/>
      <c r="Q61" s="185"/>
      <c r="R61" s="186"/>
      <c r="S61" s="187"/>
      <c r="T61" s="186"/>
      <c r="U61" s="186"/>
      <c r="V61" s="188"/>
      <c r="W61" s="189"/>
      <c r="X61" s="190"/>
      <c r="Y61" s="191"/>
      <c r="Z61" s="192"/>
      <c r="AA61" s="177">
        <f t="shared" si="15"/>
        <v>0</v>
      </c>
      <c r="AB61" s="176"/>
      <c r="AC61" s="177">
        <f t="shared" si="16"/>
        <v>0</v>
      </c>
      <c r="AD61" s="178">
        <f t="shared" si="17"/>
        <v>0</v>
      </c>
      <c r="AE61" s="307"/>
      <c r="AF61" s="160"/>
      <c r="AG61" s="193"/>
      <c r="AH61" s="311"/>
      <c r="AI61" s="179"/>
      <c r="AJ61" s="180"/>
      <c r="AK61" s="181"/>
      <c r="AL61" s="194"/>
    </row>
    <row r="62" spans="2:38" ht="30" customHeight="1" x14ac:dyDescent="0.2">
      <c r="B62" s="120" t="str">
        <f>IF(COUNTBLANK(O62:AL62)=20,"",IF(AND(N62&lt;&gt;"",OR(EXPEDIENTE!$F$25="",EXPEDIENTE!$F$27="")),0,""))</f>
        <v/>
      </c>
      <c r="C62" s="120" t="str">
        <f t="shared" si="1"/>
        <v/>
      </c>
      <c r="D62" s="120" t="str">
        <f t="shared" si="8"/>
        <v/>
      </c>
      <c r="E62" s="120" t="str">
        <f>IF(Q62="","",IF(AND(N62=1,OR(Q62&lt;EXPEDIENTE!$F$25,Q62&gt;EXPEDIENTE!$F$27)),3,""))</f>
        <v/>
      </c>
      <c r="F62" s="120" t="str">
        <f t="shared" si="9"/>
        <v/>
      </c>
      <c r="G62" s="120" t="str">
        <f t="shared" si="10"/>
        <v/>
      </c>
      <c r="H62" s="120" t="str">
        <f t="shared" si="11"/>
        <v/>
      </c>
      <c r="I62" s="120" t="str">
        <f>IF(Q62="","",IF(AF62="","",IF(AND(N62=1,OR(AF62&lt;EXPEDIENTE!$F$25,AF62&gt;EXPEDIENTE!$F$29)),7,"")))</f>
        <v/>
      </c>
      <c r="J62" s="120" t="b">
        <f t="shared" si="14"/>
        <v>0</v>
      </c>
      <c r="K62" s="120">
        <f>IF(AF62&lt;EXPEDIENTE!$I$25,-1,IF(AF62&gt;EXPEDIENTE!$I$29,1,0))</f>
        <v>0</v>
      </c>
      <c r="L62" s="165" t="str">
        <f>IF(IFERROR(VLOOKUP(J62,AUXILIAR!$AF$6:$AG$15,2,FALSE),"")="","",VLOOKUP(J62,AUXILIAR!$AF$6:$AG$15,2,FALSE))</f>
        <v/>
      </c>
      <c r="M62" s="166">
        <v>54</v>
      </c>
      <c r="N62" s="147" t="str">
        <f t="shared" si="4"/>
        <v/>
      </c>
      <c r="O62" s="183"/>
      <c r="P62" s="184"/>
      <c r="Q62" s="185"/>
      <c r="R62" s="186"/>
      <c r="S62" s="187"/>
      <c r="T62" s="186"/>
      <c r="U62" s="186"/>
      <c r="V62" s="188"/>
      <c r="W62" s="189"/>
      <c r="X62" s="190"/>
      <c r="Y62" s="191"/>
      <c r="Z62" s="192"/>
      <c r="AA62" s="177">
        <f t="shared" si="15"/>
        <v>0</v>
      </c>
      <c r="AB62" s="176"/>
      <c r="AC62" s="177">
        <f t="shared" si="16"/>
        <v>0</v>
      </c>
      <c r="AD62" s="178">
        <f t="shared" si="17"/>
        <v>0</v>
      </c>
      <c r="AE62" s="307"/>
      <c r="AF62" s="160"/>
      <c r="AG62" s="193"/>
      <c r="AH62" s="311"/>
      <c r="AI62" s="179"/>
      <c r="AJ62" s="180"/>
      <c r="AK62" s="181"/>
      <c r="AL62" s="194"/>
    </row>
    <row r="63" spans="2:38" ht="30" customHeight="1" x14ac:dyDescent="0.2">
      <c r="B63" s="120" t="str">
        <f>IF(COUNTBLANK(O63:AL63)=20,"",IF(AND(N63&lt;&gt;"",OR(EXPEDIENTE!$F$25="",EXPEDIENTE!$F$27="")),0,""))</f>
        <v/>
      </c>
      <c r="C63" s="120" t="str">
        <f t="shared" si="1"/>
        <v/>
      </c>
      <c r="D63" s="120" t="str">
        <f t="shared" si="8"/>
        <v/>
      </c>
      <c r="E63" s="120" t="str">
        <f>IF(Q63="","",IF(AND(N63=1,OR(Q63&lt;EXPEDIENTE!$F$25,Q63&gt;EXPEDIENTE!$F$27)),3,""))</f>
        <v/>
      </c>
      <c r="F63" s="120" t="str">
        <f t="shared" si="9"/>
        <v/>
      </c>
      <c r="G63" s="120" t="str">
        <f t="shared" si="10"/>
        <v/>
      </c>
      <c r="H63" s="120" t="str">
        <f t="shared" si="11"/>
        <v/>
      </c>
      <c r="I63" s="120" t="str">
        <f>IF(Q63="","",IF(AF63="","",IF(AND(N63=1,OR(AF63&lt;EXPEDIENTE!$F$25,AF63&gt;EXPEDIENTE!$F$29)),7,"")))</f>
        <v/>
      </c>
      <c r="J63" s="120" t="b">
        <f t="shared" si="14"/>
        <v>0</v>
      </c>
      <c r="K63" s="120">
        <f>IF(AF63&lt;EXPEDIENTE!$I$25,-1,IF(AF63&gt;EXPEDIENTE!$I$29,1,0))</f>
        <v>0</v>
      </c>
      <c r="L63" s="165" t="str">
        <f>IF(IFERROR(VLOOKUP(J63,AUXILIAR!$AF$6:$AG$15,2,FALSE),"")="","",VLOOKUP(J63,AUXILIAR!$AF$6:$AG$15,2,FALSE))</f>
        <v/>
      </c>
      <c r="M63" s="166">
        <v>55</v>
      </c>
      <c r="N63" s="147" t="str">
        <f t="shared" si="4"/>
        <v/>
      </c>
      <c r="O63" s="183"/>
      <c r="P63" s="184"/>
      <c r="Q63" s="185"/>
      <c r="R63" s="186"/>
      <c r="S63" s="187"/>
      <c r="T63" s="186"/>
      <c r="U63" s="186"/>
      <c r="V63" s="188"/>
      <c r="W63" s="189"/>
      <c r="X63" s="190"/>
      <c r="Y63" s="191"/>
      <c r="Z63" s="192"/>
      <c r="AA63" s="177">
        <f t="shared" si="15"/>
        <v>0</v>
      </c>
      <c r="AB63" s="176"/>
      <c r="AC63" s="177">
        <f t="shared" si="16"/>
        <v>0</v>
      </c>
      <c r="AD63" s="178">
        <f t="shared" si="17"/>
        <v>0</v>
      </c>
      <c r="AE63" s="307"/>
      <c r="AF63" s="160"/>
      <c r="AG63" s="193"/>
      <c r="AH63" s="311"/>
      <c r="AI63" s="179"/>
      <c r="AJ63" s="180"/>
      <c r="AK63" s="181"/>
      <c r="AL63" s="194"/>
    </row>
    <row r="64" spans="2:38" ht="30" customHeight="1" x14ac:dyDescent="0.2">
      <c r="B64" s="120" t="str">
        <f>IF(COUNTBLANK(O64:AL64)=20,"",IF(AND(N64&lt;&gt;"",OR(EXPEDIENTE!$F$25="",EXPEDIENTE!$F$27="")),0,""))</f>
        <v/>
      </c>
      <c r="C64" s="120" t="str">
        <f t="shared" si="1"/>
        <v/>
      </c>
      <c r="D64" s="120" t="str">
        <f t="shared" si="8"/>
        <v/>
      </c>
      <c r="E64" s="120" t="str">
        <f>IF(Q64="","",IF(AND(N64=1,OR(Q64&lt;EXPEDIENTE!$F$25,Q64&gt;EXPEDIENTE!$F$27)),3,""))</f>
        <v/>
      </c>
      <c r="F64" s="120" t="str">
        <f t="shared" si="9"/>
        <v/>
      </c>
      <c r="G64" s="120" t="str">
        <f t="shared" si="10"/>
        <v/>
      </c>
      <c r="H64" s="120" t="str">
        <f t="shared" si="11"/>
        <v/>
      </c>
      <c r="I64" s="120" t="str">
        <f>IF(Q64="","",IF(AF64="","",IF(AND(N64=1,OR(AF64&lt;EXPEDIENTE!$F$25,AF64&gt;EXPEDIENTE!$F$29)),7,"")))</f>
        <v/>
      </c>
      <c r="J64" s="120" t="b">
        <f t="shared" si="14"/>
        <v>0</v>
      </c>
      <c r="K64" s="120">
        <f>IF(AF64&lt;EXPEDIENTE!$I$25,-1,IF(AF64&gt;EXPEDIENTE!$I$29,1,0))</f>
        <v>0</v>
      </c>
      <c r="L64" s="165" t="str">
        <f>IF(IFERROR(VLOOKUP(J64,AUXILIAR!$AF$6:$AG$15,2,FALSE),"")="","",VLOOKUP(J64,AUXILIAR!$AF$6:$AG$15,2,FALSE))</f>
        <v/>
      </c>
      <c r="M64" s="166">
        <v>56</v>
      </c>
      <c r="N64" s="147" t="str">
        <f t="shared" si="4"/>
        <v/>
      </c>
      <c r="O64" s="183"/>
      <c r="P64" s="184"/>
      <c r="Q64" s="185"/>
      <c r="R64" s="186"/>
      <c r="S64" s="187"/>
      <c r="T64" s="186"/>
      <c r="U64" s="186"/>
      <c r="V64" s="188"/>
      <c r="W64" s="189"/>
      <c r="X64" s="190"/>
      <c r="Y64" s="191"/>
      <c r="Z64" s="192"/>
      <c r="AA64" s="177">
        <f t="shared" si="15"/>
        <v>0</v>
      </c>
      <c r="AB64" s="176"/>
      <c r="AC64" s="177">
        <f t="shared" si="16"/>
        <v>0</v>
      </c>
      <c r="AD64" s="178">
        <f t="shared" si="17"/>
        <v>0</v>
      </c>
      <c r="AE64" s="307"/>
      <c r="AF64" s="160"/>
      <c r="AG64" s="193"/>
      <c r="AH64" s="311"/>
      <c r="AI64" s="179"/>
      <c r="AJ64" s="180"/>
      <c r="AK64" s="181"/>
      <c r="AL64" s="194"/>
    </row>
    <row r="65" spans="2:38" ht="30" customHeight="1" x14ac:dyDescent="0.2">
      <c r="B65" s="120" t="str">
        <f>IF(COUNTBLANK(O65:AL65)=20,"",IF(AND(N65&lt;&gt;"",OR(EXPEDIENTE!$F$25="",EXPEDIENTE!$F$27="")),0,""))</f>
        <v/>
      </c>
      <c r="C65" s="120" t="str">
        <f t="shared" si="1"/>
        <v/>
      </c>
      <c r="D65" s="120" t="str">
        <f t="shared" si="8"/>
        <v/>
      </c>
      <c r="E65" s="120" t="str">
        <f>IF(Q65="","",IF(AND(N65=1,OR(Q65&lt;EXPEDIENTE!$F$25,Q65&gt;EXPEDIENTE!$F$27)),3,""))</f>
        <v/>
      </c>
      <c r="F65" s="120" t="str">
        <f t="shared" si="9"/>
        <v/>
      </c>
      <c r="G65" s="120" t="str">
        <f t="shared" si="10"/>
        <v/>
      </c>
      <c r="H65" s="120" t="str">
        <f t="shared" si="11"/>
        <v/>
      </c>
      <c r="I65" s="120" t="str">
        <f>IF(Q65="","",IF(AF65="","",IF(AND(N65=1,OR(AF65&lt;EXPEDIENTE!$F$25,AF65&gt;EXPEDIENTE!$F$29)),7,"")))</f>
        <v/>
      </c>
      <c r="J65" s="120" t="b">
        <f t="shared" si="14"/>
        <v>0</v>
      </c>
      <c r="K65" s="120">
        <f>IF(AF65&lt;EXPEDIENTE!$I$25,-1,IF(AF65&gt;EXPEDIENTE!$I$29,1,0))</f>
        <v>0</v>
      </c>
      <c r="L65" s="165" t="str">
        <f>IF(IFERROR(VLOOKUP(J65,AUXILIAR!$AF$6:$AG$15,2,FALSE),"")="","",VLOOKUP(J65,AUXILIAR!$AF$6:$AG$15,2,FALSE))</f>
        <v/>
      </c>
      <c r="M65" s="166">
        <v>57</v>
      </c>
      <c r="N65" s="147" t="str">
        <f t="shared" si="4"/>
        <v/>
      </c>
      <c r="O65" s="183"/>
      <c r="P65" s="184"/>
      <c r="Q65" s="185"/>
      <c r="R65" s="186"/>
      <c r="S65" s="187"/>
      <c r="T65" s="186"/>
      <c r="U65" s="186"/>
      <c r="V65" s="188"/>
      <c r="W65" s="189"/>
      <c r="X65" s="190"/>
      <c r="Y65" s="191"/>
      <c r="Z65" s="192"/>
      <c r="AA65" s="177">
        <f t="shared" si="15"/>
        <v>0</v>
      </c>
      <c r="AB65" s="176"/>
      <c r="AC65" s="177">
        <f t="shared" si="16"/>
        <v>0</v>
      </c>
      <c r="AD65" s="178">
        <f t="shared" si="17"/>
        <v>0</v>
      </c>
      <c r="AE65" s="307"/>
      <c r="AF65" s="160"/>
      <c r="AG65" s="193"/>
      <c r="AH65" s="311"/>
      <c r="AI65" s="179"/>
      <c r="AJ65" s="180"/>
      <c r="AK65" s="181"/>
      <c r="AL65" s="194"/>
    </row>
    <row r="66" spans="2:38" ht="30" customHeight="1" x14ac:dyDescent="0.2">
      <c r="B66" s="120" t="str">
        <f>IF(COUNTBLANK(O66:AL66)=20,"",IF(AND(N66&lt;&gt;"",OR(EXPEDIENTE!$F$25="",EXPEDIENTE!$F$27="")),0,""))</f>
        <v/>
      </c>
      <c r="C66" s="120" t="str">
        <f t="shared" si="1"/>
        <v/>
      </c>
      <c r="D66" s="120" t="str">
        <f t="shared" si="8"/>
        <v/>
      </c>
      <c r="E66" s="120" t="str">
        <f>IF(Q66="","",IF(AND(N66=1,OR(Q66&lt;EXPEDIENTE!$F$25,Q66&gt;EXPEDIENTE!$F$27)),3,""))</f>
        <v/>
      </c>
      <c r="F66" s="120" t="str">
        <f t="shared" si="9"/>
        <v/>
      </c>
      <c r="G66" s="120" t="str">
        <f t="shared" si="10"/>
        <v/>
      </c>
      <c r="H66" s="120" t="str">
        <f t="shared" si="11"/>
        <v/>
      </c>
      <c r="I66" s="120" t="str">
        <f>IF(Q66="","",IF(AF66="","",IF(AND(N66=1,OR(AF66&lt;EXPEDIENTE!$F$25,AF66&gt;EXPEDIENTE!$F$29)),7,"")))</f>
        <v/>
      </c>
      <c r="J66" s="120" t="b">
        <f t="shared" si="14"/>
        <v>0</v>
      </c>
      <c r="K66" s="120">
        <f>IF(AF66&lt;EXPEDIENTE!$I$25,-1,IF(AF66&gt;EXPEDIENTE!$I$29,1,0))</f>
        <v>0</v>
      </c>
      <c r="L66" s="165" t="str">
        <f>IF(IFERROR(VLOOKUP(J66,AUXILIAR!$AF$6:$AG$15,2,FALSE),"")="","",VLOOKUP(J66,AUXILIAR!$AF$6:$AG$15,2,FALSE))</f>
        <v/>
      </c>
      <c r="M66" s="166">
        <v>58</v>
      </c>
      <c r="N66" s="147" t="str">
        <f t="shared" si="4"/>
        <v/>
      </c>
      <c r="O66" s="183"/>
      <c r="P66" s="184"/>
      <c r="Q66" s="185"/>
      <c r="R66" s="186"/>
      <c r="S66" s="187"/>
      <c r="T66" s="186"/>
      <c r="U66" s="186"/>
      <c r="V66" s="188"/>
      <c r="W66" s="189"/>
      <c r="X66" s="190"/>
      <c r="Y66" s="191"/>
      <c r="Z66" s="192"/>
      <c r="AA66" s="177">
        <f t="shared" si="15"/>
        <v>0</v>
      </c>
      <c r="AB66" s="176"/>
      <c r="AC66" s="177">
        <f t="shared" si="16"/>
        <v>0</v>
      </c>
      <c r="AD66" s="178">
        <f t="shared" si="17"/>
        <v>0</v>
      </c>
      <c r="AE66" s="307"/>
      <c r="AF66" s="160"/>
      <c r="AG66" s="193"/>
      <c r="AH66" s="311"/>
      <c r="AI66" s="179"/>
      <c r="AJ66" s="180"/>
      <c r="AK66" s="181"/>
      <c r="AL66" s="194"/>
    </row>
    <row r="67" spans="2:38" ht="30" customHeight="1" x14ac:dyDescent="0.2">
      <c r="B67" s="120" t="str">
        <f>IF(COUNTBLANK(O67:AL67)=20,"",IF(AND(N67&lt;&gt;"",OR(EXPEDIENTE!$F$25="",EXPEDIENTE!$F$27="")),0,""))</f>
        <v/>
      </c>
      <c r="C67" s="120" t="str">
        <f t="shared" si="1"/>
        <v/>
      </c>
      <c r="D67" s="120" t="str">
        <f t="shared" si="8"/>
        <v/>
      </c>
      <c r="E67" s="120" t="str">
        <f>IF(Q67="","",IF(AND(N67=1,OR(Q67&lt;EXPEDIENTE!$F$25,Q67&gt;EXPEDIENTE!$F$27)),3,""))</f>
        <v/>
      </c>
      <c r="F67" s="120" t="str">
        <f t="shared" si="9"/>
        <v/>
      </c>
      <c r="G67" s="120" t="str">
        <f t="shared" si="10"/>
        <v/>
      </c>
      <c r="H67" s="120" t="str">
        <f t="shared" si="11"/>
        <v/>
      </c>
      <c r="I67" s="120" t="str">
        <f>IF(Q67="","",IF(AF67="","",IF(AND(N67=1,OR(AF67&lt;EXPEDIENTE!$F$25,AF67&gt;EXPEDIENTE!$F$29)),7,"")))</f>
        <v/>
      </c>
      <c r="J67" s="120" t="b">
        <f t="shared" si="14"/>
        <v>0</v>
      </c>
      <c r="K67" s="120">
        <f>IF(AF67&lt;EXPEDIENTE!$I$25,-1,IF(AF67&gt;EXPEDIENTE!$I$29,1,0))</f>
        <v>0</v>
      </c>
      <c r="L67" s="165" t="str">
        <f>IF(IFERROR(VLOOKUP(J67,AUXILIAR!$AF$6:$AG$15,2,FALSE),"")="","",VLOOKUP(J67,AUXILIAR!$AF$6:$AG$15,2,FALSE))</f>
        <v/>
      </c>
      <c r="M67" s="166">
        <v>59</v>
      </c>
      <c r="N67" s="147" t="str">
        <f t="shared" si="4"/>
        <v/>
      </c>
      <c r="O67" s="183"/>
      <c r="P67" s="184"/>
      <c r="Q67" s="185"/>
      <c r="R67" s="186"/>
      <c r="S67" s="187"/>
      <c r="T67" s="186"/>
      <c r="U67" s="186"/>
      <c r="V67" s="188"/>
      <c r="W67" s="189"/>
      <c r="X67" s="190"/>
      <c r="Y67" s="191"/>
      <c r="Z67" s="192"/>
      <c r="AA67" s="177">
        <f t="shared" si="15"/>
        <v>0</v>
      </c>
      <c r="AB67" s="176"/>
      <c r="AC67" s="177">
        <f t="shared" si="16"/>
        <v>0</v>
      </c>
      <c r="AD67" s="178">
        <f t="shared" si="17"/>
        <v>0</v>
      </c>
      <c r="AE67" s="307"/>
      <c r="AF67" s="160"/>
      <c r="AG67" s="193"/>
      <c r="AH67" s="311"/>
      <c r="AI67" s="179"/>
      <c r="AJ67" s="180"/>
      <c r="AK67" s="181"/>
      <c r="AL67" s="194"/>
    </row>
    <row r="68" spans="2:38" ht="30" customHeight="1" x14ac:dyDescent="0.2">
      <c r="B68" s="120" t="str">
        <f>IF(COUNTBLANK(O68:AL68)=20,"",IF(AND(N68&lt;&gt;"",OR(EXPEDIENTE!$F$25="",EXPEDIENTE!$F$27="")),0,""))</f>
        <v/>
      </c>
      <c r="C68" s="120" t="str">
        <f t="shared" si="1"/>
        <v/>
      </c>
      <c r="D68" s="120" t="str">
        <f t="shared" si="8"/>
        <v/>
      </c>
      <c r="E68" s="120" t="str">
        <f>IF(Q68="","",IF(AND(N68=1,OR(Q68&lt;EXPEDIENTE!$F$25,Q68&gt;EXPEDIENTE!$F$27)),3,""))</f>
        <v/>
      </c>
      <c r="F68" s="120" t="str">
        <f t="shared" si="9"/>
        <v/>
      </c>
      <c r="G68" s="120" t="str">
        <f t="shared" si="10"/>
        <v/>
      </c>
      <c r="H68" s="120" t="str">
        <f t="shared" si="11"/>
        <v/>
      </c>
      <c r="I68" s="120" t="str">
        <f>IF(Q68="","",IF(AF68="","",IF(AND(N68=1,OR(AF68&lt;EXPEDIENTE!$F$25,AF68&gt;EXPEDIENTE!$F$29)),7,"")))</f>
        <v/>
      </c>
      <c r="J68" s="120" t="b">
        <f t="shared" si="14"/>
        <v>0</v>
      </c>
      <c r="K68" s="120">
        <f>IF(AF68&lt;EXPEDIENTE!$I$25,-1,IF(AF68&gt;EXPEDIENTE!$I$29,1,0))</f>
        <v>0</v>
      </c>
      <c r="L68" s="165" t="str">
        <f>IF(IFERROR(VLOOKUP(J68,AUXILIAR!$AF$6:$AG$15,2,FALSE),"")="","",VLOOKUP(J68,AUXILIAR!$AF$6:$AG$15,2,FALSE))</f>
        <v/>
      </c>
      <c r="M68" s="166">
        <v>60</v>
      </c>
      <c r="N68" s="147" t="str">
        <f t="shared" si="4"/>
        <v/>
      </c>
      <c r="O68" s="183"/>
      <c r="P68" s="184"/>
      <c r="Q68" s="185"/>
      <c r="R68" s="186"/>
      <c r="S68" s="187"/>
      <c r="T68" s="186"/>
      <c r="U68" s="186"/>
      <c r="V68" s="188"/>
      <c r="W68" s="189"/>
      <c r="X68" s="190"/>
      <c r="Y68" s="191"/>
      <c r="Z68" s="192"/>
      <c r="AA68" s="177">
        <f t="shared" si="15"/>
        <v>0</v>
      </c>
      <c r="AB68" s="176"/>
      <c r="AC68" s="177">
        <f t="shared" si="16"/>
        <v>0</v>
      </c>
      <c r="AD68" s="178">
        <f t="shared" si="17"/>
        <v>0</v>
      </c>
      <c r="AE68" s="307"/>
      <c r="AF68" s="160"/>
      <c r="AG68" s="193"/>
      <c r="AH68" s="311"/>
      <c r="AI68" s="179"/>
      <c r="AJ68" s="180"/>
      <c r="AK68" s="181"/>
      <c r="AL68" s="194"/>
    </row>
    <row r="69" spans="2:38" ht="30" customHeight="1" x14ac:dyDescent="0.2">
      <c r="B69" s="120" t="str">
        <f>IF(COUNTBLANK(O69:AL69)=20,"",IF(AND(N69&lt;&gt;"",OR(EXPEDIENTE!$F$25="",EXPEDIENTE!$F$27="")),0,""))</f>
        <v/>
      </c>
      <c r="C69" s="120" t="str">
        <f t="shared" si="1"/>
        <v/>
      </c>
      <c r="D69" s="120" t="str">
        <f t="shared" si="8"/>
        <v/>
      </c>
      <c r="E69" s="120" t="str">
        <f>IF(Q69="","",IF(AND(N69=1,OR(Q69&lt;EXPEDIENTE!$F$25,Q69&gt;EXPEDIENTE!$F$27)),3,""))</f>
        <v/>
      </c>
      <c r="F69" s="120" t="str">
        <f t="shared" si="9"/>
        <v/>
      </c>
      <c r="G69" s="120" t="str">
        <f t="shared" si="10"/>
        <v/>
      </c>
      <c r="H69" s="120" t="str">
        <f t="shared" si="11"/>
        <v/>
      </c>
      <c r="I69" s="120" t="str">
        <f>IF(Q69="","",IF(AF69="","",IF(AND(N69=1,OR(AF69&lt;EXPEDIENTE!$F$25,AF69&gt;EXPEDIENTE!$F$29)),7,"")))</f>
        <v/>
      </c>
      <c r="J69" s="120" t="b">
        <f t="shared" si="14"/>
        <v>0</v>
      </c>
      <c r="K69" s="120">
        <f>IF(AF69&lt;EXPEDIENTE!$I$25,-1,IF(AF69&gt;EXPEDIENTE!$I$29,1,0))</f>
        <v>0</v>
      </c>
      <c r="L69" s="165" t="str">
        <f>IF(IFERROR(VLOOKUP(J69,AUXILIAR!$AF$6:$AG$15,2,FALSE),"")="","",VLOOKUP(J69,AUXILIAR!$AF$6:$AG$15,2,FALSE))</f>
        <v/>
      </c>
      <c r="M69" s="166">
        <v>61</v>
      </c>
      <c r="N69" s="147" t="str">
        <f t="shared" si="4"/>
        <v/>
      </c>
      <c r="O69" s="183"/>
      <c r="P69" s="184"/>
      <c r="Q69" s="185"/>
      <c r="R69" s="186"/>
      <c r="S69" s="187"/>
      <c r="T69" s="186"/>
      <c r="U69" s="186"/>
      <c r="V69" s="188"/>
      <c r="W69" s="189"/>
      <c r="X69" s="190"/>
      <c r="Y69" s="191"/>
      <c r="Z69" s="192"/>
      <c r="AA69" s="177">
        <f t="shared" si="15"/>
        <v>0</v>
      </c>
      <c r="AB69" s="176"/>
      <c r="AC69" s="177">
        <f t="shared" si="16"/>
        <v>0</v>
      </c>
      <c r="AD69" s="178">
        <f t="shared" si="17"/>
        <v>0</v>
      </c>
      <c r="AE69" s="307"/>
      <c r="AF69" s="160"/>
      <c r="AG69" s="193"/>
      <c r="AH69" s="311"/>
      <c r="AI69" s="179"/>
      <c r="AJ69" s="180"/>
      <c r="AK69" s="181"/>
      <c r="AL69" s="194"/>
    </row>
    <row r="70" spans="2:38" ht="30" customHeight="1" x14ac:dyDescent="0.2">
      <c r="B70" s="120" t="str">
        <f>IF(COUNTBLANK(O70:AL70)=20,"",IF(AND(N70&lt;&gt;"",OR(EXPEDIENTE!$F$25="",EXPEDIENTE!$F$27="")),0,""))</f>
        <v/>
      </c>
      <c r="C70" s="120" t="str">
        <f t="shared" si="1"/>
        <v/>
      </c>
      <c r="D70" s="120" t="str">
        <f t="shared" si="8"/>
        <v/>
      </c>
      <c r="E70" s="120" t="str">
        <f>IF(Q70="","",IF(AND(N70=1,OR(Q70&lt;EXPEDIENTE!$F$25,Q70&gt;EXPEDIENTE!$F$27)),3,""))</f>
        <v/>
      </c>
      <c r="F70" s="120" t="str">
        <f t="shared" si="9"/>
        <v/>
      </c>
      <c r="G70" s="120" t="str">
        <f t="shared" si="10"/>
        <v/>
      </c>
      <c r="H70" s="120" t="str">
        <f t="shared" si="11"/>
        <v/>
      </c>
      <c r="I70" s="120" t="str">
        <f>IF(Q70="","",IF(AF70="","",IF(AND(N70=1,OR(AF70&lt;EXPEDIENTE!$F$25,AF70&gt;EXPEDIENTE!$F$29)),7,"")))</f>
        <v/>
      </c>
      <c r="J70" s="120" t="b">
        <f t="shared" si="14"/>
        <v>0</v>
      </c>
      <c r="K70" s="120">
        <f>IF(AF70&lt;EXPEDIENTE!$I$25,-1,IF(AF70&gt;EXPEDIENTE!$I$29,1,0))</f>
        <v>0</v>
      </c>
      <c r="L70" s="165" t="str">
        <f>IF(IFERROR(VLOOKUP(J70,AUXILIAR!$AF$6:$AG$15,2,FALSE),"")="","",VLOOKUP(J70,AUXILIAR!$AF$6:$AG$15,2,FALSE))</f>
        <v/>
      </c>
      <c r="M70" s="166">
        <v>62</v>
      </c>
      <c r="N70" s="147" t="str">
        <f t="shared" si="4"/>
        <v/>
      </c>
      <c r="O70" s="183"/>
      <c r="P70" s="184"/>
      <c r="Q70" s="185"/>
      <c r="R70" s="186"/>
      <c r="S70" s="187"/>
      <c r="T70" s="186"/>
      <c r="U70" s="186"/>
      <c r="V70" s="188"/>
      <c r="W70" s="189"/>
      <c r="X70" s="190"/>
      <c r="Y70" s="191"/>
      <c r="Z70" s="192"/>
      <c r="AA70" s="177">
        <f t="shared" si="15"/>
        <v>0</v>
      </c>
      <c r="AB70" s="176"/>
      <c r="AC70" s="177">
        <f t="shared" si="16"/>
        <v>0</v>
      </c>
      <c r="AD70" s="178">
        <f t="shared" si="17"/>
        <v>0</v>
      </c>
      <c r="AE70" s="307"/>
      <c r="AF70" s="160"/>
      <c r="AG70" s="193"/>
      <c r="AH70" s="311"/>
      <c r="AI70" s="179"/>
      <c r="AJ70" s="180"/>
      <c r="AK70" s="181"/>
      <c r="AL70" s="194"/>
    </row>
    <row r="71" spans="2:38" ht="30" customHeight="1" x14ac:dyDescent="0.2">
      <c r="B71" s="120" t="str">
        <f>IF(COUNTBLANK(O71:AL71)=20,"",IF(AND(N71&lt;&gt;"",OR(EXPEDIENTE!$F$25="",EXPEDIENTE!$F$27="")),0,""))</f>
        <v/>
      </c>
      <c r="C71" s="120" t="str">
        <f t="shared" si="1"/>
        <v/>
      </c>
      <c r="D71" s="120" t="str">
        <f t="shared" si="8"/>
        <v/>
      </c>
      <c r="E71" s="120" t="str">
        <f>IF(Q71="","",IF(AND(N71=1,OR(Q71&lt;EXPEDIENTE!$F$25,Q71&gt;EXPEDIENTE!$F$27)),3,""))</f>
        <v/>
      </c>
      <c r="F71" s="120" t="str">
        <f t="shared" si="9"/>
        <v/>
      </c>
      <c r="G71" s="120" t="str">
        <f t="shared" si="10"/>
        <v/>
      </c>
      <c r="H71" s="120" t="str">
        <f t="shared" si="11"/>
        <v/>
      </c>
      <c r="I71" s="120" t="str">
        <f>IF(Q71="","",IF(AF71="","",IF(AND(N71=1,OR(AF71&lt;EXPEDIENTE!$F$25,AF71&gt;EXPEDIENTE!$F$29)),7,"")))</f>
        <v/>
      </c>
      <c r="J71" s="120" t="b">
        <f t="shared" si="14"/>
        <v>0</v>
      </c>
      <c r="K71" s="120">
        <f>IF(AF71&lt;EXPEDIENTE!$I$25,-1,IF(AF71&gt;EXPEDIENTE!$I$29,1,0))</f>
        <v>0</v>
      </c>
      <c r="L71" s="165" t="str">
        <f>IF(IFERROR(VLOOKUP(J71,AUXILIAR!$AF$6:$AG$15,2,FALSE),"")="","",VLOOKUP(J71,AUXILIAR!$AF$6:$AG$15,2,FALSE))</f>
        <v/>
      </c>
      <c r="M71" s="166">
        <v>63</v>
      </c>
      <c r="N71" s="147" t="str">
        <f t="shared" si="4"/>
        <v/>
      </c>
      <c r="O71" s="183"/>
      <c r="P71" s="184"/>
      <c r="Q71" s="185"/>
      <c r="R71" s="186"/>
      <c r="S71" s="187"/>
      <c r="T71" s="186"/>
      <c r="U71" s="186"/>
      <c r="V71" s="188"/>
      <c r="W71" s="189"/>
      <c r="X71" s="190"/>
      <c r="Y71" s="191"/>
      <c r="Z71" s="192"/>
      <c r="AA71" s="177">
        <f t="shared" si="15"/>
        <v>0</v>
      </c>
      <c r="AB71" s="176"/>
      <c r="AC71" s="177">
        <f t="shared" si="16"/>
        <v>0</v>
      </c>
      <c r="AD71" s="178">
        <f t="shared" si="17"/>
        <v>0</v>
      </c>
      <c r="AE71" s="307"/>
      <c r="AF71" s="160"/>
      <c r="AG71" s="193"/>
      <c r="AH71" s="311"/>
      <c r="AI71" s="179"/>
      <c r="AJ71" s="180"/>
      <c r="AK71" s="181"/>
      <c r="AL71" s="194"/>
    </row>
    <row r="72" spans="2:38" ht="30" customHeight="1" x14ac:dyDescent="0.2">
      <c r="B72" s="120" t="str">
        <f>IF(COUNTBLANK(O72:AL72)=20,"",IF(AND(N72&lt;&gt;"",OR(EXPEDIENTE!$F$25="",EXPEDIENTE!$F$27="")),0,""))</f>
        <v/>
      </c>
      <c r="C72" s="120" t="str">
        <f t="shared" si="1"/>
        <v/>
      </c>
      <c r="D72" s="120" t="str">
        <f t="shared" si="8"/>
        <v/>
      </c>
      <c r="E72" s="120" t="str">
        <f>IF(Q72="","",IF(AND(N72=1,OR(Q72&lt;EXPEDIENTE!$F$25,Q72&gt;EXPEDIENTE!$F$27)),3,""))</f>
        <v/>
      </c>
      <c r="F72" s="120" t="str">
        <f t="shared" si="9"/>
        <v/>
      </c>
      <c r="G72" s="120" t="str">
        <f t="shared" si="10"/>
        <v/>
      </c>
      <c r="H72" s="120" t="str">
        <f t="shared" si="11"/>
        <v/>
      </c>
      <c r="I72" s="120" t="str">
        <f>IF(Q72="","",IF(AF72="","",IF(AND(N72=1,OR(AF72&lt;EXPEDIENTE!$F$25,AF72&gt;EXPEDIENTE!$F$29)),7,"")))</f>
        <v/>
      </c>
      <c r="J72" s="120" t="b">
        <f t="shared" si="14"/>
        <v>0</v>
      </c>
      <c r="K72" s="120">
        <f>IF(AF72&lt;EXPEDIENTE!$I$25,-1,IF(AF72&gt;EXPEDIENTE!$I$29,1,0))</f>
        <v>0</v>
      </c>
      <c r="L72" s="165" t="str">
        <f>IF(IFERROR(VLOOKUP(J72,AUXILIAR!$AF$6:$AG$15,2,FALSE),"")="","",VLOOKUP(J72,AUXILIAR!$AF$6:$AG$15,2,FALSE))</f>
        <v/>
      </c>
      <c r="M72" s="166">
        <v>64</v>
      </c>
      <c r="N72" s="147" t="str">
        <f t="shared" si="4"/>
        <v/>
      </c>
      <c r="O72" s="183"/>
      <c r="P72" s="184"/>
      <c r="Q72" s="185"/>
      <c r="R72" s="186"/>
      <c r="S72" s="187"/>
      <c r="T72" s="186"/>
      <c r="U72" s="186"/>
      <c r="V72" s="188"/>
      <c r="W72" s="189"/>
      <c r="X72" s="190"/>
      <c r="Y72" s="191"/>
      <c r="Z72" s="192"/>
      <c r="AA72" s="177">
        <f t="shared" si="15"/>
        <v>0</v>
      </c>
      <c r="AB72" s="176"/>
      <c r="AC72" s="177">
        <f t="shared" si="16"/>
        <v>0</v>
      </c>
      <c r="AD72" s="178">
        <f t="shared" si="17"/>
        <v>0</v>
      </c>
      <c r="AE72" s="307"/>
      <c r="AF72" s="160"/>
      <c r="AG72" s="193"/>
      <c r="AH72" s="311"/>
      <c r="AI72" s="179"/>
      <c r="AJ72" s="180"/>
      <c r="AK72" s="181"/>
      <c r="AL72" s="194"/>
    </row>
    <row r="73" spans="2:38" ht="30" customHeight="1" x14ac:dyDescent="0.2">
      <c r="B73" s="120" t="str">
        <f>IF(COUNTBLANK(O73:AL73)=20,"",IF(AND(N73&lt;&gt;"",OR(EXPEDIENTE!$F$25="",EXPEDIENTE!$F$27="")),0,""))</f>
        <v/>
      </c>
      <c r="C73" s="120" t="str">
        <f t="shared" si="1"/>
        <v/>
      </c>
      <c r="D73" s="120" t="str">
        <f t="shared" si="8"/>
        <v/>
      </c>
      <c r="E73" s="120" t="str">
        <f>IF(Q73="","",IF(AND(N73=1,OR(Q73&lt;EXPEDIENTE!$F$25,Q73&gt;EXPEDIENTE!$F$27)),3,""))</f>
        <v/>
      </c>
      <c r="F73" s="120" t="str">
        <f t="shared" si="9"/>
        <v/>
      </c>
      <c r="G73" s="120" t="str">
        <f t="shared" si="10"/>
        <v/>
      </c>
      <c r="H73" s="120" t="str">
        <f t="shared" si="11"/>
        <v/>
      </c>
      <c r="I73" s="120" t="str">
        <f>IF(Q73="","",IF(AF73="","",IF(AND(N73=1,OR(AF73&lt;EXPEDIENTE!$F$25,AF73&gt;EXPEDIENTE!$F$29)),7,"")))</f>
        <v/>
      </c>
      <c r="J73" s="120" t="b">
        <f t="shared" si="14"/>
        <v>0</v>
      </c>
      <c r="K73" s="120">
        <f>IF(AF73&lt;EXPEDIENTE!$I$25,-1,IF(AF73&gt;EXPEDIENTE!$I$29,1,0))</f>
        <v>0</v>
      </c>
      <c r="L73" s="165" t="str">
        <f>IF(IFERROR(VLOOKUP(J73,AUXILIAR!$AF$6:$AG$15,2,FALSE),"")="","",VLOOKUP(J73,AUXILIAR!$AF$6:$AG$15,2,FALSE))</f>
        <v/>
      </c>
      <c r="M73" s="166">
        <v>65</v>
      </c>
      <c r="N73" s="147" t="str">
        <f t="shared" si="4"/>
        <v/>
      </c>
      <c r="O73" s="183"/>
      <c r="P73" s="184"/>
      <c r="Q73" s="185"/>
      <c r="R73" s="186"/>
      <c r="S73" s="187"/>
      <c r="T73" s="186"/>
      <c r="U73" s="186"/>
      <c r="V73" s="188"/>
      <c r="W73" s="189"/>
      <c r="X73" s="190"/>
      <c r="Y73" s="191"/>
      <c r="Z73" s="192"/>
      <c r="AA73" s="177">
        <f t="shared" si="15"/>
        <v>0</v>
      </c>
      <c r="AB73" s="176"/>
      <c r="AC73" s="177">
        <f t="shared" si="16"/>
        <v>0</v>
      </c>
      <c r="AD73" s="178">
        <f t="shared" si="17"/>
        <v>0</v>
      </c>
      <c r="AE73" s="307"/>
      <c r="AF73" s="160"/>
      <c r="AG73" s="193"/>
      <c r="AH73" s="311"/>
      <c r="AI73" s="179"/>
      <c r="AJ73" s="180"/>
      <c r="AK73" s="181"/>
      <c r="AL73" s="194"/>
    </row>
    <row r="74" spans="2:38" ht="30" customHeight="1" x14ac:dyDescent="0.2">
      <c r="B74" s="120" t="str">
        <f>IF(COUNTBLANK(O74:AL74)=20,"",IF(AND(N74&lt;&gt;"",OR(EXPEDIENTE!$F$25="",EXPEDIENTE!$F$27="")),0,""))</f>
        <v/>
      </c>
      <c r="C74" s="120" t="str">
        <f t="shared" ref="C74:C83" si="18">IF(COUNTBLANK(O74:AL74)=21,"",IF(AND(N74="",COUNTBLANK(O74:AL74)&lt;&gt;21),1,""))</f>
        <v/>
      </c>
      <c r="D74" s="120" t="str">
        <f t="shared" si="8"/>
        <v/>
      </c>
      <c r="E74" s="120" t="str">
        <f>IF(Q74="","",IF(AND(N74=1,OR(Q74&lt;EXPEDIENTE!$F$25,Q74&gt;EXPEDIENTE!$F$27)),3,""))</f>
        <v/>
      </c>
      <c r="F74" s="120" t="str">
        <f t="shared" si="9"/>
        <v/>
      </c>
      <c r="G74" s="120" t="str">
        <f t="shared" si="10"/>
        <v/>
      </c>
      <c r="H74" s="120" t="str">
        <f t="shared" si="11"/>
        <v/>
      </c>
      <c r="I74" s="120" t="str">
        <f>IF(Q74="","",IF(AF74="","",IF(AND(N74=1,OR(AF74&lt;EXPEDIENTE!$F$25,AF74&gt;EXPEDIENTE!$F$29)),7,"")))</f>
        <v/>
      </c>
      <c r="J74" s="120" t="b">
        <f t="shared" ref="J74:J83" si="19">IF(B74&lt;&gt;"",B74,IF(C74&lt;&gt;"",C74,IF(D74&lt;&gt;"",D74,IF(E74&lt;&gt;"",E74,IF(F74&lt;&gt;"",F74,IF(H74&lt;&gt;"",H74,IF(I74&lt;&gt;"",I74)))))))</f>
        <v>0</v>
      </c>
      <c r="K74" s="120">
        <f>IF(AF74&lt;EXPEDIENTE!$I$25,-1,IF(AF74&gt;EXPEDIENTE!$I$29,1,0))</f>
        <v>0</v>
      </c>
      <c r="L74" s="165" t="str">
        <f>IF(IFERROR(VLOOKUP(J74,AUXILIAR!$AF$6:$AG$15,2,FALSE),"")="","",VLOOKUP(J74,AUXILIAR!$AF$6:$AG$15,2,FALSE))</f>
        <v/>
      </c>
      <c r="M74" s="166">
        <v>66</v>
      </c>
      <c r="N74" s="147" t="str">
        <f t="shared" si="4"/>
        <v/>
      </c>
      <c r="O74" s="183"/>
      <c r="P74" s="184"/>
      <c r="Q74" s="185"/>
      <c r="R74" s="186"/>
      <c r="S74" s="187"/>
      <c r="T74" s="186"/>
      <c r="U74" s="186"/>
      <c r="V74" s="188"/>
      <c r="W74" s="189"/>
      <c r="X74" s="190"/>
      <c r="Y74" s="191"/>
      <c r="Z74" s="192"/>
      <c r="AA74" s="177">
        <f t="shared" si="15"/>
        <v>0</v>
      </c>
      <c r="AB74" s="176"/>
      <c r="AC74" s="177">
        <f t="shared" si="16"/>
        <v>0</v>
      </c>
      <c r="AD74" s="178">
        <f t="shared" si="17"/>
        <v>0</v>
      </c>
      <c r="AE74" s="307"/>
      <c r="AF74" s="160"/>
      <c r="AG74" s="193"/>
      <c r="AH74" s="311"/>
      <c r="AI74" s="179"/>
      <c r="AJ74" s="180"/>
      <c r="AK74" s="181"/>
      <c r="AL74" s="194"/>
    </row>
    <row r="75" spans="2:38" ht="30" customHeight="1" x14ac:dyDescent="0.2">
      <c r="B75" s="120" t="str">
        <f>IF(COUNTBLANK(O75:AL75)=20,"",IF(AND(N75&lt;&gt;"",OR(EXPEDIENTE!$F$25="",EXPEDIENTE!$F$27="")),0,""))</f>
        <v/>
      </c>
      <c r="C75" s="120" t="str">
        <f t="shared" si="18"/>
        <v/>
      </c>
      <c r="D75" s="120" t="str">
        <f t="shared" ref="D75:D83" si="20">IF(AND(N75=1,COUNTBLANK(P75:U75)&lt;&gt;0),2,"")</f>
        <v/>
      </c>
      <c r="E75" s="120" t="str">
        <f>IF(Q75="","",IF(AND(N75=1,OR(Q75&lt;EXPEDIENTE!$F$25,Q75&gt;EXPEDIENTE!$F$27)),3,""))</f>
        <v/>
      </c>
      <c r="F75" s="120" t="str">
        <f t="shared" ref="F75:F83" si="21">IF(AND(N75=1,C75="",D75="",E75="",OR(COUNTBLANK(W75:X75)&gt;0,COUNTBLANK(Z75:AD75)&gt;1)),4,"")</f>
        <v/>
      </c>
      <c r="G75" s="120" t="str">
        <f t="shared" ref="G75:G83" si="22">IF(AND(N75&lt;&gt;"",C75="",D75="",E75="",F75="",AND(W75&lt;&gt;"",X75&lt;&gt;"",X75&gt;W75)),5,"")</f>
        <v/>
      </c>
      <c r="H75" s="120" t="str">
        <f t="shared" ref="H75:H83" si="23">IF(AND(N75&lt;&gt;"",C75="",D75="",E75="",F75="",G75="",COUNTBLANK(AE75:AF75)&gt;0),6,"")</f>
        <v/>
      </c>
      <c r="I75" s="120" t="str">
        <f>IF(Q75="","",IF(AF75="","",IF(AND(N75=1,OR(AF75&lt;EXPEDIENTE!$F$25,AF75&gt;EXPEDIENTE!$F$29)),7,"")))</f>
        <v/>
      </c>
      <c r="J75" s="120" t="b">
        <f t="shared" si="19"/>
        <v>0</v>
      </c>
      <c r="K75" s="120">
        <f>IF(AF75&lt;EXPEDIENTE!$I$25,-1,IF(AF75&gt;EXPEDIENTE!$I$29,1,0))</f>
        <v>0</v>
      </c>
      <c r="L75" s="165" t="str">
        <f>IF(IFERROR(VLOOKUP(J75,AUXILIAR!$AF$6:$AG$15,2,FALSE),"")="","",VLOOKUP(J75,AUXILIAR!$AF$6:$AG$15,2,FALSE))</f>
        <v/>
      </c>
      <c r="M75" s="166">
        <v>67</v>
      </c>
      <c r="N75" s="147" t="str">
        <f t="shared" si="4"/>
        <v/>
      </c>
      <c r="O75" s="183"/>
      <c r="P75" s="184"/>
      <c r="Q75" s="185"/>
      <c r="R75" s="186"/>
      <c r="S75" s="187"/>
      <c r="T75" s="186"/>
      <c r="U75" s="186"/>
      <c r="V75" s="188"/>
      <c r="W75" s="189"/>
      <c r="X75" s="190"/>
      <c r="Y75" s="191"/>
      <c r="Z75" s="192"/>
      <c r="AA75" s="177">
        <f t="shared" si="15"/>
        <v>0</v>
      </c>
      <c r="AB75" s="176"/>
      <c r="AC75" s="177">
        <f t="shared" si="16"/>
        <v>0</v>
      </c>
      <c r="AD75" s="178">
        <f t="shared" si="17"/>
        <v>0</v>
      </c>
      <c r="AE75" s="307"/>
      <c r="AF75" s="160"/>
      <c r="AG75" s="193"/>
      <c r="AH75" s="311"/>
      <c r="AI75" s="179"/>
      <c r="AJ75" s="180"/>
      <c r="AK75" s="181"/>
      <c r="AL75" s="194"/>
    </row>
    <row r="76" spans="2:38" ht="30" customHeight="1" x14ac:dyDescent="0.2">
      <c r="B76" s="120" t="str">
        <f>IF(COUNTBLANK(O76:AL76)=20,"",IF(AND(N76&lt;&gt;"",OR(EXPEDIENTE!$F$25="",EXPEDIENTE!$F$27="")),0,""))</f>
        <v/>
      </c>
      <c r="C76" s="120" t="str">
        <f t="shared" si="18"/>
        <v/>
      </c>
      <c r="D76" s="120" t="str">
        <f t="shared" si="20"/>
        <v/>
      </c>
      <c r="E76" s="120" t="str">
        <f>IF(Q76="","",IF(AND(N76=1,OR(Q76&lt;EXPEDIENTE!$F$25,Q76&gt;EXPEDIENTE!$F$27)),3,""))</f>
        <v/>
      </c>
      <c r="F76" s="120" t="str">
        <f t="shared" si="21"/>
        <v/>
      </c>
      <c r="G76" s="120" t="str">
        <f t="shared" si="22"/>
        <v/>
      </c>
      <c r="H76" s="120" t="str">
        <f t="shared" si="23"/>
        <v/>
      </c>
      <c r="I76" s="120" t="str">
        <f>IF(Q76="","",IF(AF76="","",IF(AND(N76=1,OR(AF76&lt;EXPEDIENTE!$F$25,AF76&gt;EXPEDIENTE!$F$29)),7,"")))</f>
        <v/>
      </c>
      <c r="J76" s="120" t="b">
        <f t="shared" si="19"/>
        <v>0</v>
      </c>
      <c r="K76" s="120">
        <f>IF(AF76&lt;EXPEDIENTE!$I$25,-1,IF(AF76&gt;EXPEDIENTE!$I$29,1,0))</f>
        <v>0</v>
      </c>
      <c r="L76" s="165" t="str">
        <f>IF(IFERROR(VLOOKUP(J76,AUXILIAR!$AF$6:$AG$15,2,FALSE),"")="","",VLOOKUP(J76,AUXILIAR!$AF$6:$AG$15,2,FALSE))</f>
        <v/>
      </c>
      <c r="M76" s="166">
        <v>68</v>
      </c>
      <c r="N76" s="147" t="str">
        <f t="shared" si="4"/>
        <v/>
      </c>
      <c r="O76" s="183"/>
      <c r="P76" s="184"/>
      <c r="Q76" s="185"/>
      <c r="R76" s="186"/>
      <c r="S76" s="187"/>
      <c r="T76" s="186"/>
      <c r="U76" s="186"/>
      <c r="V76" s="188"/>
      <c r="W76" s="189"/>
      <c r="X76" s="190"/>
      <c r="Y76" s="191"/>
      <c r="Z76" s="192"/>
      <c r="AA76" s="177">
        <f t="shared" si="15"/>
        <v>0</v>
      </c>
      <c r="AB76" s="176"/>
      <c r="AC76" s="177">
        <f t="shared" si="16"/>
        <v>0</v>
      </c>
      <c r="AD76" s="178">
        <f t="shared" si="17"/>
        <v>0</v>
      </c>
      <c r="AE76" s="307"/>
      <c r="AF76" s="160"/>
      <c r="AG76" s="193"/>
      <c r="AH76" s="311"/>
      <c r="AI76" s="179"/>
      <c r="AJ76" s="180"/>
      <c r="AK76" s="181"/>
      <c r="AL76" s="194"/>
    </row>
    <row r="77" spans="2:38" ht="30" customHeight="1" x14ac:dyDescent="0.2">
      <c r="B77" s="120" t="str">
        <f>IF(COUNTBLANK(O77:AL77)=20,"",IF(AND(N77&lt;&gt;"",OR(EXPEDIENTE!$F$25="",EXPEDIENTE!$F$27="")),0,""))</f>
        <v/>
      </c>
      <c r="C77" s="120" t="str">
        <f t="shared" si="18"/>
        <v/>
      </c>
      <c r="D77" s="120" t="str">
        <f t="shared" si="20"/>
        <v/>
      </c>
      <c r="E77" s="120" t="str">
        <f>IF(Q77="","",IF(AND(N77=1,OR(Q77&lt;EXPEDIENTE!$F$25,Q77&gt;EXPEDIENTE!$F$27)),3,""))</f>
        <v/>
      </c>
      <c r="F77" s="120" t="str">
        <f t="shared" si="21"/>
        <v/>
      </c>
      <c r="G77" s="120" t="str">
        <f t="shared" si="22"/>
        <v/>
      </c>
      <c r="H77" s="120" t="str">
        <f t="shared" si="23"/>
        <v/>
      </c>
      <c r="I77" s="120" t="str">
        <f>IF(Q77="","",IF(AF77="","",IF(AND(N77=1,OR(AF77&lt;EXPEDIENTE!$F$25,AF77&gt;EXPEDIENTE!$F$29)),7,"")))</f>
        <v/>
      </c>
      <c r="J77" s="120" t="b">
        <f t="shared" si="19"/>
        <v>0</v>
      </c>
      <c r="K77" s="120">
        <f>IF(AF77&lt;EXPEDIENTE!$I$25,-1,IF(AF77&gt;EXPEDIENTE!$I$29,1,0))</f>
        <v>0</v>
      </c>
      <c r="L77" s="165" t="str">
        <f>IF(IFERROR(VLOOKUP(J77,AUXILIAR!$AF$6:$AG$15,2,FALSE),"")="","",VLOOKUP(J77,AUXILIAR!$AF$6:$AG$15,2,FALSE))</f>
        <v/>
      </c>
      <c r="M77" s="166">
        <v>69</v>
      </c>
      <c r="N77" s="147" t="str">
        <f t="shared" si="4"/>
        <v/>
      </c>
      <c r="O77" s="183"/>
      <c r="P77" s="184"/>
      <c r="Q77" s="185"/>
      <c r="R77" s="186"/>
      <c r="S77" s="187"/>
      <c r="T77" s="186"/>
      <c r="U77" s="186"/>
      <c r="V77" s="188"/>
      <c r="W77" s="189"/>
      <c r="X77" s="190"/>
      <c r="Y77" s="191"/>
      <c r="Z77" s="192"/>
      <c r="AA77" s="177">
        <f t="shared" si="15"/>
        <v>0</v>
      </c>
      <c r="AB77" s="176"/>
      <c r="AC77" s="177">
        <f t="shared" si="16"/>
        <v>0</v>
      </c>
      <c r="AD77" s="178">
        <f t="shared" si="17"/>
        <v>0</v>
      </c>
      <c r="AE77" s="307"/>
      <c r="AF77" s="160"/>
      <c r="AG77" s="193"/>
      <c r="AH77" s="311"/>
      <c r="AI77" s="179"/>
      <c r="AJ77" s="180"/>
      <c r="AK77" s="181"/>
      <c r="AL77" s="194"/>
    </row>
    <row r="78" spans="2:38" ht="30" customHeight="1" x14ac:dyDescent="0.2">
      <c r="B78" s="120" t="str">
        <f>IF(COUNTBLANK(O78:AL78)=20,"",IF(AND(N78&lt;&gt;"",OR(EXPEDIENTE!$F$25="",EXPEDIENTE!$F$27="")),0,""))</f>
        <v/>
      </c>
      <c r="C78" s="120" t="str">
        <f t="shared" si="18"/>
        <v/>
      </c>
      <c r="D78" s="120" t="str">
        <f t="shared" si="20"/>
        <v/>
      </c>
      <c r="E78" s="120" t="str">
        <f>IF(Q78="","",IF(AND(N78=1,OR(Q78&lt;EXPEDIENTE!$F$25,Q78&gt;EXPEDIENTE!$F$27)),3,""))</f>
        <v/>
      </c>
      <c r="F78" s="120" t="str">
        <f t="shared" si="21"/>
        <v/>
      </c>
      <c r="G78" s="120" t="str">
        <f t="shared" si="22"/>
        <v/>
      </c>
      <c r="H78" s="120" t="str">
        <f t="shared" si="23"/>
        <v/>
      </c>
      <c r="I78" s="120" t="str">
        <f>IF(Q78="","",IF(AF78="","",IF(AND(N78=1,OR(AF78&lt;EXPEDIENTE!$F$25,AF78&gt;EXPEDIENTE!$F$29)),7,"")))</f>
        <v/>
      </c>
      <c r="J78" s="120" t="b">
        <f t="shared" si="19"/>
        <v>0</v>
      </c>
      <c r="K78" s="120">
        <f>IF(AF78&lt;EXPEDIENTE!$I$25,-1,IF(AF78&gt;EXPEDIENTE!$I$29,1,0))</f>
        <v>0</v>
      </c>
      <c r="L78" s="165" t="str">
        <f>IF(IFERROR(VLOOKUP(J78,AUXILIAR!$AF$6:$AG$15,2,FALSE),"")="","",VLOOKUP(J78,AUXILIAR!$AF$6:$AG$15,2,FALSE))</f>
        <v/>
      </c>
      <c r="M78" s="166">
        <v>70</v>
      </c>
      <c r="N78" s="147" t="str">
        <f t="shared" si="4"/>
        <v/>
      </c>
      <c r="O78" s="183"/>
      <c r="P78" s="184"/>
      <c r="Q78" s="185"/>
      <c r="R78" s="186"/>
      <c r="S78" s="187"/>
      <c r="T78" s="186"/>
      <c r="U78" s="186"/>
      <c r="V78" s="188"/>
      <c r="W78" s="189"/>
      <c r="X78" s="190"/>
      <c r="Y78" s="191"/>
      <c r="Z78" s="192"/>
      <c r="AA78" s="177">
        <f t="shared" si="15"/>
        <v>0</v>
      </c>
      <c r="AB78" s="176"/>
      <c r="AC78" s="177">
        <f t="shared" si="16"/>
        <v>0</v>
      </c>
      <c r="AD78" s="178">
        <f t="shared" si="17"/>
        <v>0</v>
      </c>
      <c r="AE78" s="307"/>
      <c r="AF78" s="160"/>
      <c r="AG78" s="193"/>
      <c r="AH78" s="311"/>
      <c r="AI78" s="179"/>
      <c r="AJ78" s="180"/>
      <c r="AK78" s="181"/>
      <c r="AL78" s="194"/>
    </row>
    <row r="79" spans="2:38" ht="30" customHeight="1" x14ac:dyDescent="0.2">
      <c r="B79" s="120" t="str">
        <f>IF(COUNTBLANK(O79:AL79)=20,"",IF(AND(N79&lt;&gt;"",OR(EXPEDIENTE!$F$25="",EXPEDIENTE!$F$27="")),0,""))</f>
        <v/>
      </c>
      <c r="C79" s="120" t="str">
        <f t="shared" si="18"/>
        <v/>
      </c>
      <c r="D79" s="120" t="str">
        <f t="shared" si="20"/>
        <v/>
      </c>
      <c r="E79" s="120" t="str">
        <f>IF(Q79="","",IF(AND(N79=1,OR(Q79&lt;EXPEDIENTE!$F$25,Q79&gt;EXPEDIENTE!$F$27)),3,""))</f>
        <v/>
      </c>
      <c r="F79" s="120" t="str">
        <f t="shared" si="21"/>
        <v/>
      </c>
      <c r="G79" s="120" t="str">
        <f t="shared" si="22"/>
        <v/>
      </c>
      <c r="H79" s="120" t="str">
        <f t="shared" si="23"/>
        <v/>
      </c>
      <c r="I79" s="120" t="str">
        <f>IF(Q79="","",IF(AF79="","",IF(AND(N79=1,OR(AF79&lt;EXPEDIENTE!$F$25,AF79&gt;EXPEDIENTE!$F$29)),7,"")))</f>
        <v/>
      </c>
      <c r="J79" s="120" t="b">
        <f t="shared" si="19"/>
        <v>0</v>
      </c>
      <c r="K79" s="120">
        <f>IF(AF79&lt;EXPEDIENTE!$I$25,-1,IF(AF79&gt;EXPEDIENTE!$I$29,1,0))</f>
        <v>0</v>
      </c>
      <c r="L79" s="165" t="str">
        <f>IF(IFERROR(VLOOKUP(J79,AUXILIAR!$AF$6:$AG$15,2,FALSE),"")="","",VLOOKUP(J79,AUXILIAR!$AF$6:$AG$15,2,FALSE))</f>
        <v/>
      </c>
      <c r="M79" s="166">
        <v>71</v>
      </c>
      <c r="N79" s="147" t="str">
        <f t="shared" si="4"/>
        <v/>
      </c>
      <c r="O79" s="183"/>
      <c r="P79" s="184"/>
      <c r="Q79" s="185"/>
      <c r="R79" s="186"/>
      <c r="S79" s="187"/>
      <c r="T79" s="186"/>
      <c r="U79" s="186"/>
      <c r="V79" s="188"/>
      <c r="W79" s="189"/>
      <c r="X79" s="190"/>
      <c r="Y79" s="191"/>
      <c r="Z79" s="192"/>
      <c r="AA79" s="177">
        <f t="shared" si="15"/>
        <v>0</v>
      </c>
      <c r="AB79" s="176"/>
      <c r="AC79" s="177">
        <f t="shared" si="16"/>
        <v>0</v>
      </c>
      <c r="AD79" s="178">
        <f t="shared" si="17"/>
        <v>0</v>
      </c>
      <c r="AE79" s="307"/>
      <c r="AF79" s="160"/>
      <c r="AG79" s="193"/>
      <c r="AH79" s="311"/>
      <c r="AI79" s="179"/>
      <c r="AJ79" s="180"/>
      <c r="AK79" s="181"/>
      <c r="AL79" s="194"/>
    </row>
    <row r="80" spans="2:38" ht="30" customHeight="1" x14ac:dyDescent="0.2">
      <c r="B80" s="120" t="str">
        <f>IF(COUNTBLANK(O80:AL80)=20,"",IF(AND(N80&lt;&gt;"",OR(EXPEDIENTE!$F$25="",EXPEDIENTE!$F$27="")),0,""))</f>
        <v/>
      </c>
      <c r="C80" s="120" t="str">
        <f t="shared" si="18"/>
        <v/>
      </c>
      <c r="D80" s="120" t="str">
        <f t="shared" si="20"/>
        <v/>
      </c>
      <c r="E80" s="120" t="str">
        <f>IF(Q80="","",IF(AND(N80=1,OR(Q80&lt;EXPEDIENTE!$F$25,Q80&gt;EXPEDIENTE!$F$27)),3,""))</f>
        <v/>
      </c>
      <c r="F80" s="120" t="str">
        <f t="shared" si="21"/>
        <v/>
      </c>
      <c r="G80" s="120" t="str">
        <f t="shared" si="22"/>
        <v/>
      </c>
      <c r="H80" s="120" t="str">
        <f t="shared" si="23"/>
        <v/>
      </c>
      <c r="I80" s="120" t="str">
        <f>IF(Q80="","",IF(AF80="","",IF(AND(N80=1,OR(AF80&lt;EXPEDIENTE!$F$25,AF80&gt;EXPEDIENTE!$F$29)),7,"")))</f>
        <v/>
      </c>
      <c r="J80" s="120" t="b">
        <f t="shared" si="19"/>
        <v>0</v>
      </c>
      <c r="K80" s="120">
        <f>IF(AF80&lt;EXPEDIENTE!$I$25,-1,IF(AF80&gt;EXPEDIENTE!$I$29,1,0))</f>
        <v>0</v>
      </c>
      <c r="L80" s="165" t="str">
        <f>IF(IFERROR(VLOOKUP(J80,AUXILIAR!$AF$6:$AG$15,2,FALSE),"")="","",VLOOKUP(J80,AUXILIAR!$AF$6:$AG$15,2,FALSE))</f>
        <v/>
      </c>
      <c r="M80" s="166">
        <v>72</v>
      </c>
      <c r="N80" s="147" t="str">
        <f t="shared" si="4"/>
        <v/>
      </c>
      <c r="O80" s="183"/>
      <c r="P80" s="184"/>
      <c r="Q80" s="185"/>
      <c r="R80" s="186"/>
      <c r="S80" s="187"/>
      <c r="T80" s="186"/>
      <c r="U80" s="186"/>
      <c r="V80" s="188"/>
      <c r="W80" s="189"/>
      <c r="X80" s="190"/>
      <c r="Y80" s="191"/>
      <c r="Z80" s="192"/>
      <c r="AA80" s="177">
        <f t="shared" si="15"/>
        <v>0</v>
      </c>
      <c r="AB80" s="176"/>
      <c r="AC80" s="177">
        <f t="shared" si="16"/>
        <v>0</v>
      </c>
      <c r="AD80" s="178">
        <f t="shared" si="17"/>
        <v>0</v>
      </c>
      <c r="AE80" s="307"/>
      <c r="AF80" s="160"/>
      <c r="AG80" s="193"/>
      <c r="AH80" s="311"/>
      <c r="AI80" s="179"/>
      <c r="AJ80" s="180"/>
      <c r="AK80" s="181"/>
      <c r="AL80" s="194"/>
    </row>
    <row r="81" spans="2:38" ht="30" customHeight="1" x14ac:dyDescent="0.2">
      <c r="B81" s="120" t="str">
        <f>IF(COUNTBLANK(O81:AL81)=20,"",IF(AND(N81&lt;&gt;"",OR(EXPEDIENTE!$F$25="",EXPEDIENTE!$F$27="")),0,""))</f>
        <v/>
      </c>
      <c r="C81" s="120" t="str">
        <f t="shared" si="18"/>
        <v/>
      </c>
      <c r="D81" s="120" t="str">
        <f t="shared" si="20"/>
        <v/>
      </c>
      <c r="E81" s="120" t="str">
        <f>IF(Q81="","",IF(AND(N81=1,OR(Q81&lt;EXPEDIENTE!$F$25,Q81&gt;EXPEDIENTE!$F$27)),3,""))</f>
        <v/>
      </c>
      <c r="F81" s="120" t="str">
        <f t="shared" si="21"/>
        <v/>
      </c>
      <c r="G81" s="120" t="str">
        <f t="shared" si="22"/>
        <v/>
      </c>
      <c r="H81" s="120" t="str">
        <f t="shared" si="23"/>
        <v/>
      </c>
      <c r="I81" s="120" t="str">
        <f>IF(Q81="","",IF(AF81="","",IF(AND(N81=1,OR(AF81&lt;EXPEDIENTE!$F$25,AF81&gt;EXPEDIENTE!$F$29)),7,"")))</f>
        <v/>
      </c>
      <c r="J81" s="120" t="b">
        <f t="shared" si="19"/>
        <v>0</v>
      </c>
      <c r="K81" s="120">
        <f>IF(AF81&lt;EXPEDIENTE!$I$25,-1,IF(AF81&gt;EXPEDIENTE!$I$29,1,0))</f>
        <v>0</v>
      </c>
      <c r="L81" s="165" t="str">
        <f>IF(IFERROR(VLOOKUP(J81,AUXILIAR!$AF$6:$AG$15,2,FALSE),"")="","",VLOOKUP(J81,AUXILIAR!$AF$6:$AG$15,2,FALSE))</f>
        <v/>
      </c>
      <c r="M81" s="166">
        <v>73</v>
      </c>
      <c r="N81" s="147" t="str">
        <f t="shared" si="4"/>
        <v/>
      </c>
      <c r="O81" s="183"/>
      <c r="P81" s="184"/>
      <c r="Q81" s="185"/>
      <c r="R81" s="186"/>
      <c r="S81" s="187"/>
      <c r="T81" s="186"/>
      <c r="U81" s="186"/>
      <c r="V81" s="188"/>
      <c r="W81" s="189"/>
      <c r="X81" s="190"/>
      <c r="Y81" s="191"/>
      <c r="Z81" s="192"/>
      <c r="AA81" s="177">
        <f t="shared" si="15"/>
        <v>0</v>
      </c>
      <c r="AB81" s="176"/>
      <c r="AC81" s="177">
        <f t="shared" si="16"/>
        <v>0</v>
      </c>
      <c r="AD81" s="178">
        <f t="shared" si="17"/>
        <v>0</v>
      </c>
      <c r="AE81" s="307"/>
      <c r="AF81" s="160"/>
      <c r="AG81" s="193"/>
      <c r="AH81" s="311"/>
      <c r="AI81" s="179"/>
      <c r="AJ81" s="180"/>
      <c r="AK81" s="181"/>
      <c r="AL81" s="194"/>
    </row>
    <row r="82" spans="2:38" ht="30" customHeight="1" x14ac:dyDescent="0.2">
      <c r="B82" s="120" t="str">
        <f>IF(COUNTBLANK(O82:AL82)=20,"",IF(AND(N82&lt;&gt;"",OR(EXPEDIENTE!$F$25="",EXPEDIENTE!$F$27="")),0,""))</f>
        <v/>
      </c>
      <c r="C82" s="120" t="str">
        <f t="shared" si="18"/>
        <v/>
      </c>
      <c r="D82" s="120" t="str">
        <f t="shared" si="20"/>
        <v/>
      </c>
      <c r="E82" s="120" t="str">
        <f>IF(Q82="","",IF(AND(N82=1,OR(Q82&lt;EXPEDIENTE!$F$25,Q82&gt;EXPEDIENTE!$F$27)),3,""))</f>
        <v/>
      </c>
      <c r="F82" s="120" t="str">
        <f t="shared" si="21"/>
        <v/>
      </c>
      <c r="G82" s="120" t="str">
        <f t="shared" si="22"/>
        <v/>
      </c>
      <c r="H82" s="120" t="str">
        <f t="shared" si="23"/>
        <v/>
      </c>
      <c r="I82" s="120" t="str">
        <f>IF(Q82="","",IF(AF82="","",IF(AND(N82=1,OR(AF82&lt;EXPEDIENTE!$F$25,AF82&gt;EXPEDIENTE!$F$29)),7,"")))</f>
        <v/>
      </c>
      <c r="J82" s="120" t="b">
        <f t="shared" si="19"/>
        <v>0</v>
      </c>
      <c r="K82" s="120">
        <f>IF(AF82&lt;EXPEDIENTE!$I$25,-1,IF(AF82&gt;EXPEDIENTE!$I$29,1,0))</f>
        <v>0</v>
      </c>
      <c r="L82" s="165" t="str">
        <f>IF(IFERROR(VLOOKUP(J82,AUXILIAR!$AF$6:$AG$15,2,FALSE),"")="","",VLOOKUP(J82,AUXILIAR!$AF$6:$AG$15,2,FALSE))</f>
        <v/>
      </c>
      <c r="M82" s="166">
        <v>74</v>
      </c>
      <c r="N82" s="147" t="str">
        <f t="shared" si="4"/>
        <v/>
      </c>
      <c r="O82" s="183"/>
      <c r="P82" s="184"/>
      <c r="Q82" s="185"/>
      <c r="R82" s="186"/>
      <c r="S82" s="187"/>
      <c r="T82" s="186"/>
      <c r="U82" s="186"/>
      <c r="V82" s="188"/>
      <c r="W82" s="189"/>
      <c r="X82" s="190"/>
      <c r="Y82" s="191"/>
      <c r="Z82" s="192"/>
      <c r="AA82" s="177">
        <f t="shared" si="15"/>
        <v>0</v>
      </c>
      <c r="AB82" s="176"/>
      <c r="AC82" s="177">
        <f t="shared" si="16"/>
        <v>0</v>
      </c>
      <c r="AD82" s="178">
        <f t="shared" si="17"/>
        <v>0</v>
      </c>
      <c r="AE82" s="307"/>
      <c r="AF82" s="160"/>
      <c r="AG82" s="193"/>
      <c r="AH82" s="311"/>
      <c r="AI82" s="179"/>
      <c r="AJ82" s="180"/>
      <c r="AK82" s="181"/>
      <c r="AL82" s="194"/>
    </row>
    <row r="83" spans="2:38" ht="30" customHeight="1" thickBot="1" x14ac:dyDescent="0.25">
      <c r="B83" s="120" t="str">
        <f>IF(COUNTBLANK(O83:AL83)=20,"",IF(AND(N83&lt;&gt;"",OR(EXPEDIENTE!$F$25="",EXPEDIENTE!$F$27="")),0,""))</f>
        <v/>
      </c>
      <c r="C83" s="120" t="str">
        <f t="shared" si="18"/>
        <v/>
      </c>
      <c r="D83" s="120" t="str">
        <f t="shared" si="20"/>
        <v/>
      </c>
      <c r="E83" s="120" t="str">
        <f>IF(Q83="","",IF(AND(N83=1,OR(Q83&lt;EXPEDIENTE!$F$25,Q83&gt;EXPEDIENTE!$F$27)),3,""))</f>
        <v/>
      </c>
      <c r="F83" s="120" t="str">
        <f t="shared" si="21"/>
        <v/>
      </c>
      <c r="G83" s="120" t="str">
        <f t="shared" si="22"/>
        <v/>
      </c>
      <c r="H83" s="120" t="str">
        <f t="shared" si="23"/>
        <v/>
      </c>
      <c r="I83" s="120" t="str">
        <f>IF(Q83="","",IF(AF83="","",IF(AND(N83=1,OR(AF83&lt;EXPEDIENTE!$F$25,AF83&gt;EXPEDIENTE!$F$29)),7,"")))</f>
        <v/>
      </c>
      <c r="J83" s="120" t="b">
        <f t="shared" si="19"/>
        <v>0</v>
      </c>
      <c r="K83" s="120">
        <f>IF(AF83&lt;EXPEDIENTE!$I$25,-1,IF(AF83&gt;EXPEDIENTE!$I$29,1,0))</f>
        <v>0</v>
      </c>
      <c r="L83" s="195" t="str">
        <f>IF(IFERROR(VLOOKUP(J83,AUXILIAR!$AF$6:$AG$15,2,FALSE),"")="","",VLOOKUP(J83,AUXILIAR!$AF$6:$AG$15,2,FALSE))</f>
        <v/>
      </c>
      <c r="M83" s="196">
        <v>75</v>
      </c>
      <c r="N83" s="147" t="str">
        <f t="shared" si="4"/>
        <v/>
      </c>
      <c r="O83" s="197"/>
      <c r="P83" s="198"/>
      <c r="Q83" s="199"/>
      <c r="R83" s="200"/>
      <c r="S83" s="201"/>
      <c r="T83" s="200"/>
      <c r="U83" s="200"/>
      <c r="V83" s="202"/>
      <c r="W83" s="203"/>
      <c r="X83" s="204"/>
      <c r="Y83" s="205"/>
      <c r="Z83" s="206"/>
      <c r="AA83" s="207">
        <f t="shared" si="5"/>
        <v>0</v>
      </c>
      <c r="AB83" s="206"/>
      <c r="AC83" s="207">
        <f t="shared" si="12"/>
        <v>0</v>
      </c>
      <c r="AD83" s="208">
        <f t="shared" si="13"/>
        <v>0</v>
      </c>
      <c r="AE83" s="308"/>
      <c r="AF83" s="209"/>
      <c r="AG83" s="210"/>
      <c r="AH83" s="312"/>
      <c r="AI83" s="210"/>
      <c r="AJ83" s="211"/>
      <c r="AK83" s="212"/>
      <c r="AL83" s="213"/>
    </row>
    <row r="84" spans="2:38" s="127" customFormat="1" ht="30" customHeight="1" x14ac:dyDescent="0.2">
      <c r="L84" s="301" t="s">
        <v>221</v>
      </c>
      <c r="M84" s="301" t="s">
        <v>221</v>
      </c>
      <c r="N84" s="301" t="s">
        <v>220</v>
      </c>
      <c r="O84" s="301" t="s">
        <v>221</v>
      </c>
      <c r="P84" s="301" t="s">
        <v>221</v>
      </c>
      <c r="Q84" s="301" t="s">
        <v>221</v>
      </c>
      <c r="R84" s="301" t="s">
        <v>221</v>
      </c>
      <c r="S84" s="301" t="s">
        <v>221</v>
      </c>
      <c r="T84" s="301" t="s">
        <v>221</v>
      </c>
      <c r="U84" s="214" t="s">
        <v>6</v>
      </c>
      <c r="V84" s="301" t="s">
        <v>221</v>
      </c>
      <c r="W84" s="215">
        <f>SUMIF($O$9:$O$83,"NUEVA FACTURA",W9:W83)</f>
        <v>0</v>
      </c>
      <c r="X84" s="215">
        <f>SUMIF($O$9:$O$83,"NUEVA FACTURA",X9:X83)</f>
        <v>0</v>
      </c>
      <c r="Y84" s="215">
        <f>IF(OR(USUARIO!$C$2="",AUXILIAR!$AJ$6&lt;&gt;USUARIO!$C$2),0,SUMIF($O$9:$O$83,"NUEVA FACTURA",Y9:Y83)+SUMIF($O$9:$O$83,"SEGUNDO PAGO O POSTERIORES",Y9:Y83))</f>
        <v>0</v>
      </c>
      <c r="Z84" s="301" t="s">
        <v>221</v>
      </c>
      <c r="AA84" s="301" t="s">
        <v>221</v>
      </c>
      <c r="AB84" s="301" t="s">
        <v>221</v>
      </c>
      <c r="AC84" s="215">
        <f>SUMIF($O$9:$O$83,"NUEVA FACTURA",AC9:AC83)</f>
        <v>0</v>
      </c>
      <c r="AD84" s="215">
        <f>SUMIF($O$9:$O$83,"NUEVA FACTURA",AD9:AD83)</f>
        <v>0</v>
      </c>
      <c r="AE84" s="215">
        <f>SUM(AE9:AE83)</f>
        <v>0</v>
      </c>
      <c r="AF84" s="300" t="s">
        <v>221</v>
      </c>
      <c r="AG84" s="300" t="s">
        <v>220</v>
      </c>
      <c r="AH84" s="300" t="s">
        <v>220</v>
      </c>
      <c r="AI84" s="300" t="s">
        <v>221</v>
      </c>
      <c r="AJ84" s="300" t="s">
        <v>221</v>
      </c>
      <c r="AK84" s="300"/>
      <c r="AL84" s="300" t="s">
        <v>221</v>
      </c>
    </row>
    <row r="86" spans="2:38" ht="20.100000000000001" customHeight="1" x14ac:dyDescent="0.2">
      <c r="V86" s="216"/>
    </row>
    <row r="87" spans="2:38" ht="20.100000000000001" customHeight="1" x14ac:dyDescent="0.2">
      <c r="V87" s="216"/>
    </row>
    <row r="88" spans="2:38" ht="20.100000000000001" customHeight="1" x14ac:dyDescent="0.2">
      <c r="V88" s="216"/>
    </row>
    <row r="89" spans="2:38" ht="20.100000000000001" customHeight="1" x14ac:dyDescent="0.2">
      <c r="V89" s="216"/>
    </row>
  </sheetData>
  <sheetProtection algorithmName="SHA-512" hashValue="y9SILfGfSAi60GsYc4TJpJR5idd3toUYIXFU1si7oTR33Iq6pu400eEb/Dik7NqfEh7T46Tt97mhVpvWxpAhNA==" saltValue="ky1Dm1djeLdsX3Dlv+OwNA==" spinCount="100000" sheet="1" formatRows="0" autoFilter="0"/>
  <protectedRanges>
    <protectedRange algorithmName="SHA-512" hashValue="aOelWrjado39r8xVqCjW1XAKmN+Bh6QmJkEc5mMaN7/f32K2DfQQPHbCleuGMDUHhckCJtcDSIMQseVynfK2Cw==" saltValue="agwo0Ktp/4twaeUs5EAUoA==" spinCount="100000" sqref="Y9:Y83" name="Rango2"/>
  </protectedRanges>
  <autoFilter ref="O8:AL84" xr:uid="{00000000-0001-0000-0200-000000000000}"/>
  <mergeCells count="15">
    <mergeCell ref="L2:AL2"/>
    <mergeCell ref="L6:L7"/>
    <mergeCell ref="W6:AD6"/>
    <mergeCell ref="AG6:AG7"/>
    <mergeCell ref="AH6:AH7"/>
    <mergeCell ref="AI6:AI7"/>
    <mergeCell ref="AE6:AF6"/>
    <mergeCell ref="Q3:R3"/>
    <mergeCell ref="O6:V6"/>
    <mergeCell ref="N6:N7"/>
    <mergeCell ref="M6:M7"/>
    <mergeCell ref="AJ6:AJ7"/>
    <mergeCell ref="AL6:AL7"/>
    <mergeCell ref="U3:Z4"/>
    <mergeCell ref="AK6:AK7"/>
  </mergeCells>
  <phoneticPr fontId="4" type="noConversion"/>
  <conditionalFormatting sqref="L9:L83">
    <cfRule type="expression" dxfId="82" priority="29">
      <formula>$L9&lt;&gt;""</formula>
    </cfRule>
  </conditionalFormatting>
  <conditionalFormatting sqref="P9:P83">
    <cfRule type="expression" dxfId="81" priority="31">
      <formula>AND($J9=2,$N9=1,$P9="")</formula>
    </cfRule>
  </conditionalFormatting>
  <conditionalFormatting sqref="P9:X83 Z9:AD83">
    <cfRule type="expression" dxfId="80" priority="7" stopIfTrue="1">
      <formula>$N9=2</formula>
    </cfRule>
  </conditionalFormatting>
  <conditionalFormatting sqref="Q9:Q83">
    <cfRule type="expression" dxfId="78" priority="32" stopIfTrue="1">
      <formula>AND($J9=2,$N9=1,$Q9="")</formula>
    </cfRule>
  </conditionalFormatting>
  <conditionalFormatting sqref="R9:R83">
    <cfRule type="expression" dxfId="76" priority="72">
      <formula>AND($J9=2,$N9=1,$R9="")</formula>
    </cfRule>
  </conditionalFormatting>
  <conditionalFormatting sqref="S9:S83">
    <cfRule type="expression" dxfId="75" priority="25">
      <formula>AND($J9=2,$N9=1,$S9="")</formula>
    </cfRule>
  </conditionalFormatting>
  <conditionalFormatting sqref="T9:T22">
    <cfRule type="expression" dxfId="74" priority="17">
      <formula>AND($J9=2,$N9=1,$S9="")</formula>
    </cfRule>
  </conditionalFormatting>
  <conditionalFormatting sqref="T9:T83">
    <cfRule type="expression" dxfId="73" priority="95">
      <formula>AND($J9=2,$N9=1,$T9="")</formula>
    </cfRule>
  </conditionalFormatting>
  <conditionalFormatting sqref="U3">
    <cfRule type="expression" dxfId="72" priority="2">
      <formula>$U$3&lt;&gt;""</formula>
    </cfRule>
  </conditionalFormatting>
  <conditionalFormatting sqref="U9:U83">
    <cfRule type="expression" dxfId="71" priority="71">
      <formula>AND($J9=2,$N9=1,$U9="")</formula>
    </cfRule>
  </conditionalFormatting>
  <conditionalFormatting sqref="V9:V83">
    <cfRule type="expression" dxfId="70" priority="87">
      <formula>AND($J9=2,$N9=1,$V9="")</formula>
    </cfRule>
  </conditionalFormatting>
  <conditionalFormatting sqref="W9:W83">
    <cfRule type="expression" dxfId="69" priority="98">
      <formula>AND($J9=4,$N9=1,$W9="")</formula>
    </cfRule>
  </conditionalFormatting>
  <conditionalFormatting sqref="X9:X83">
    <cfRule type="expression" dxfId="68" priority="1">
      <formula>$X9&gt;$W9</formula>
    </cfRule>
    <cfRule type="expression" dxfId="67" priority="89">
      <formula>AND($J9=4,$N9=1,$X9="")</formula>
    </cfRule>
  </conditionalFormatting>
  <conditionalFormatting sqref="AB9:AB83">
    <cfRule type="expression" dxfId="66" priority="100">
      <formula>AND($J9=4,$N9=1,$AB9="")</formula>
    </cfRule>
  </conditionalFormatting>
  <conditionalFormatting sqref="AE9:AE83">
    <cfRule type="expression" dxfId="65" priority="8">
      <formula>AND($J9=5,OR($N9=1,$N9=2),$AE9="")</formula>
    </cfRule>
  </conditionalFormatting>
  <conditionalFormatting sqref="AF9:AF83">
    <cfRule type="expression" dxfId="64" priority="9" stopIfTrue="1">
      <formula>AND($J9=5,$N9&lt;&gt;"",$AF9="")</formula>
    </cfRule>
  </conditionalFormatting>
  <pageMargins left="0.19685039370078741" right="0.19685039370078741" top="0.19685039370078741" bottom="0.19685039370078741" header="0.51181102362204722" footer="0.51181102362204722"/>
  <pageSetup paperSize="8" scale="33" firstPageNumber="0" orientation="landscape" r:id="rId1"/>
  <drawing r:id="rId2"/>
  <extLst>
    <ext xmlns:x14="http://schemas.microsoft.com/office/spreadsheetml/2009/9/main" uri="{78C0D931-6437-407d-A8EE-F0AAD7539E65}">
      <x14:conditionalFormattings>
        <x14:conditionalFormatting xmlns:xm="http://schemas.microsoft.com/office/excel/2006/main">
          <x14:cfRule type="expression" priority="3" id="{B785F3A2-7D5E-47C5-9FB5-CA89A836F6FD}">
            <xm:f>AND(AUXILIAR!$AF$18&lt;1575,OR(EXPEDIENTE!$F$25="",EXPEDIENTE!$F$27=""))</xm:f>
            <x14:dxf>
              <font>
                <color theme="0"/>
              </font>
              <fill>
                <patternFill>
                  <bgColor theme="0"/>
                </patternFill>
              </fill>
              <border>
                <left/>
                <right/>
                <top/>
                <bottom/>
                <vertical/>
                <horizontal/>
              </border>
            </x14:dxf>
          </x14:cfRule>
          <xm:sqref>P7:AD84 O6:AL6 AE7:AJ7 AL7 AE8:AL84</xm:sqref>
        </x14:conditionalFormatting>
        <x14:conditionalFormatting xmlns:xm="http://schemas.microsoft.com/office/excel/2006/main">
          <x14:cfRule type="expression" priority="116" id="{9A72A38D-4D39-47E9-A2CF-9B4FA3D18C8E}">
            <xm:f>AND($Q9&lt;&gt;"",OR($Q9&lt;EXPEDIENTE!$I$25,$Q9&gt;EXPEDIENTE!$I$27))</xm:f>
            <x14:dxf>
              <fill>
                <patternFill>
                  <bgColor rgb="FFFF6600"/>
                </patternFill>
              </fill>
            </x14:dxf>
          </x14:cfRule>
          <xm:sqref>Q9:Q83</xm:sqref>
        </x14:conditionalFormatting>
        <x14:conditionalFormatting xmlns:xm="http://schemas.microsoft.com/office/excel/2006/main">
          <x14:cfRule type="expression" priority="12" id="{DF5955A3-A191-4987-BCBE-8F493D8C8CED}">
            <xm:f>AND($AF9&lt;&gt;"",OR($AF9&lt;EXPEDIENTE!$I$25,$AF9&gt;EXPEDIENTE!$I$29))</xm:f>
            <x14:dxf>
              <fill>
                <patternFill>
                  <bgColor rgb="FFFF6600"/>
                </patternFill>
              </fill>
            </x14:dxf>
          </x14:cfRule>
          <xm:sqref>AF9:AF83</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AUXILIAR!$X$5:$X$6</xm:f>
          </x14:formula1>
          <xm:sqref>O9:O83</xm:sqref>
        </x14:dataValidation>
        <x14:dataValidation type="list" allowBlank="1" showInputMessage="1" showErrorMessage="1" xr:uid="{00000000-0002-0000-0200-000001000000}">
          <x14:formula1>
            <xm:f>OFFSET(AUXILIAR!$AD$6,0,,COUNTIF(Tipo_gasto,"&lt;&gt;X"))</xm:f>
          </x14:formula1>
          <xm:sqref>U10:U83</xm:sqref>
        </x14:dataValidation>
        <x14:dataValidation type="list" allowBlank="1" showInputMessage="1" showErrorMessage="1" xr:uid="{701A2001-839E-48BD-A118-E85429CD8FF7}">
          <x14:formula1>
            <xm:f>OFFSET(AUXILIAR!$AD$29,0,,COUNTIF(Tipo_gasto,"&lt;&gt;X"))</xm:f>
          </x14:formula1>
          <xm:sqref>U9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P163"/>
  <sheetViews>
    <sheetView showGridLines="0" workbookViewId="0"/>
  </sheetViews>
  <sheetFormatPr baseColWidth="10" defaultColWidth="11.42578125" defaultRowHeight="15" x14ac:dyDescent="0.3"/>
  <cols>
    <col min="1" max="1" width="5.7109375" style="1" customWidth="1"/>
    <col min="2" max="2" width="7.7109375" style="1" customWidth="1"/>
    <col min="3" max="3" width="35.7109375" style="1" customWidth="1"/>
    <col min="4" max="4" width="13.7109375" style="1" customWidth="1"/>
    <col min="5" max="6" width="14.7109375" style="1" customWidth="1"/>
    <col min="7" max="16384" width="11.42578125" style="1"/>
  </cols>
  <sheetData>
    <row r="2" spans="2:16" hidden="1" x14ac:dyDescent="0.3">
      <c r="H2" s="369" t="s">
        <v>82</v>
      </c>
      <c r="I2" s="369"/>
      <c r="J2" s="369"/>
      <c r="K2" s="369"/>
      <c r="L2" s="369" t="s">
        <v>83</v>
      </c>
      <c r="M2" s="369"/>
      <c r="N2" s="369"/>
      <c r="O2" s="369"/>
      <c r="P2" s="369"/>
    </row>
    <row r="3" spans="2:16" hidden="1" x14ac:dyDescent="0.3">
      <c r="C3" s="18" t="s">
        <v>79</v>
      </c>
      <c r="D3" s="18" t="s">
        <v>1</v>
      </c>
      <c r="E3" s="18" t="s">
        <v>69</v>
      </c>
      <c r="F3" s="18" t="s">
        <v>80</v>
      </c>
      <c r="G3" s="18" t="s">
        <v>69</v>
      </c>
      <c r="H3" s="18" t="s">
        <v>0</v>
      </c>
      <c r="I3" s="18" t="s">
        <v>1</v>
      </c>
      <c r="J3" s="18" t="s">
        <v>79</v>
      </c>
      <c r="K3" s="18" t="s">
        <v>69</v>
      </c>
      <c r="L3" s="18" t="s">
        <v>0</v>
      </c>
      <c r="M3" s="18" t="s">
        <v>1</v>
      </c>
      <c r="N3" s="18" t="s">
        <v>79</v>
      </c>
      <c r="O3" s="18" t="s">
        <v>69</v>
      </c>
      <c r="P3" s="18" t="s">
        <v>81</v>
      </c>
    </row>
    <row r="4" spans="2:16" hidden="1" x14ac:dyDescent="0.3">
      <c r="B4" s="1">
        <v>1</v>
      </c>
      <c r="C4" s="16">
        <f>'RELACIÓN DE FACTURAS'!S9</f>
        <v>0</v>
      </c>
      <c r="D4" s="16">
        <f>'RELACIÓN DE FACTURAS'!R9</f>
        <v>0</v>
      </c>
      <c r="E4" s="29">
        <f>'RELACIÓN DE FACTURAS'!W9</f>
        <v>0</v>
      </c>
      <c r="F4" s="30" t="str">
        <f>IF(C4=0,"",IF(SUMIF($C$4:$C$78,C4,$E$4:$E$78)&gt;=15000,C4,""))</f>
        <v/>
      </c>
      <c r="G4" s="29" t="str">
        <f t="shared" ref="G4:G42" si="0">IF(SUMIF($C$4:$C$78,F4,$E$4:$E$78)&lt;15000,"",SUMIF($C$4:$C$78,F4,$E$4:$E$78))</f>
        <v/>
      </c>
      <c r="H4" s="31" t="str">
        <f t="shared" ref="H4:H42" si="1">IFERROR(_xlfn.RANK.EQ(G4,$G$4:$G$78),"")</f>
        <v/>
      </c>
      <c r="I4" s="29" t="str">
        <f t="shared" ref="I4:I32" si="2">IF(H4="","",D4)</f>
        <v/>
      </c>
      <c r="J4" s="29" t="str">
        <f t="shared" ref="J4:J32" si="3">IF(H4="","",C4)</f>
        <v/>
      </c>
      <c r="K4" s="29" t="str">
        <f t="shared" ref="K4:K6" si="4">IF(H4="","",G4)</f>
        <v/>
      </c>
      <c r="L4" s="31" t="str">
        <f t="shared" ref="L4:L32" si="5">IF(M4&lt;&gt;"",B4,"")</f>
        <v/>
      </c>
      <c r="M4" s="29" t="str">
        <f t="shared" ref="M4:M42" si="6">IF(IFERROR(VLOOKUP(B4,$H$4:$K$78,2,0),"")="","",VLOOKUP(B4,$H$4:$K$78,2,0))</f>
        <v/>
      </c>
      <c r="N4" s="29" t="str">
        <f t="shared" ref="N4:N42" si="7">IF(IFERROR(VLOOKUP(B4,$H$4:$K$78,3,0),"")="","",VLOOKUP(B4,$H$4:$K$78,3,0))</f>
        <v/>
      </c>
      <c r="O4" s="29" t="str">
        <f t="shared" ref="O4:O42" si="8">IF(IFERROR(VLOOKUP(B4,$H$4:$K$78,4,0),"")="","",VLOOKUP(B4,$H$4:$K$78,4,0))</f>
        <v/>
      </c>
      <c r="P4" s="31" t="str">
        <f t="shared" ref="P4:P42" si="9">IF(COUNTIF($C$4:$C$78,N4)=0,"",COUNTIF($C$4:$C$78,N4))</f>
        <v/>
      </c>
    </row>
    <row r="5" spans="2:16" hidden="1" x14ac:dyDescent="0.3">
      <c r="B5" s="1">
        <v>2</v>
      </c>
      <c r="C5" s="16">
        <f>'RELACIÓN DE FACTURAS'!S10</f>
        <v>0</v>
      </c>
      <c r="D5" s="16">
        <f>'RELACIÓN DE FACTURAS'!R10</f>
        <v>0</v>
      </c>
      <c r="E5" s="29">
        <f>'RELACIÓN DE FACTURAS'!W10</f>
        <v>0</v>
      </c>
      <c r="F5" s="29" t="str">
        <f>IF(C5=0,"",IF(AND(COUNTIF($C$4:C5,C5)=1,SUMIF($C$4:$C$78,C5,$E$4:$E$78)&gt;=15000),C5,""))</f>
        <v/>
      </c>
      <c r="G5" s="29" t="str">
        <f t="shared" si="0"/>
        <v/>
      </c>
      <c r="H5" s="31" t="str">
        <f t="shared" si="1"/>
        <v/>
      </c>
      <c r="I5" s="29" t="str">
        <f t="shared" si="2"/>
        <v/>
      </c>
      <c r="J5" s="29" t="str">
        <f t="shared" si="3"/>
        <v/>
      </c>
      <c r="K5" s="29" t="str">
        <f t="shared" si="4"/>
        <v/>
      </c>
      <c r="L5" s="31" t="str">
        <f t="shared" si="5"/>
        <v/>
      </c>
      <c r="M5" s="29" t="str">
        <f t="shared" si="6"/>
        <v/>
      </c>
      <c r="N5" s="29" t="str">
        <f t="shared" si="7"/>
        <v/>
      </c>
      <c r="O5" s="29" t="str">
        <f t="shared" si="8"/>
        <v/>
      </c>
      <c r="P5" s="31" t="str">
        <f t="shared" si="9"/>
        <v/>
      </c>
    </row>
    <row r="6" spans="2:16" hidden="1" x14ac:dyDescent="0.3">
      <c r="B6" s="1">
        <v>3</v>
      </c>
      <c r="C6" s="16">
        <f>'RELACIÓN DE FACTURAS'!S11</f>
        <v>0</v>
      </c>
      <c r="D6" s="16">
        <f>'RELACIÓN DE FACTURAS'!R11</f>
        <v>0</v>
      </c>
      <c r="E6" s="29">
        <f>'RELACIÓN DE FACTURAS'!W11</f>
        <v>0</v>
      </c>
      <c r="F6" s="29" t="str">
        <f>IF(C6=0,"",IF(AND(COUNTIF($C$4:C6,C6)=1,SUMIF($C$4:$C$78,C6,$E$4:$E$78)&gt;=15000),C6,""))</f>
        <v/>
      </c>
      <c r="G6" s="29" t="str">
        <f t="shared" si="0"/>
        <v/>
      </c>
      <c r="H6" s="31" t="str">
        <f t="shared" si="1"/>
        <v/>
      </c>
      <c r="I6" s="29" t="str">
        <f t="shared" si="2"/>
        <v/>
      </c>
      <c r="J6" s="29" t="str">
        <f t="shared" si="3"/>
        <v/>
      </c>
      <c r="K6" s="29" t="str">
        <f t="shared" si="4"/>
        <v/>
      </c>
      <c r="L6" s="31" t="str">
        <f t="shared" si="5"/>
        <v/>
      </c>
      <c r="M6" s="29" t="str">
        <f t="shared" si="6"/>
        <v/>
      </c>
      <c r="N6" s="29" t="str">
        <f t="shared" si="7"/>
        <v/>
      </c>
      <c r="O6" s="29" t="str">
        <f t="shared" si="8"/>
        <v/>
      </c>
      <c r="P6" s="31" t="str">
        <f t="shared" si="9"/>
        <v/>
      </c>
    </row>
    <row r="7" spans="2:16" hidden="1" x14ac:dyDescent="0.3">
      <c r="B7" s="1">
        <v>4</v>
      </c>
      <c r="C7" s="16">
        <f>'RELACIÓN DE FACTURAS'!S12</f>
        <v>0</v>
      </c>
      <c r="D7" s="16">
        <f>'RELACIÓN DE FACTURAS'!R12</f>
        <v>0</v>
      </c>
      <c r="E7" s="29">
        <f>'RELACIÓN DE FACTURAS'!W12</f>
        <v>0</v>
      </c>
      <c r="F7" s="29" t="str">
        <f>IF(C7=0,"",IF(AND(COUNTIF($C$4:C7,C7)=1,SUMIF($C$4:$C$78,C7,$E$4:$E$78)&gt;=15000),C7,""))</f>
        <v/>
      </c>
      <c r="G7" s="29" t="str">
        <f t="shared" si="0"/>
        <v/>
      </c>
      <c r="H7" s="31" t="str">
        <f t="shared" si="1"/>
        <v/>
      </c>
      <c r="I7" s="29" t="str">
        <f t="shared" si="2"/>
        <v/>
      </c>
      <c r="J7" s="29" t="str">
        <f t="shared" si="3"/>
        <v/>
      </c>
      <c r="K7" s="29" t="str">
        <f>IF(H7="","",G7)</f>
        <v/>
      </c>
      <c r="L7" s="31" t="str">
        <f t="shared" si="5"/>
        <v/>
      </c>
      <c r="M7" s="29" t="str">
        <f t="shared" si="6"/>
        <v/>
      </c>
      <c r="N7" s="29" t="str">
        <f t="shared" si="7"/>
        <v/>
      </c>
      <c r="O7" s="29" t="str">
        <f t="shared" si="8"/>
        <v/>
      </c>
      <c r="P7" s="31" t="str">
        <f t="shared" si="9"/>
        <v/>
      </c>
    </row>
    <row r="8" spans="2:16" hidden="1" x14ac:dyDescent="0.3">
      <c r="B8" s="1">
        <v>5</v>
      </c>
      <c r="C8" s="16">
        <f>'RELACIÓN DE FACTURAS'!S13</f>
        <v>0</v>
      </c>
      <c r="D8" s="16">
        <f>'RELACIÓN DE FACTURAS'!R13</f>
        <v>0</v>
      </c>
      <c r="E8" s="29">
        <f>'RELACIÓN DE FACTURAS'!W13</f>
        <v>0</v>
      </c>
      <c r="F8" s="29" t="str">
        <f>IF(C8=0,"",IF(AND(COUNTIF($C$4:C8,C8)=1,SUMIF($C$4:$C$78,C8,$E$4:$E$78)&gt;=15000),C8,""))</f>
        <v/>
      </c>
      <c r="G8" s="29" t="str">
        <f t="shared" si="0"/>
        <v/>
      </c>
      <c r="H8" s="31" t="str">
        <f t="shared" si="1"/>
        <v/>
      </c>
      <c r="I8" s="29" t="str">
        <f t="shared" si="2"/>
        <v/>
      </c>
      <c r="J8" s="29" t="str">
        <f t="shared" si="3"/>
        <v/>
      </c>
      <c r="K8" s="29" t="str">
        <f t="shared" ref="K8:K32" si="10">IF(H8="","",G8)</f>
        <v/>
      </c>
      <c r="L8" s="31" t="str">
        <f t="shared" si="5"/>
        <v/>
      </c>
      <c r="M8" s="29" t="str">
        <f t="shared" si="6"/>
        <v/>
      </c>
      <c r="N8" s="29" t="str">
        <f t="shared" si="7"/>
        <v/>
      </c>
      <c r="O8" s="29" t="str">
        <f t="shared" si="8"/>
        <v/>
      </c>
      <c r="P8" s="31" t="str">
        <f t="shared" si="9"/>
        <v/>
      </c>
    </row>
    <row r="9" spans="2:16" hidden="1" x14ac:dyDescent="0.3">
      <c r="B9" s="1">
        <v>6</v>
      </c>
      <c r="C9" s="16">
        <f>'RELACIÓN DE FACTURAS'!S14</f>
        <v>0</v>
      </c>
      <c r="D9" s="16">
        <f>'RELACIÓN DE FACTURAS'!R14</f>
        <v>0</v>
      </c>
      <c r="E9" s="29">
        <f>'RELACIÓN DE FACTURAS'!W14</f>
        <v>0</v>
      </c>
      <c r="F9" s="29" t="str">
        <f>IF(C9=0,"",IF(AND(COUNTIF($C$4:C9,C9)=1,SUMIF($C$4:$C$78,C9,$E$4:$E$78)&gt;=15000),C9,""))</f>
        <v/>
      </c>
      <c r="G9" s="29" t="str">
        <f t="shared" si="0"/>
        <v/>
      </c>
      <c r="H9" s="31" t="str">
        <f t="shared" si="1"/>
        <v/>
      </c>
      <c r="I9" s="29" t="str">
        <f t="shared" si="2"/>
        <v/>
      </c>
      <c r="J9" s="29" t="str">
        <f t="shared" si="3"/>
        <v/>
      </c>
      <c r="K9" s="29" t="str">
        <f t="shared" si="10"/>
        <v/>
      </c>
      <c r="L9" s="31" t="str">
        <f t="shared" si="5"/>
        <v/>
      </c>
      <c r="M9" s="29" t="str">
        <f t="shared" si="6"/>
        <v/>
      </c>
      <c r="N9" s="29" t="str">
        <f t="shared" si="7"/>
        <v/>
      </c>
      <c r="O9" s="29" t="str">
        <f t="shared" si="8"/>
        <v/>
      </c>
      <c r="P9" s="31" t="str">
        <f t="shared" si="9"/>
        <v/>
      </c>
    </row>
    <row r="10" spans="2:16" hidden="1" x14ac:dyDescent="0.3">
      <c r="B10" s="1">
        <v>7</v>
      </c>
      <c r="C10" s="16">
        <f>'RELACIÓN DE FACTURAS'!S15</f>
        <v>0</v>
      </c>
      <c r="D10" s="16">
        <f>'RELACIÓN DE FACTURAS'!R15</f>
        <v>0</v>
      </c>
      <c r="E10" s="29">
        <f>'RELACIÓN DE FACTURAS'!W15</f>
        <v>0</v>
      </c>
      <c r="F10" s="29" t="str">
        <f>IF(C10=0,"",IF(AND(COUNTIF($C$4:C10,C10)=1,SUMIF($C$4:$C$78,C10,$E$4:$E$78)&gt;=15000),C10,""))</f>
        <v/>
      </c>
      <c r="G10" s="29" t="str">
        <f t="shared" si="0"/>
        <v/>
      </c>
      <c r="H10" s="31" t="str">
        <f t="shared" si="1"/>
        <v/>
      </c>
      <c r="I10" s="29" t="str">
        <f t="shared" si="2"/>
        <v/>
      </c>
      <c r="J10" s="29" t="str">
        <f t="shared" si="3"/>
        <v/>
      </c>
      <c r="K10" s="29" t="str">
        <f t="shared" si="10"/>
        <v/>
      </c>
      <c r="L10" s="31" t="str">
        <f t="shared" si="5"/>
        <v/>
      </c>
      <c r="M10" s="29" t="str">
        <f t="shared" si="6"/>
        <v/>
      </c>
      <c r="N10" s="29" t="str">
        <f t="shared" si="7"/>
        <v/>
      </c>
      <c r="O10" s="29" t="str">
        <f t="shared" si="8"/>
        <v/>
      </c>
      <c r="P10" s="31" t="str">
        <f t="shared" si="9"/>
        <v/>
      </c>
    </row>
    <row r="11" spans="2:16" hidden="1" x14ac:dyDescent="0.3">
      <c r="B11" s="1">
        <v>8</v>
      </c>
      <c r="C11" s="16">
        <f>'RELACIÓN DE FACTURAS'!S16</f>
        <v>0</v>
      </c>
      <c r="D11" s="16">
        <f>'RELACIÓN DE FACTURAS'!R16</f>
        <v>0</v>
      </c>
      <c r="E11" s="29">
        <f>'RELACIÓN DE FACTURAS'!W16</f>
        <v>0</v>
      </c>
      <c r="F11" s="29" t="str">
        <f>IF(C11=0,"",IF(AND(COUNTIF($C$4:C11,C11)=1,SUMIF($C$4:$C$78,C11,$E$4:$E$78)&gt;=15000),C11,""))</f>
        <v/>
      </c>
      <c r="G11" s="29" t="str">
        <f t="shared" si="0"/>
        <v/>
      </c>
      <c r="H11" s="31" t="str">
        <f t="shared" si="1"/>
        <v/>
      </c>
      <c r="I11" s="29" t="str">
        <f t="shared" si="2"/>
        <v/>
      </c>
      <c r="J11" s="29" t="str">
        <f t="shared" si="3"/>
        <v/>
      </c>
      <c r="K11" s="29" t="str">
        <f t="shared" si="10"/>
        <v/>
      </c>
      <c r="L11" s="31" t="str">
        <f t="shared" si="5"/>
        <v/>
      </c>
      <c r="M11" s="29" t="str">
        <f t="shared" si="6"/>
        <v/>
      </c>
      <c r="N11" s="29" t="str">
        <f t="shared" si="7"/>
        <v/>
      </c>
      <c r="O11" s="29" t="str">
        <f t="shared" si="8"/>
        <v/>
      </c>
      <c r="P11" s="31" t="str">
        <f t="shared" si="9"/>
        <v/>
      </c>
    </row>
    <row r="12" spans="2:16" hidden="1" x14ac:dyDescent="0.3">
      <c r="B12" s="1">
        <v>9</v>
      </c>
      <c r="C12" s="16">
        <f>'RELACIÓN DE FACTURAS'!S17</f>
        <v>0</v>
      </c>
      <c r="D12" s="16">
        <f>'RELACIÓN DE FACTURAS'!R17</f>
        <v>0</v>
      </c>
      <c r="E12" s="29">
        <f>'RELACIÓN DE FACTURAS'!W17</f>
        <v>0</v>
      </c>
      <c r="F12" s="29" t="str">
        <f>IF(C12=0,"",IF(AND(COUNTIF($C$4:C12,C12)=1,SUMIF($C$4:$C$78,C12,$E$4:$E$78)&gt;=15000),C12,""))</f>
        <v/>
      </c>
      <c r="G12" s="29" t="str">
        <f t="shared" si="0"/>
        <v/>
      </c>
      <c r="H12" s="31" t="str">
        <f t="shared" si="1"/>
        <v/>
      </c>
      <c r="I12" s="29" t="str">
        <f t="shared" si="2"/>
        <v/>
      </c>
      <c r="J12" s="29" t="str">
        <f t="shared" si="3"/>
        <v/>
      </c>
      <c r="K12" s="29" t="str">
        <f t="shared" si="10"/>
        <v/>
      </c>
      <c r="L12" s="31" t="str">
        <f t="shared" si="5"/>
        <v/>
      </c>
      <c r="M12" s="29" t="str">
        <f t="shared" si="6"/>
        <v/>
      </c>
      <c r="N12" s="29" t="str">
        <f t="shared" si="7"/>
        <v/>
      </c>
      <c r="O12" s="29" t="str">
        <f t="shared" si="8"/>
        <v/>
      </c>
      <c r="P12" s="31" t="str">
        <f t="shared" si="9"/>
        <v/>
      </c>
    </row>
    <row r="13" spans="2:16" hidden="1" x14ac:dyDescent="0.3">
      <c r="B13" s="1">
        <v>10</v>
      </c>
      <c r="C13" s="16">
        <f>'RELACIÓN DE FACTURAS'!S18</f>
        <v>0</v>
      </c>
      <c r="D13" s="16">
        <f>'RELACIÓN DE FACTURAS'!R18</f>
        <v>0</v>
      </c>
      <c r="E13" s="29">
        <f>'RELACIÓN DE FACTURAS'!W18</f>
        <v>0</v>
      </c>
      <c r="F13" s="29" t="str">
        <f>IF(C13=0,"",IF(AND(COUNTIF($C$4:C13,C13)=1,SUMIF($C$4:$C$78,C13,$E$4:$E$78)&gt;=15000),C13,""))</f>
        <v/>
      </c>
      <c r="G13" s="29" t="str">
        <f t="shared" si="0"/>
        <v/>
      </c>
      <c r="H13" s="31" t="str">
        <f t="shared" si="1"/>
        <v/>
      </c>
      <c r="I13" s="29" t="str">
        <f t="shared" si="2"/>
        <v/>
      </c>
      <c r="J13" s="29" t="str">
        <f t="shared" si="3"/>
        <v/>
      </c>
      <c r="K13" s="29" t="str">
        <f t="shared" si="10"/>
        <v/>
      </c>
      <c r="L13" s="31" t="str">
        <f t="shared" si="5"/>
        <v/>
      </c>
      <c r="M13" s="29" t="str">
        <f t="shared" si="6"/>
        <v/>
      </c>
      <c r="N13" s="29" t="str">
        <f t="shared" si="7"/>
        <v/>
      </c>
      <c r="O13" s="29" t="str">
        <f t="shared" si="8"/>
        <v/>
      </c>
      <c r="P13" s="31" t="str">
        <f t="shared" si="9"/>
        <v/>
      </c>
    </row>
    <row r="14" spans="2:16" hidden="1" x14ac:dyDescent="0.3">
      <c r="B14" s="1">
        <v>11</v>
      </c>
      <c r="C14" s="16">
        <f>'RELACIÓN DE FACTURAS'!S19</f>
        <v>0</v>
      </c>
      <c r="D14" s="16">
        <f>'RELACIÓN DE FACTURAS'!R19</f>
        <v>0</v>
      </c>
      <c r="E14" s="29">
        <f>'RELACIÓN DE FACTURAS'!W19</f>
        <v>0</v>
      </c>
      <c r="F14" s="29" t="str">
        <f>IF(C14=0,"",IF(AND(COUNTIF($C$4:C14,C14)=1,SUMIF($C$4:$C$78,C14,$E$4:$E$78)&gt;=15000),C14,""))</f>
        <v/>
      </c>
      <c r="G14" s="29" t="str">
        <f t="shared" si="0"/>
        <v/>
      </c>
      <c r="H14" s="31" t="str">
        <f t="shared" si="1"/>
        <v/>
      </c>
      <c r="I14" s="29" t="str">
        <f t="shared" si="2"/>
        <v/>
      </c>
      <c r="J14" s="29" t="str">
        <f t="shared" si="3"/>
        <v/>
      </c>
      <c r="K14" s="29" t="str">
        <f t="shared" si="10"/>
        <v/>
      </c>
      <c r="L14" s="31" t="str">
        <f t="shared" si="5"/>
        <v/>
      </c>
      <c r="M14" s="29" t="str">
        <f t="shared" si="6"/>
        <v/>
      </c>
      <c r="N14" s="29" t="str">
        <f t="shared" si="7"/>
        <v/>
      </c>
      <c r="O14" s="29" t="str">
        <f t="shared" si="8"/>
        <v/>
      </c>
      <c r="P14" s="31" t="str">
        <f t="shared" si="9"/>
        <v/>
      </c>
    </row>
    <row r="15" spans="2:16" hidden="1" x14ac:dyDescent="0.3">
      <c r="B15" s="1">
        <v>12</v>
      </c>
      <c r="C15" s="16">
        <f>'RELACIÓN DE FACTURAS'!S20</f>
        <v>0</v>
      </c>
      <c r="D15" s="16">
        <f>'RELACIÓN DE FACTURAS'!R20</f>
        <v>0</v>
      </c>
      <c r="E15" s="29">
        <f>'RELACIÓN DE FACTURAS'!W20</f>
        <v>0</v>
      </c>
      <c r="F15" s="29" t="str">
        <f>IF(C15=0,"",IF(AND(COUNTIF($C$4:C15,C15)=1,SUMIF($C$4:$C$78,C15,$E$4:$E$78)&gt;=15000),C15,""))</f>
        <v/>
      </c>
      <c r="G15" s="29" t="str">
        <f t="shared" si="0"/>
        <v/>
      </c>
      <c r="H15" s="31" t="str">
        <f t="shared" si="1"/>
        <v/>
      </c>
      <c r="I15" s="29" t="str">
        <f t="shared" si="2"/>
        <v/>
      </c>
      <c r="J15" s="29" t="str">
        <f t="shared" si="3"/>
        <v/>
      </c>
      <c r="K15" s="29" t="str">
        <f t="shared" si="10"/>
        <v/>
      </c>
      <c r="L15" s="31" t="str">
        <f t="shared" si="5"/>
        <v/>
      </c>
      <c r="M15" s="29" t="str">
        <f t="shared" si="6"/>
        <v/>
      </c>
      <c r="N15" s="29" t="str">
        <f t="shared" si="7"/>
        <v/>
      </c>
      <c r="O15" s="29" t="str">
        <f t="shared" si="8"/>
        <v/>
      </c>
      <c r="P15" s="31" t="str">
        <f t="shared" si="9"/>
        <v/>
      </c>
    </row>
    <row r="16" spans="2:16" hidden="1" x14ac:dyDescent="0.3">
      <c r="B16" s="1">
        <v>13</v>
      </c>
      <c r="C16" s="16">
        <f>'RELACIÓN DE FACTURAS'!S21</f>
        <v>0</v>
      </c>
      <c r="D16" s="16">
        <f>'RELACIÓN DE FACTURAS'!R21</f>
        <v>0</v>
      </c>
      <c r="E16" s="29">
        <f>'RELACIÓN DE FACTURAS'!W21</f>
        <v>0</v>
      </c>
      <c r="F16" s="29" t="str">
        <f>IF(C16=0,"",IF(AND(COUNTIF($C$4:C16,C16)=1,SUMIF($C$4:$C$78,C16,$E$4:$E$78)&gt;=15000),C16,""))</f>
        <v/>
      </c>
      <c r="G16" s="29" t="str">
        <f t="shared" si="0"/>
        <v/>
      </c>
      <c r="H16" s="31" t="str">
        <f t="shared" si="1"/>
        <v/>
      </c>
      <c r="I16" s="29" t="str">
        <f t="shared" si="2"/>
        <v/>
      </c>
      <c r="J16" s="29" t="str">
        <f t="shared" si="3"/>
        <v/>
      </c>
      <c r="K16" s="29" t="str">
        <f t="shared" si="10"/>
        <v/>
      </c>
      <c r="L16" s="31" t="str">
        <f t="shared" si="5"/>
        <v/>
      </c>
      <c r="M16" s="29" t="str">
        <f t="shared" si="6"/>
        <v/>
      </c>
      <c r="N16" s="29" t="str">
        <f t="shared" si="7"/>
        <v/>
      </c>
      <c r="O16" s="29" t="str">
        <f t="shared" si="8"/>
        <v/>
      </c>
      <c r="P16" s="31" t="str">
        <f t="shared" si="9"/>
        <v/>
      </c>
    </row>
    <row r="17" spans="2:16" hidden="1" x14ac:dyDescent="0.3">
      <c r="B17" s="1">
        <v>14</v>
      </c>
      <c r="C17" s="16">
        <f>'RELACIÓN DE FACTURAS'!S22</f>
        <v>0</v>
      </c>
      <c r="D17" s="16">
        <f>'RELACIÓN DE FACTURAS'!R22</f>
        <v>0</v>
      </c>
      <c r="E17" s="29">
        <f>'RELACIÓN DE FACTURAS'!W22</f>
        <v>0</v>
      </c>
      <c r="F17" s="29" t="str">
        <f>IF(C17=0,"",IF(AND(COUNTIF($C$4:C17,C17)=1,SUMIF($C$4:$C$78,C17,$E$4:$E$78)&gt;=15000),C17,""))</f>
        <v/>
      </c>
      <c r="G17" s="29" t="str">
        <f t="shared" si="0"/>
        <v/>
      </c>
      <c r="H17" s="31" t="str">
        <f t="shared" si="1"/>
        <v/>
      </c>
      <c r="I17" s="29" t="str">
        <f t="shared" si="2"/>
        <v/>
      </c>
      <c r="J17" s="29" t="str">
        <f t="shared" si="3"/>
        <v/>
      </c>
      <c r="K17" s="29" t="str">
        <f t="shared" si="10"/>
        <v/>
      </c>
      <c r="L17" s="31" t="str">
        <f t="shared" si="5"/>
        <v/>
      </c>
      <c r="M17" s="29" t="str">
        <f t="shared" si="6"/>
        <v/>
      </c>
      <c r="N17" s="29" t="str">
        <f t="shared" si="7"/>
        <v/>
      </c>
      <c r="O17" s="29" t="str">
        <f t="shared" si="8"/>
        <v/>
      </c>
      <c r="P17" s="31" t="str">
        <f t="shared" si="9"/>
        <v/>
      </c>
    </row>
    <row r="18" spans="2:16" hidden="1" x14ac:dyDescent="0.3">
      <c r="B18" s="1">
        <v>15</v>
      </c>
      <c r="C18" s="16">
        <f>'RELACIÓN DE FACTURAS'!S23</f>
        <v>0</v>
      </c>
      <c r="D18" s="16">
        <f>'RELACIÓN DE FACTURAS'!R23</f>
        <v>0</v>
      </c>
      <c r="E18" s="29">
        <f>'RELACIÓN DE FACTURAS'!W23</f>
        <v>0</v>
      </c>
      <c r="F18" s="29" t="str">
        <f>IF(C18=0,"",IF(AND(COUNTIF($C$4:C18,C18)=1,SUMIF($C$4:$C$78,C18,$E$4:$E$78)&gt;=15000),C18,""))</f>
        <v/>
      </c>
      <c r="G18" s="29" t="str">
        <f t="shared" si="0"/>
        <v/>
      </c>
      <c r="H18" s="31" t="str">
        <f t="shared" si="1"/>
        <v/>
      </c>
      <c r="I18" s="29" t="str">
        <f t="shared" si="2"/>
        <v/>
      </c>
      <c r="J18" s="29" t="str">
        <f t="shared" si="3"/>
        <v/>
      </c>
      <c r="K18" s="29" t="str">
        <f t="shared" si="10"/>
        <v/>
      </c>
      <c r="L18" s="31" t="str">
        <f t="shared" si="5"/>
        <v/>
      </c>
      <c r="M18" s="29" t="str">
        <f t="shared" si="6"/>
        <v/>
      </c>
      <c r="N18" s="29" t="str">
        <f t="shared" si="7"/>
        <v/>
      </c>
      <c r="O18" s="29" t="str">
        <f t="shared" si="8"/>
        <v/>
      </c>
      <c r="P18" s="31" t="str">
        <f t="shared" si="9"/>
        <v/>
      </c>
    </row>
    <row r="19" spans="2:16" hidden="1" x14ac:dyDescent="0.3">
      <c r="B19" s="1">
        <v>16</v>
      </c>
      <c r="C19" s="16">
        <f>'RELACIÓN DE FACTURAS'!S24</f>
        <v>0</v>
      </c>
      <c r="D19" s="16">
        <f>'RELACIÓN DE FACTURAS'!R24</f>
        <v>0</v>
      </c>
      <c r="E19" s="29">
        <f>'RELACIÓN DE FACTURAS'!W24</f>
        <v>0</v>
      </c>
      <c r="F19" s="29" t="str">
        <f>IF(C19=0,"",IF(AND(COUNTIF($C$4:C19,C19)=1,SUMIF($C$4:$C$78,C19,$E$4:$E$78)&gt;=15000),C19,""))</f>
        <v/>
      </c>
      <c r="G19" s="29" t="str">
        <f t="shared" si="0"/>
        <v/>
      </c>
      <c r="H19" s="31" t="str">
        <f t="shared" si="1"/>
        <v/>
      </c>
      <c r="I19" s="29" t="str">
        <f t="shared" si="2"/>
        <v/>
      </c>
      <c r="J19" s="29" t="str">
        <f t="shared" si="3"/>
        <v/>
      </c>
      <c r="K19" s="29" t="str">
        <f t="shared" si="10"/>
        <v/>
      </c>
      <c r="L19" s="31" t="str">
        <f t="shared" si="5"/>
        <v/>
      </c>
      <c r="M19" s="29" t="str">
        <f t="shared" si="6"/>
        <v/>
      </c>
      <c r="N19" s="29" t="str">
        <f t="shared" si="7"/>
        <v/>
      </c>
      <c r="O19" s="29" t="str">
        <f t="shared" si="8"/>
        <v/>
      </c>
      <c r="P19" s="31" t="str">
        <f t="shared" si="9"/>
        <v/>
      </c>
    </row>
    <row r="20" spans="2:16" hidden="1" x14ac:dyDescent="0.3">
      <c r="B20" s="1">
        <v>17</v>
      </c>
      <c r="C20" s="16">
        <f>'RELACIÓN DE FACTURAS'!S25</f>
        <v>0</v>
      </c>
      <c r="D20" s="16">
        <f>'RELACIÓN DE FACTURAS'!R25</f>
        <v>0</v>
      </c>
      <c r="E20" s="29">
        <f>'RELACIÓN DE FACTURAS'!W25</f>
        <v>0</v>
      </c>
      <c r="F20" s="29" t="str">
        <f>IF(C20=0,"",IF(AND(COUNTIF($C$4:C20,C20)=1,SUMIF($C$4:$C$78,C20,$E$4:$E$78)&gt;=15000),C20,""))</f>
        <v/>
      </c>
      <c r="G20" s="29" t="str">
        <f t="shared" si="0"/>
        <v/>
      </c>
      <c r="H20" s="31" t="str">
        <f t="shared" si="1"/>
        <v/>
      </c>
      <c r="I20" s="29" t="str">
        <f t="shared" si="2"/>
        <v/>
      </c>
      <c r="J20" s="29" t="str">
        <f t="shared" si="3"/>
        <v/>
      </c>
      <c r="K20" s="29" t="str">
        <f t="shared" si="10"/>
        <v/>
      </c>
      <c r="L20" s="31" t="str">
        <f t="shared" si="5"/>
        <v/>
      </c>
      <c r="M20" s="29" t="str">
        <f t="shared" si="6"/>
        <v/>
      </c>
      <c r="N20" s="29" t="str">
        <f t="shared" si="7"/>
        <v/>
      </c>
      <c r="O20" s="29" t="str">
        <f t="shared" si="8"/>
        <v/>
      </c>
      <c r="P20" s="31" t="str">
        <f t="shared" si="9"/>
        <v/>
      </c>
    </row>
    <row r="21" spans="2:16" hidden="1" x14ac:dyDescent="0.3">
      <c r="B21" s="1">
        <v>18</v>
      </c>
      <c r="C21" s="16">
        <f>'RELACIÓN DE FACTURAS'!S26</f>
        <v>0</v>
      </c>
      <c r="D21" s="16">
        <f>'RELACIÓN DE FACTURAS'!R26</f>
        <v>0</v>
      </c>
      <c r="E21" s="29">
        <f>'RELACIÓN DE FACTURAS'!W26</f>
        <v>0</v>
      </c>
      <c r="F21" s="29" t="str">
        <f>IF(C21=0,"",IF(AND(COUNTIF($C$4:C21,C21)=1,SUMIF($C$4:$C$78,C21,$E$4:$E$78)&gt;=15000),C21,""))</f>
        <v/>
      </c>
      <c r="G21" s="29" t="str">
        <f t="shared" si="0"/>
        <v/>
      </c>
      <c r="H21" s="31" t="str">
        <f t="shared" si="1"/>
        <v/>
      </c>
      <c r="I21" s="29" t="str">
        <f t="shared" si="2"/>
        <v/>
      </c>
      <c r="J21" s="29" t="str">
        <f t="shared" si="3"/>
        <v/>
      </c>
      <c r="K21" s="29" t="str">
        <f t="shared" si="10"/>
        <v/>
      </c>
      <c r="L21" s="31" t="str">
        <f t="shared" si="5"/>
        <v/>
      </c>
      <c r="M21" s="29" t="str">
        <f t="shared" si="6"/>
        <v/>
      </c>
      <c r="N21" s="29" t="str">
        <f t="shared" si="7"/>
        <v/>
      </c>
      <c r="O21" s="29" t="str">
        <f t="shared" si="8"/>
        <v/>
      </c>
      <c r="P21" s="31" t="str">
        <f t="shared" si="9"/>
        <v/>
      </c>
    </row>
    <row r="22" spans="2:16" hidden="1" x14ac:dyDescent="0.3">
      <c r="B22" s="1">
        <v>19</v>
      </c>
      <c r="C22" s="16">
        <f>'RELACIÓN DE FACTURAS'!S27</f>
        <v>0</v>
      </c>
      <c r="D22" s="16">
        <f>'RELACIÓN DE FACTURAS'!R27</f>
        <v>0</v>
      </c>
      <c r="E22" s="29">
        <f>'RELACIÓN DE FACTURAS'!W27</f>
        <v>0</v>
      </c>
      <c r="F22" s="29" t="str">
        <f>IF(C22=0,"",IF(AND(COUNTIF($C$4:C22,C22)=1,SUMIF($C$4:$C$78,C22,$E$4:$E$78)&gt;=15000),C22,""))</f>
        <v/>
      </c>
      <c r="G22" s="29" t="str">
        <f t="shared" si="0"/>
        <v/>
      </c>
      <c r="H22" s="31" t="str">
        <f t="shared" si="1"/>
        <v/>
      </c>
      <c r="I22" s="29" t="str">
        <f t="shared" si="2"/>
        <v/>
      </c>
      <c r="J22" s="29" t="str">
        <f t="shared" si="3"/>
        <v/>
      </c>
      <c r="K22" s="29" t="str">
        <f t="shared" si="10"/>
        <v/>
      </c>
      <c r="L22" s="31" t="str">
        <f t="shared" si="5"/>
        <v/>
      </c>
      <c r="M22" s="29" t="str">
        <f t="shared" si="6"/>
        <v/>
      </c>
      <c r="N22" s="29" t="str">
        <f t="shared" si="7"/>
        <v/>
      </c>
      <c r="O22" s="29" t="str">
        <f t="shared" si="8"/>
        <v/>
      </c>
      <c r="P22" s="31" t="str">
        <f t="shared" si="9"/>
        <v/>
      </c>
    </row>
    <row r="23" spans="2:16" hidden="1" x14ac:dyDescent="0.3">
      <c r="B23" s="1">
        <v>20</v>
      </c>
      <c r="C23" s="16">
        <f>'RELACIÓN DE FACTURAS'!S28</f>
        <v>0</v>
      </c>
      <c r="D23" s="16">
        <f>'RELACIÓN DE FACTURAS'!R28</f>
        <v>0</v>
      </c>
      <c r="E23" s="29">
        <f>'RELACIÓN DE FACTURAS'!W28</f>
        <v>0</v>
      </c>
      <c r="F23" s="29" t="str">
        <f>IF(C23=0,"",IF(AND(COUNTIF($C$4:C23,C23)=1,SUMIF($C$4:$C$78,C23,$E$4:$E$78)&gt;=15000),C23,""))</f>
        <v/>
      </c>
      <c r="G23" s="29" t="str">
        <f t="shared" si="0"/>
        <v/>
      </c>
      <c r="H23" s="31" t="str">
        <f t="shared" si="1"/>
        <v/>
      </c>
      <c r="I23" s="29" t="str">
        <f t="shared" si="2"/>
        <v/>
      </c>
      <c r="J23" s="29" t="str">
        <f t="shared" si="3"/>
        <v/>
      </c>
      <c r="K23" s="29" t="str">
        <f t="shared" si="10"/>
        <v/>
      </c>
      <c r="L23" s="31" t="str">
        <f t="shared" si="5"/>
        <v/>
      </c>
      <c r="M23" s="29" t="str">
        <f t="shared" si="6"/>
        <v/>
      </c>
      <c r="N23" s="29" t="str">
        <f t="shared" si="7"/>
        <v/>
      </c>
      <c r="O23" s="29" t="str">
        <f t="shared" si="8"/>
        <v/>
      </c>
      <c r="P23" s="31" t="str">
        <f t="shared" si="9"/>
        <v/>
      </c>
    </row>
    <row r="24" spans="2:16" hidden="1" x14ac:dyDescent="0.3">
      <c r="B24" s="1">
        <v>21</v>
      </c>
      <c r="C24" s="16">
        <f>'RELACIÓN DE FACTURAS'!S29</f>
        <v>0</v>
      </c>
      <c r="D24" s="16">
        <f>'RELACIÓN DE FACTURAS'!R29</f>
        <v>0</v>
      </c>
      <c r="E24" s="29">
        <f>'RELACIÓN DE FACTURAS'!W29</f>
        <v>0</v>
      </c>
      <c r="F24" s="29" t="str">
        <f>IF(C24=0,"",IF(AND(COUNTIF($C$4:C24,C24)=1,SUMIF($C$4:$C$78,C24,$E$4:$E$78)&gt;=15000),C24,""))</f>
        <v/>
      </c>
      <c r="G24" s="29" t="str">
        <f t="shared" si="0"/>
        <v/>
      </c>
      <c r="H24" s="31" t="str">
        <f t="shared" si="1"/>
        <v/>
      </c>
      <c r="I24" s="29" t="str">
        <f t="shared" si="2"/>
        <v/>
      </c>
      <c r="J24" s="29" t="str">
        <f t="shared" si="3"/>
        <v/>
      </c>
      <c r="K24" s="29" t="str">
        <f t="shared" si="10"/>
        <v/>
      </c>
      <c r="L24" s="31" t="str">
        <f t="shared" si="5"/>
        <v/>
      </c>
      <c r="M24" s="29" t="str">
        <f t="shared" si="6"/>
        <v/>
      </c>
      <c r="N24" s="29" t="str">
        <f t="shared" si="7"/>
        <v/>
      </c>
      <c r="O24" s="29" t="str">
        <f t="shared" si="8"/>
        <v/>
      </c>
      <c r="P24" s="31" t="str">
        <f t="shared" si="9"/>
        <v/>
      </c>
    </row>
    <row r="25" spans="2:16" hidden="1" x14ac:dyDescent="0.3">
      <c r="B25" s="1">
        <v>22</v>
      </c>
      <c r="C25" s="16">
        <f>'RELACIÓN DE FACTURAS'!S30</f>
        <v>0</v>
      </c>
      <c r="D25" s="16">
        <f>'RELACIÓN DE FACTURAS'!R30</f>
        <v>0</v>
      </c>
      <c r="E25" s="29">
        <f>'RELACIÓN DE FACTURAS'!W30</f>
        <v>0</v>
      </c>
      <c r="F25" s="29" t="str">
        <f>IF(C25=0,"",IF(AND(COUNTIF($C$4:C25,C25)=1,SUMIF($C$4:$C$78,C25,$E$4:$E$78)&gt;=15000),C25,""))</f>
        <v/>
      </c>
      <c r="G25" s="29" t="str">
        <f t="shared" si="0"/>
        <v/>
      </c>
      <c r="H25" s="31" t="str">
        <f t="shared" si="1"/>
        <v/>
      </c>
      <c r="I25" s="29" t="str">
        <f t="shared" si="2"/>
        <v/>
      </c>
      <c r="J25" s="29" t="str">
        <f t="shared" si="3"/>
        <v/>
      </c>
      <c r="K25" s="29" t="str">
        <f t="shared" si="10"/>
        <v/>
      </c>
      <c r="L25" s="31" t="str">
        <f t="shared" si="5"/>
        <v/>
      </c>
      <c r="M25" s="29" t="str">
        <f t="shared" si="6"/>
        <v/>
      </c>
      <c r="N25" s="29" t="str">
        <f t="shared" si="7"/>
        <v/>
      </c>
      <c r="O25" s="29" t="str">
        <f t="shared" si="8"/>
        <v/>
      </c>
      <c r="P25" s="31" t="str">
        <f t="shared" si="9"/>
        <v/>
      </c>
    </row>
    <row r="26" spans="2:16" hidden="1" x14ac:dyDescent="0.3">
      <c r="B26" s="1">
        <v>23</v>
      </c>
      <c r="C26" s="16">
        <f>'RELACIÓN DE FACTURAS'!S31</f>
        <v>0</v>
      </c>
      <c r="D26" s="16">
        <f>'RELACIÓN DE FACTURAS'!R31</f>
        <v>0</v>
      </c>
      <c r="E26" s="29">
        <f>'RELACIÓN DE FACTURAS'!W31</f>
        <v>0</v>
      </c>
      <c r="F26" s="29" t="str">
        <f>IF(C26=0,"",IF(AND(COUNTIF($C$4:C26,C26)=1,SUMIF($C$4:$C$78,C26,$E$4:$E$78)&gt;=15000),C26,""))</f>
        <v/>
      </c>
      <c r="G26" s="29" t="str">
        <f t="shared" si="0"/>
        <v/>
      </c>
      <c r="H26" s="31" t="str">
        <f t="shared" si="1"/>
        <v/>
      </c>
      <c r="I26" s="29" t="str">
        <f t="shared" si="2"/>
        <v/>
      </c>
      <c r="J26" s="29" t="str">
        <f t="shared" si="3"/>
        <v/>
      </c>
      <c r="K26" s="29" t="str">
        <f t="shared" si="10"/>
        <v/>
      </c>
      <c r="L26" s="31" t="str">
        <f t="shared" si="5"/>
        <v/>
      </c>
      <c r="M26" s="29" t="str">
        <f t="shared" si="6"/>
        <v/>
      </c>
      <c r="N26" s="29" t="str">
        <f t="shared" si="7"/>
        <v/>
      </c>
      <c r="O26" s="29" t="str">
        <f t="shared" si="8"/>
        <v/>
      </c>
      <c r="P26" s="31" t="str">
        <f t="shared" si="9"/>
        <v/>
      </c>
    </row>
    <row r="27" spans="2:16" hidden="1" x14ac:dyDescent="0.3">
      <c r="B27" s="1">
        <v>24</v>
      </c>
      <c r="C27" s="16">
        <f>'RELACIÓN DE FACTURAS'!S32</f>
        <v>0</v>
      </c>
      <c r="D27" s="16">
        <f>'RELACIÓN DE FACTURAS'!R32</f>
        <v>0</v>
      </c>
      <c r="E27" s="29">
        <f>'RELACIÓN DE FACTURAS'!W32</f>
        <v>0</v>
      </c>
      <c r="F27" s="29" t="str">
        <f>IF(C27=0,"",IF(AND(COUNTIF($C$4:C27,C27)=1,SUMIF($C$4:$C$78,C27,$E$4:$E$78)&gt;=15000),C27,""))</f>
        <v/>
      </c>
      <c r="G27" s="29" t="str">
        <f t="shared" si="0"/>
        <v/>
      </c>
      <c r="H27" s="31" t="str">
        <f t="shared" si="1"/>
        <v/>
      </c>
      <c r="I27" s="29" t="str">
        <f t="shared" si="2"/>
        <v/>
      </c>
      <c r="J27" s="29" t="str">
        <f t="shared" si="3"/>
        <v/>
      </c>
      <c r="K27" s="29" t="str">
        <f t="shared" si="10"/>
        <v/>
      </c>
      <c r="L27" s="31" t="str">
        <f t="shared" si="5"/>
        <v/>
      </c>
      <c r="M27" s="29" t="str">
        <f t="shared" si="6"/>
        <v/>
      </c>
      <c r="N27" s="29" t="str">
        <f t="shared" si="7"/>
        <v/>
      </c>
      <c r="O27" s="29" t="str">
        <f t="shared" si="8"/>
        <v/>
      </c>
      <c r="P27" s="31" t="str">
        <f t="shared" si="9"/>
        <v/>
      </c>
    </row>
    <row r="28" spans="2:16" hidden="1" x14ac:dyDescent="0.3">
      <c r="B28" s="1">
        <v>25</v>
      </c>
      <c r="C28" s="16">
        <f>'RELACIÓN DE FACTURAS'!S33</f>
        <v>0</v>
      </c>
      <c r="D28" s="16">
        <f>'RELACIÓN DE FACTURAS'!R33</f>
        <v>0</v>
      </c>
      <c r="E28" s="29">
        <f>'RELACIÓN DE FACTURAS'!W33</f>
        <v>0</v>
      </c>
      <c r="F28" s="29" t="str">
        <f>IF(C28=0,"",IF(AND(COUNTIF($C$4:C28,C28)=1,SUMIF($C$4:$C$78,C28,$E$4:$E$78)&gt;=15000),C28,""))</f>
        <v/>
      </c>
      <c r="G28" s="29" t="str">
        <f t="shared" si="0"/>
        <v/>
      </c>
      <c r="H28" s="31" t="str">
        <f t="shared" si="1"/>
        <v/>
      </c>
      <c r="I28" s="29" t="str">
        <f t="shared" si="2"/>
        <v/>
      </c>
      <c r="J28" s="29" t="str">
        <f t="shared" si="3"/>
        <v/>
      </c>
      <c r="K28" s="29" t="str">
        <f t="shared" si="10"/>
        <v/>
      </c>
      <c r="L28" s="31" t="str">
        <f t="shared" si="5"/>
        <v/>
      </c>
      <c r="M28" s="29" t="str">
        <f t="shared" si="6"/>
        <v/>
      </c>
      <c r="N28" s="29" t="str">
        <f t="shared" si="7"/>
        <v/>
      </c>
      <c r="O28" s="29" t="str">
        <f t="shared" si="8"/>
        <v/>
      </c>
      <c r="P28" s="31" t="str">
        <f t="shared" si="9"/>
        <v/>
      </c>
    </row>
    <row r="29" spans="2:16" hidden="1" x14ac:dyDescent="0.3">
      <c r="B29" s="1">
        <v>26</v>
      </c>
      <c r="C29" s="16">
        <f>'RELACIÓN DE FACTURAS'!S34</f>
        <v>0</v>
      </c>
      <c r="D29" s="16">
        <f>'RELACIÓN DE FACTURAS'!R34</f>
        <v>0</v>
      </c>
      <c r="E29" s="29">
        <f>'RELACIÓN DE FACTURAS'!W34</f>
        <v>0</v>
      </c>
      <c r="F29" s="29" t="str">
        <f>IF(C29=0,"",IF(AND(COUNTIF($C$4:C29,C29)=1,SUMIF($C$4:$C$78,C29,$E$4:$E$78)&gt;=15000),C29,""))</f>
        <v/>
      </c>
      <c r="G29" s="29" t="str">
        <f t="shared" si="0"/>
        <v/>
      </c>
      <c r="H29" s="31" t="str">
        <f t="shared" si="1"/>
        <v/>
      </c>
      <c r="I29" s="29" t="str">
        <f t="shared" si="2"/>
        <v/>
      </c>
      <c r="J29" s="29" t="str">
        <f t="shared" si="3"/>
        <v/>
      </c>
      <c r="K29" s="29" t="str">
        <f t="shared" si="10"/>
        <v/>
      </c>
      <c r="L29" s="31" t="str">
        <f t="shared" si="5"/>
        <v/>
      </c>
      <c r="M29" s="29" t="str">
        <f t="shared" si="6"/>
        <v/>
      </c>
      <c r="N29" s="29" t="str">
        <f t="shared" si="7"/>
        <v/>
      </c>
      <c r="O29" s="29" t="str">
        <f t="shared" si="8"/>
        <v/>
      </c>
      <c r="P29" s="31" t="str">
        <f t="shared" si="9"/>
        <v/>
      </c>
    </row>
    <row r="30" spans="2:16" hidden="1" x14ac:dyDescent="0.3">
      <c r="B30" s="1">
        <v>27</v>
      </c>
      <c r="C30" s="16">
        <f>'RELACIÓN DE FACTURAS'!S35</f>
        <v>0</v>
      </c>
      <c r="D30" s="16">
        <f>'RELACIÓN DE FACTURAS'!R35</f>
        <v>0</v>
      </c>
      <c r="E30" s="29">
        <f>'RELACIÓN DE FACTURAS'!W35</f>
        <v>0</v>
      </c>
      <c r="F30" s="29" t="str">
        <f>IF(C30=0,"",IF(AND(COUNTIF($C$4:C30,C30)=1,SUMIF($C$4:$C$78,C30,$E$4:$E$78)&gt;=15000),C30,""))</f>
        <v/>
      </c>
      <c r="G30" s="29" t="str">
        <f t="shared" si="0"/>
        <v/>
      </c>
      <c r="H30" s="31" t="str">
        <f t="shared" si="1"/>
        <v/>
      </c>
      <c r="I30" s="29" t="str">
        <f t="shared" si="2"/>
        <v/>
      </c>
      <c r="J30" s="29" t="str">
        <f t="shared" si="3"/>
        <v/>
      </c>
      <c r="K30" s="29" t="str">
        <f t="shared" si="10"/>
        <v/>
      </c>
      <c r="L30" s="31" t="str">
        <f t="shared" si="5"/>
        <v/>
      </c>
      <c r="M30" s="29" t="str">
        <f t="shared" si="6"/>
        <v/>
      </c>
      <c r="N30" s="29" t="str">
        <f t="shared" si="7"/>
        <v/>
      </c>
      <c r="O30" s="29" t="str">
        <f t="shared" si="8"/>
        <v/>
      </c>
      <c r="P30" s="31" t="str">
        <f t="shared" si="9"/>
        <v/>
      </c>
    </row>
    <row r="31" spans="2:16" hidden="1" x14ac:dyDescent="0.3">
      <c r="B31" s="1">
        <v>28</v>
      </c>
      <c r="C31" s="16">
        <f>'RELACIÓN DE FACTURAS'!S36</f>
        <v>0</v>
      </c>
      <c r="D31" s="16">
        <f>'RELACIÓN DE FACTURAS'!R36</f>
        <v>0</v>
      </c>
      <c r="E31" s="29">
        <f>'RELACIÓN DE FACTURAS'!W36</f>
        <v>0</v>
      </c>
      <c r="F31" s="29" t="str">
        <f>IF(C31=0,"",IF(AND(COUNTIF($C$4:C31,C31)=1,SUMIF($C$4:$C$78,C31,$E$4:$E$78)&gt;=15000),C31,""))</f>
        <v/>
      </c>
      <c r="G31" s="29" t="str">
        <f t="shared" si="0"/>
        <v/>
      </c>
      <c r="H31" s="31" t="str">
        <f t="shared" si="1"/>
        <v/>
      </c>
      <c r="I31" s="29" t="str">
        <f t="shared" si="2"/>
        <v/>
      </c>
      <c r="J31" s="29" t="str">
        <f t="shared" si="3"/>
        <v/>
      </c>
      <c r="K31" s="29" t="str">
        <f t="shared" si="10"/>
        <v/>
      </c>
      <c r="L31" s="31" t="str">
        <f t="shared" si="5"/>
        <v/>
      </c>
      <c r="M31" s="29" t="str">
        <f t="shared" si="6"/>
        <v/>
      </c>
      <c r="N31" s="29" t="str">
        <f t="shared" si="7"/>
        <v/>
      </c>
      <c r="O31" s="29" t="str">
        <f t="shared" si="8"/>
        <v/>
      </c>
      <c r="P31" s="31" t="str">
        <f t="shared" si="9"/>
        <v/>
      </c>
    </row>
    <row r="32" spans="2:16" hidden="1" x14ac:dyDescent="0.3">
      <c r="B32" s="1">
        <v>29</v>
      </c>
      <c r="C32" s="16">
        <f>'RELACIÓN DE FACTURAS'!S37</f>
        <v>0</v>
      </c>
      <c r="D32" s="16">
        <f>'RELACIÓN DE FACTURAS'!R37</f>
        <v>0</v>
      </c>
      <c r="E32" s="29">
        <f>'RELACIÓN DE FACTURAS'!W37</f>
        <v>0</v>
      </c>
      <c r="F32" s="29" t="str">
        <f>IF(C32=0,"",IF(AND(COUNTIF($C$4:C32,C32)=1,SUMIF($C$4:$C$78,C32,$E$4:$E$78)&gt;=15000),C32,""))</f>
        <v/>
      </c>
      <c r="G32" s="29" t="str">
        <f t="shared" si="0"/>
        <v/>
      </c>
      <c r="H32" s="31" t="str">
        <f t="shared" si="1"/>
        <v/>
      </c>
      <c r="I32" s="29" t="str">
        <f t="shared" si="2"/>
        <v/>
      </c>
      <c r="J32" s="29" t="str">
        <f t="shared" si="3"/>
        <v/>
      </c>
      <c r="K32" s="29" t="str">
        <f t="shared" si="10"/>
        <v/>
      </c>
      <c r="L32" s="31" t="str">
        <f t="shared" si="5"/>
        <v/>
      </c>
      <c r="M32" s="29" t="str">
        <f t="shared" si="6"/>
        <v/>
      </c>
      <c r="N32" s="29" t="str">
        <f t="shared" si="7"/>
        <v/>
      </c>
      <c r="O32" s="29" t="str">
        <f t="shared" si="8"/>
        <v/>
      </c>
      <c r="P32" s="31" t="str">
        <f t="shared" si="9"/>
        <v/>
      </c>
    </row>
    <row r="33" spans="2:16" hidden="1" x14ac:dyDescent="0.3">
      <c r="B33" s="1">
        <v>30</v>
      </c>
      <c r="C33" s="16">
        <f>'RELACIÓN DE FACTURAS'!S38</f>
        <v>0</v>
      </c>
      <c r="D33" s="16">
        <f>'RELACIÓN DE FACTURAS'!R38</f>
        <v>0</v>
      </c>
      <c r="E33" s="29">
        <f>'RELACIÓN DE FACTURAS'!W38</f>
        <v>0</v>
      </c>
      <c r="F33" s="29" t="str">
        <f>IF(C33=0,"",IF(AND(COUNTIF($C$4:C33,C33)=1,SUMIF($C$4:$C$78,C33,$E$4:$E$78)&gt;=15000),C33,""))</f>
        <v/>
      </c>
      <c r="G33" s="29" t="str">
        <f t="shared" si="0"/>
        <v/>
      </c>
      <c r="H33" s="31" t="str">
        <f t="shared" si="1"/>
        <v/>
      </c>
      <c r="I33" s="29" t="str">
        <f t="shared" ref="I33:I78" si="11">IF(H33="","",D33)</f>
        <v/>
      </c>
      <c r="J33" s="29" t="str">
        <f t="shared" ref="J33:J78" si="12">IF(H33="","",C33)</f>
        <v/>
      </c>
      <c r="K33" s="29" t="str">
        <f t="shared" ref="K33:K78" si="13">IF(H33="","",G33)</f>
        <v/>
      </c>
      <c r="L33" s="31" t="str">
        <f t="shared" ref="L33:L78" si="14">IF(M33&lt;&gt;"",B33,"")</f>
        <v/>
      </c>
      <c r="M33" s="29" t="str">
        <f t="shared" si="6"/>
        <v/>
      </c>
      <c r="N33" s="29" t="str">
        <f t="shared" si="7"/>
        <v/>
      </c>
      <c r="O33" s="29" t="str">
        <f t="shared" si="8"/>
        <v/>
      </c>
      <c r="P33" s="31" t="str">
        <f t="shared" si="9"/>
        <v/>
      </c>
    </row>
    <row r="34" spans="2:16" hidden="1" x14ac:dyDescent="0.3">
      <c r="B34" s="1">
        <v>31</v>
      </c>
      <c r="C34" s="16">
        <f>'RELACIÓN DE FACTURAS'!S39</f>
        <v>0</v>
      </c>
      <c r="D34" s="16">
        <f>'RELACIÓN DE FACTURAS'!R39</f>
        <v>0</v>
      </c>
      <c r="E34" s="29">
        <f>'RELACIÓN DE FACTURAS'!W39</f>
        <v>0</v>
      </c>
      <c r="F34" s="29" t="str">
        <f>IF(C34=0,"",IF(AND(COUNTIF($C$4:C34,C34)=1,SUMIF($C$4:$C$78,C34,$E$4:$E$78)&gt;=15000),C34,""))</f>
        <v/>
      </c>
      <c r="G34" s="29" t="str">
        <f t="shared" si="0"/>
        <v/>
      </c>
      <c r="H34" s="31" t="str">
        <f t="shared" si="1"/>
        <v/>
      </c>
      <c r="I34" s="29" t="str">
        <f t="shared" si="11"/>
        <v/>
      </c>
      <c r="J34" s="29" t="str">
        <f t="shared" si="12"/>
        <v/>
      </c>
      <c r="K34" s="29" t="str">
        <f t="shared" si="13"/>
        <v/>
      </c>
      <c r="L34" s="31" t="str">
        <f t="shared" si="14"/>
        <v/>
      </c>
      <c r="M34" s="29" t="str">
        <f t="shared" si="6"/>
        <v/>
      </c>
      <c r="N34" s="29" t="str">
        <f t="shared" si="7"/>
        <v/>
      </c>
      <c r="O34" s="29" t="str">
        <f t="shared" si="8"/>
        <v/>
      </c>
      <c r="P34" s="31" t="str">
        <f t="shared" si="9"/>
        <v/>
      </c>
    </row>
    <row r="35" spans="2:16" hidden="1" x14ac:dyDescent="0.3">
      <c r="B35" s="1">
        <v>32</v>
      </c>
      <c r="C35" s="16">
        <f>'RELACIÓN DE FACTURAS'!S40</f>
        <v>0</v>
      </c>
      <c r="D35" s="16">
        <f>'RELACIÓN DE FACTURAS'!R40</f>
        <v>0</v>
      </c>
      <c r="E35" s="29">
        <f>'RELACIÓN DE FACTURAS'!W40</f>
        <v>0</v>
      </c>
      <c r="F35" s="29" t="str">
        <f>IF(C35=0,"",IF(AND(COUNTIF($C$4:C35,C35)=1,SUMIF($C$4:$C$78,C35,$E$4:$E$78)&gt;=15000),C35,""))</f>
        <v/>
      </c>
      <c r="G35" s="29" t="str">
        <f t="shared" si="0"/>
        <v/>
      </c>
      <c r="H35" s="31" t="str">
        <f t="shared" si="1"/>
        <v/>
      </c>
      <c r="I35" s="29" t="str">
        <f t="shared" si="11"/>
        <v/>
      </c>
      <c r="J35" s="29" t="str">
        <f t="shared" si="12"/>
        <v/>
      </c>
      <c r="K35" s="29" t="str">
        <f t="shared" si="13"/>
        <v/>
      </c>
      <c r="L35" s="31" t="str">
        <f t="shared" si="14"/>
        <v/>
      </c>
      <c r="M35" s="29" t="str">
        <f t="shared" si="6"/>
        <v/>
      </c>
      <c r="N35" s="29" t="str">
        <f t="shared" si="7"/>
        <v/>
      </c>
      <c r="O35" s="29" t="str">
        <f t="shared" si="8"/>
        <v/>
      </c>
      <c r="P35" s="31" t="str">
        <f t="shared" si="9"/>
        <v/>
      </c>
    </row>
    <row r="36" spans="2:16" hidden="1" x14ac:dyDescent="0.3">
      <c r="B36" s="1">
        <v>33</v>
      </c>
      <c r="C36" s="16">
        <f>'RELACIÓN DE FACTURAS'!S41</f>
        <v>0</v>
      </c>
      <c r="D36" s="16">
        <f>'RELACIÓN DE FACTURAS'!R41</f>
        <v>0</v>
      </c>
      <c r="E36" s="29">
        <f>'RELACIÓN DE FACTURAS'!W41</f>
        <v>0</v>
      </c>
      <c r="F36" s="29" t="str">
        <f>IF(C36=0,"",IF(AND(COUNTIF($C$4:C36,C36)=1,SUMIF($C$4:$C$78,C36,$E$4:$E$78)&gt;=15000),C36,""))</f>
        <v/>
      </c>
      <c r="G36" s="29" t="str">
        <f t="shared" si="0"/>
        <v/>
      </c>
      <c r="H36" s="31" t="str">
        <f t="shared" si="1"/>
        <v/>
      </c>
      <c r="I36" s="29" t="str">
        <f t="shared" si="11"/>
        <v/>
      </c>
      <c r="J36" s="29" t="str">
        <f t="shared" si="12"/>
        <v/>
      </c>
      <c r="K36" s="29" t="str">
        <f t="shared" si="13"/>
        <v/>
      </c>
      <c r="L36" s="31" t="str">
        <f t="shared" si="14"/>
        <v/>
      </c>
      <c r="M36" s="29" t="str">
        <f t="shared" si="6"/>
        <v/>
      </c>
      <c r="N36" s="29" t="str">
        <f t="shared" si="7"/>
        <v/>
      </c>
      <c r="O36" s="29" t="str">
        <f t="shared" si="8"/>
        <v/>
      </c>
      <c r="P36" s="31" t="str">
        <f t="shared" si="9"/>
        <v/>
      </c>
    </row>
    <row r="37" spans="2:16" hidden="1" x14ac:dyDescent="0.3">
      <c r="B37" s="1">
        <v>34</v>
      </c>
      <c r="C37" s="16">
        <f>'RELACIÓN DE FACTURAS'!S42</f>
        <v>0</v>
      </c>
      <c r="D37" s="16">
        <f>'RELACIÓN DE FACTURAS'!R42</f>
        <v>0</v>
      </c>
      <c r="E37" s="29">
        <f>'RELACIÓN DE FACTURAS'!W42</f>
        <v>0</v>
      </c>
      <c r="F37" s="29" t="str">
        <f>IF(C37=0,"",IF(AND(COUNTIF($C$4:C37,C37)=1,SUMIF($C$4:$C$78,C37,$E$4:$E$78)&gt;=15000),C37,""))</f>
        <v/>
      </c>
      <c r="G37" s="29" t="str">
        <f t="shared" si="0"/>
        <v/>
      </c>
      <c r="H37" s="31" t="str">
        <f t="shared" si="1"/>
        <v/>
      </c>
      <c r="I37" s="29" t="str">
        <f t="shared" si="11"/>
        <v/>
      </c>
      <c r="J37" s="29" t="str">
        <f t="shared" si="12"/>
        <v/>
      </c>
      <c r="K37" s="29" t="str">
        <f t="shared" si="13"/>
        <v/>
      </c>
      <c r="L37" s="31" t="str">
        <f t="shared" si="14"/>
        <v/>
      </c>
      <c r="M37" s="29" t="str">
        <f t="shared" si="6"/>
        <v/>
      </c>
      <c r="N37" s="29" t="str">
        <f t="shared" si="7"/>
        <v/>
      </c>
      <c r="O37" s="29" t="str">
        <f t="shared" si="8"/>
        <v/>
      </c>
      <c r="P37" s="31" t="str">
        <f t="shared" si="9"/>
        <v/>
      </c>
    </row>
    <row r="38" spans="2:16" hidden="1" x14ac:dyDescent="0.3">
      <c r="B38" s="1">
        <v>35</v>
      </c>
      <c r="C38" s="16">
        <f>'RELACIÓN DE FACTURAS'!S43</f>
        <v>0</v>
      </c>
      <c r="D38" s="16">
        <f>'RELACIÓN DE FACTURAS'!R43</f>
        <v>0</v>
      </c>
      <c r="E38" s="29">
        <f>'RELACIÓN DE FACTURAS'!W43</f>
        <v>0</v>
      </c>
      <c r="F38" s="29" t="str">
        <f>IF(C38=0,"",IF(AND(COUNTIF($C$4:C38,C38)=1,SUMIF($C$4:$C$78,C38,$E$4:$E$78)&gt;=15000),C38,""))</f>
        <v/>
      </c>
      <c r="G38" s="29" t="str">
        <f t="shared" si="0"/>
        <v/>
      </c>
      <c r="H38" s="31" t="str">
        <f t="shared" si="1"/>
        <v/>
      </c>
      <c r="I38" s="29" t="str">
        <f t="shared" si="11"/>
        <v/>
      </c>
      <c r="J38" s="29" t="str">
        <f t="shared" si="12"/>
        <v/>
      </c>
      <c r="K38" s="29" t="str">
        <f t="shared" si="13"/>
        <v/>
      </c>
      <c r="L38" s="31" t="str">
        <f t="shared" si="14"/>
        <v/>
      </c>
      <c r="M38" s="29" t="str">
        <f t="shared" si="6"/>
        <v/>
      </c>
      <c r="N38" s="29" t="str">
        <f t="shared" si="7"/>
        <v/>
      </c>
      <c r="O38" s="29" t="str">
        <f t="shared" si="8"/>
        <v/>
      </c>
      <c r="P38" s="31" t="str">
        <f t="shared" si="9"/>
        <v/>
      </c>
    </row>
    <row r="39" spans="2:16" hidden="1" x14ac:dyDescent="0.3">
      <c r="B39" s="1">
        <v>36</v>
      </c>
      <c r="C39" s="16">
        <f>'RELACIÓN DE FACTURAS'!S44</f>
        <v>0</v>
      </c>
      <c r="D39" s="16">
        <f>'RELACIÓN DE FACTURAS'!R44</f>
        <v>0</v>
      </c>
      <c r="E39" s="29">
        <f>'RELACIÓN DE FACTURAS'!W44</f>
        <v>0</v>
      </c>
      <c r="F39" s="29" t="str">
        <f>IF(C39=0,"",IF(AND(COUNTIF($C$4:C39,C39)=1,SUMIF($C$4:$C$78,C39,$E$4:$E$78)&gt;=15000),C39,""))</f>
        <v/>
      </c>
      <c r="G39" s="29" t="str">
        <f t="shared" si="0"/>
        <v/>
      </c>
      <c r="H39" s="31" t="str">
        <f t="shared" si="1"/>
        <v/>
      </c>
      <c r="I39" s="29" t="str">
        <f t="shared" si="11"/>
        <v/>
      </c>
      <c r="J39" s="29" t="str">
        <f t="shared" si="12"/>
        <v/>
      </c>
      <c r="K39" s="29" t="str">
        <f t="shared" si="13"/>
        <v/>
      </c>
      <c r="L39" s="31" t="str">
        <f t="shared" si="14"/>
        <v/>
      </c>
      <c r="M39" s="29" t="str">
        <f t="shared" si="6"/>
        <v/>
      </c>
      <c r="N39" s="29" t="str">
        <f t="shared" si="7"/>
        <v/>
      </c>
      <c r="O39" s="29" t="str">
        <f t="shared" si="8"/>
        <v/>
      </c>
      <c r="P39" s="31" t="str">
        <f t="shared" si="9"/>
        <v/>
      </c>
    </row>
    <row r="40" spans="2:16" hidden="1" x14ac:dyDescent="0.3">
      <c r="B40" s="1">
        <v>37</v>
      </c>
      <c r="C40" s="16">
        <f>'RELACIÓN DE FACTURAS'!S45</f>
        <v>0</v>
      </c>
      <c r="D40" s="16">
        <f>'RELACIÓN DE FACTURAS'!R45</f>
        <v>0</v>
      </c>
      <c r="E40" s="29">
        <f>'RELACIÓN DE FACTURAS'!W45</f>
        <v>0</v>
      </c>
      <c r="F40" s="29" t="str">
        <f>IF(C40=0,"",IF(AND(COUNTIF($C$4:C40,C40)=1,SUMIF($C$4:$C$78,C40,$E$4:$E$78)&gt;=15000),C40,""))</f>
        <v/>
      </c>
      <c r="G40" s="29" t="str">
        <f t="shared" si="0"/>
        <v/>
      </c>
      <c r="H40" s="31" t="str">
        <f t="shared" si="1"/>
        <v/>
      </c>
      <c r="I40" s="29" t="str">
        <f t="shared" si="11"/>
        <v/>
      </c>
      <c r="J40" s="29" t="str">
        <f t="shared" si="12"/>
        <v/>
      </c>
      <c r="K40" s="29" t="str">
        <f t="shared" si="13"/>
        <v/>
      </c>
      <c r="L40" s="31" t="str">
        <f t="shared" si="14"/>
        <v/>
      </c>
      <c r="M40" s="29" t="str">
        <f t="shared" si="6"/>
        <v/>
      </c>
      <c r="N40" s="29" t="str">
        <f t="shared" si="7"/>
        <v/>
      </c>
      <c r="O40" s="29" t="str">
        <f t="shared" si="8"/>
        <v/>
      </c>
      <c r="P40" s="31" t="str">
        <f t="shared" si="9"/>
        <v/>
      </c>
    </row>
    <row r="41" spans="2:16" hidden="1" x14ac:dyDescent="0.3">
      <c r="B41" s="1">
        <v>38</v>
      </c>
      <c r="C41" s="16">
        <f>'RELACIÓN DE FACTURAS'!S46</f>
        <v>0</v>
      </c>
      <c r="D41" s="16">
        <f>'RELACIÓN DE FACTURAS'!R46</f>
        <v>0</v>
      </c>
      <c r="E41" s="29">
        <f>'RELACIÓN DE FACTURAS'!W46</f>
        <v>0</v>
      </c>
      <c r="F41" s="29" t="str">
        <f>IF(C41=0,"",IF(AND(COUNTIF($C$4:C41,C41)=1,SUMIF($C$4:$C$78,C41,$E$4:$E$78)&gt;=15000),C41,""))</f>
        <v/>
      </c>
      <c r="G41" s="29" t="str">
        <f t="shared" si="0"/>
        <v/>
      </c>
      <c r="H41" s="31" t="str">
        <f t="shared" si="1"/>
        <v/>
      </c>
      <c r="I41" s="29" t="str">
        <f t="shared" si="11"/>
        <v/>
      </c>
      <c r="J41" s="29" t="str">
        <f t="shared" si="12"/>
        <v/>
      </c>
      <c r="K41" s="29" t="str">
        <f t="shared" si="13"/>
        <v/>
      </c>
      <c r="L41" s="31" t="str">
        <f t="shared" si="14"/>
        <v/>
      </c>
      <c r="M41" s="29" t="str">
        <f t="shared" si="6"/>
        <v/>
      </c>
      <c r="N41" s="29" t="str">
        <f t="shared" si="7"/>
        <v/>
      </c>
      <c r="O41" s="29" t="str">
        <f t="shared" si="8"/>
        <v/>
      </c>
      <c r="P41" s="31" t="str">
        <f t="shared" si="9"/>
        <v/>
      </c>
    </row>
    <row r="42" spans="2:16" hidden="1" x14ac:dyDescent="0.3">
      <c r="B42" s="1">
        <v>39</v>
      </c>
      <c r="C42" s="16">
        <f>'RELACIÓN DE FACTURAS'!S47</f>
        <v>0</v>
      </c>
      <c r="D42" s="16">
        <f>'RELACIÓN DE FACTURAS'!R47</f>
        <v>0</v>
      </c>
      <c r="E42" s="29">
        <f>'RELACIÓN DE FACTURAS'!W47</f>
        <v>0</v>
      </c>
      <c r="F42" s="29" t="str">
        <f>IF(C42=0,"",IF(AND(COUNTIF($C$4:C42,C42)=1,SUMIF($C$4:$C$78,C42,$E$4:$E$78)&gt;=15000),C42,""))</f>
        <v/>
      </c>
      <c r="G42" s="29" t="str">
        <f t="shared" si="0"/>
        <v/>
      </c>
      <c r="H42" s="31" t="str">
        <f t="shared" si="1"/>
        <v/>
      </c>
      <c r="I42" s="29" t="str">
        <f t="shared" si="11"/>
        <v/>
      </c>
      <c r="J42" s="29" t="str">
        <f t="shared" si="12"/>
        <v/>
      </c>
      <c r="K42" s="29" t="str">
        <f t="shared" si="13"/>
        <v/>
      </c>
      <c r="L42" s="31" t="str">
        <f t="shared" si="14"/>
        <v/>
      </c>
      <c r="M42" s="29" t="str">
        <f t="shared" si="6"/>
        <v/>
      </c>
      <c r="N42" s="29" t="str">
        <f t="shared" si="7"/>
        <v/>
      </c>
      <c r="O42" s="29" t="str">
        <f t="shared" si="8"/>
        <v/>
      </c>
      <c r="P42" s="31" t="str">
        <f t="shared" si="9"/>
        <v/>
      </c>
    </row>
    <row r="43" spans="2:16" hidden="1" x14ac:dyDescent="0.3">
      <c r="B43" s="1">
        <v>40</v>
      </c>
      <c r="C43" s="16">
        <f>'RELACIÓN DE FACTURAS'!S48</f>
        <v>0</v>
      </c>
      <c r="D43" s="16">
        <f>'RELACIÓN DE FACTURAS'!R48</f>
        <v>0</v>
      </c>
      <c r="E43" s="29">
        <f>'RELACIÓN DE FACTURAS'!W48</f>
        <v>0</v>
      </c>
      <c r="F43" s="29" t="str">
        <f>IF(C43=0,"",IF(AND(COUNTIF($C$4:C43,C43)=1,SUMIF($C$4:$C$78,C43,$E$4:$E$78)&gt;=15000),C43,""))</f>
        <v/>
      </c>
      <c r="G43" s="29" t="str">
        <f t="shared" ref="G43:G77" si="15">IF(SUMIF($C$4:$C$78,F43,$E$4:$E$78)&lt;15000,"",SUMIF($C$4:$C$78,F43,$E$4:$E$78))</f>
        <v/>
      </c>
      <c r="H43" s="31" t="str">
        <f t="shared" ref="H43:H77" si="16">IFERROR(_xlfn.RANK.EQ(G43,$G$4:$G$78),"")</f>
        <v/>
      </c>
      <c r="I43" s="29" t="str">
        <f t="shared" ref="I43:I77" si="17">IF(H43="","",D43)</f>
        <v/>
      </c>
      <c r="J43" s="29" t="str">
        <f t="shared" ref="J43:J77" si="18">IF(H43="","",C43)</f>
        <v/>
      </c>
      <c r="K43" s="29" t="str">
        <f t="shared" ref="K43:K77" si="19">IF(H43="","",G43)</f>
        <v/>
      </c>
      <c r="L43" s="31" t="str">
        <f t="shared" ref="L43:L77" si="20">IF(M43&lt;&gt;"",B43,"")</f>
        <v/>
      </c>
      <c r="M43" s="29" t="str">
        <f t="shared" ref="M43:M77" si="21">IF(IFERROR(VLOOKUP(B43,$H$4:$K$78,2,0),"")="","",VLOOKUP(B43,$H$4:$K$78,2,0))</f>
        <v/>
      </c>
      <c r="N43" s="29" t="str">
        <f t="shared" ref="N43:N77" si="22">IF(IFERROR(VLOOKUP(B43,$H$4:$K$78,3,0),"")="","",VLOOKUP(B43,$H$4:$K$78,3,0))</f>
        <v/>
      </c>
      <c r="O43" s="29" t="str">
        <f t="shared" ref="O43:O77" si="23">IF(IFERROR(VLOOKUP(B43,$H$4:$K$78,4,0),"")="","",VLOOKUP(B43,$H$4:$K$78,4,0))</f>
        <v/>
      </c>
      <c r="P43" s="31" t="str">
        <f t="shared" ref="P43:P77" si="24">IF(COUNTIF($C$4:$C$78,N43)=0,"",COUNTIF($C$4:$C$78,N43))</f>
        <v/>
      </c>
    </row>
    <row r="44" spans="2:16" hidden="1" x14ac:dyDescent="0.3">
      <c r="B44" s="1">
        <v>41</v>
      </c>
      <c r="C44" s="16">
        <f>'RELACIÓN DE FACTURAS'!S49</f>
        <v>0</v>
      </c>
      <c r="D44" s="16">
        <f>'RELACIÓN DE FACTURAS'!R49</f>
        <v>0</v>
      </c>
      <c r="E44" s="29">
        <f>'RELACIÓN DE FACTURAS'!W49</f>
        <v>0</v>
      </c>
      <c r="F44" s="29" t="str">
        <f>IF(C44=0,"",IF(AND(COUNTIF($C$4:C44,C44)=1,SUMIF($C$4:$C$78,C44,$E$4:$E$78)&gt;=15000),C44,""))</f>
        <v/>
      </c>
      <c r="G44" s="29" t="str">
        <f t="shared" si="15"/>
        <v/>
      </c>
      <c r="H44" s="31" t="str">
        <f t="shared" si="16"/>
        <v/>
      </c>
      <c r="I44" s="29" t="str">
        <f t="shared" si="17"/>
        <v/>
      </c>
      <c r="J44" s="29" t="str">
        <f t="shared" si="18"/>
        <v/>
      </c>
      <c r="K44" s="29" t="str">
        <f t="shared" si="19"/>
        <v/>
      </c>
      <c r="L44" s="31" t="str">
        <f t="shared" si="20"/>
        <v/>
      </c>
      <c r="M44" s="29" t="str">
        <f t="shared" si="21"/>
        <v/>
      </c>
      <c r="N44" s="29" t="str">
        <f t="shared" si="22"/>
        <v/>
      </c>
      <c r="O44" s="29" t="str">
        <f t="shared" si="23"/>
        <v/>
      </c>
      <c r="P44" s="31" t="str">
        <f t="shared" si="24"/>
        <v/>
      </c>
    </row>
    <row r="45" spans="2:16" hidden="1" x14ac:dyDescent="0.3">
      <c r="B45" s="1">
        <v>42</v>
      </c>
      <c r="C45" s="16">
        <f>'RELACIÓN DE FACTURAS'!S50</f>
        <v>0</v>
      </c>
      <c r="D45" s="16">
        <f>'RELACIÓN DE FACTURAS'!R50</f>
        <v>0</v>
      </c>
      <c r="E45" s="29">
        <f>'RELACIÓN DE FACTURAS'!W50</f>
        <v>0</v>
      </c>
      <c r="F45" s="29" t="str">
        <f>IF(C45=0,"",IF(AND(COUNTIF($C$4:C45,C45)=1,SUMIF($C$4:$C$78,C45,$E$4:$E$78)&gt;=15000),C45,""))</f>
        <v/>
      </c>
      <c r="G45" s="29" t="str">
        <f t="shared" si="15"/>
        <v/>
      </c>
      <c r="H45" s="31" t="str">
        <f t="shared" si="16"/>
        <v/>
      </c>
      <c r="I45" s="29" t="str">
        <f t="shared" si="17"/>
        <v/>
      </c>
      <c r="J45" s="29" t="str">
        <f t="shared" si="18"/>
        <v/>
      </c>
      <c r="K45" s="29" t="str">
        <f t="shared" si="19"/>
        <v/>
      </c>
      <c r="L45" s="31" t="str">
        <f t="shared" si="20"/>
        <v/>
      </c>
      <c r="M45" s="29" t="str">
        <f t="shared" si="21"/>
        <v/>
      </c>
      <c r="N45" s="29" t="str">
        <f t="shared" si="22"/>
        <v/>
      </c>
      <c r="O45" s="29" t="str">
        <f t="shared" si="23"/>
        <v/>
      </c>
      <c r="P45" s="31" t="str">
        <f t="shared" si="24"/>
        <v/>
      </c>
    </row>
    <row r="46" spans="2:16" hidden="1" x14ac:dyDescent="0.3">
      <c r="B46" s="1">
        <v>43</v>
      </c>
      <c r="C46" s="16">
        <f>'RELACIÓN DE FACTURAS'!S51</f>
        <v>0</v>
      </c>
      <c r="D46" s="16">
        <f>'RELACIÓN DE FACTURAS'!R51</f>
        <v>0</v>
      </c>
      <c r="E46" s="29">
        <f>'RELACIÓN DE FACTURAS'!W51</f>
        <v>0</v>
      </c>
      <c r="F46" s="29" t="str">
        <f>IF(C46=0,"",IF(AND(COUNTIF($C$4:C46,C46)=1,SUMIF($C$4:$C$78,C46,$E$4:$E$78)&gt;=15000),C46,""))</f>
        <v/>
      </c>
      <c r="G46" s="29" t="str">
        <f t="shared" si="15"/>
        <v/>
      </c>
      <c r="H46" s="31" t="str">
        <f t="shared" si="16"/>
        <v/>
      </c>
      <c r="I46" s="29" t="str">
        <f t="shared" si="17"/>
        <v/>
      </c>
      <c r="J46" s="29" t="str">
        <f t="shared" si="18"/>
        <v/>
      </c>
      <c r="K46" s="29" t="str">
        <f t="shared" si="19"/>
        <v/>
      </c>
      <c r="L46" s="31" t="str">
        <f t="shared" si="20"/>
        <v/>
      </c>
      <c r="M46" s="29" t="str">
        <f t="shared" si="21"/>
        <v/>
      </c>
      <c r="N46" s="29" t="str">
        <f t="shared" si="22"/>
        <v/>
      </c>
      <c r="O46" s="29" t="str">
        <f t="shared" si="23"/>
        <v/>
      </c>
      <c r="P46" s="31" t="str">
        <f t="shared" si="24"/>
        <v/>
      </c>
    </row>
    <row r="47" spans="2:16" hidden="1" x14ac:dyDescent="0.3">
      <c r="B47" s="1">
        <v>44</v>
      </c>
      <c r="C47" s="16">
        <f>'RELACIÓN DE FACTURAS'!S52</f>
        <v>0</v>
      </c>
      <c r="D47" s="16">
        <f>'RELACIÓN DE FACTURAS'!R52</f>
        <v>0</v>
      </c>
      <c r="E47" s="29">
        <f>'RELACIÓN DE FACTURAS'!W52</f>
        <v>0</v>
      </c>
      <c r="F47" s="29" t="str">
        <f>IF(C47=0,"",IF(AND(COUNTIF($C$4:C47,C47)=1,SUMIF($C$4:$C$78,C47,$E$4:$E$78)&gt;=15000),C47,""))</f>
        <v/>
      </c>
      <c r="G47" s="29" t="str">
        <f t="shared" si="15"/>
        <v/>
      </c>
      <c r="H47" s="31" t="str">
        <f t="shared" si="16"/>
        <v/>
      </c>
      <c r="I47" s="29" t="str">
        <f t="shared" si="17"/>
        <v/>
      </c>
      <c r="J47" s="29" t="str">
        <f t="shared" si="18"/>
        <v/>
      </c>
      <c r="K47" s="29" t="str">
        <f t="shared" si="19"/>
        <v/>
      </c>
      <c r="L47" s="31" t="str">
        <f t="shared" si="20"/>
        <v/>
      </c>
      <c r="M47" s="29" t="str">
        <f t="shared" si="21"/>
        <v/>
      </c>
      <c r="N47" s="29" t="str">
        <f t="shared" si="22"/>
        <v/>
      </c>
      <c r="O47" s="29" t="str">
        <f t="shared" si="23"/>
        <v/>
      </c>
      <c r="P47" s="31" t="str">
        <f t="shared" si="24"/>
        <v/>
      </c>
    </row>
    <row r="48" spans="2:16" hidden="1" x14ac:dyDescent="0.3">
      <c r="B48" s="1">
        <v>45</v>
      </c>
      <c r="C48" s="16">
        <f>'RELACIÓN DE FACTURAS'!S53</f>
        <v>0</v>
      </c>
      <c r="D48" s="16">
        <f>'RELACIÓN DE FACTURAS'!R53</f>
        <v>0</v>
      </c>
      <c r="E48" s="29">
        <f>'RELACIÓN DE FACTURAS'!W53</f>
        <v>0</v>
      </c>
      <c r="F48" s="29" t="str">
        <f>IF(C48=0,"",IF(AND(COUNTIF($C$4:C48,C48)=1,SUMIF($C$4:$C$78,C48,$E$4:$E$78)&gt;=15000),C48,""))</f>
        <v/>
      </c>
      <c r="G48" s="29" t="str">
        <f t="shared" si="15"/>
        <v/>
      </c>
      <c r="H48" s="31" t="str">
        <f t="shared" si="16"/>
        <v/>
      </c>
      <c r="I48" s="29" t="str">
        <f t="shared" si="17"/>
        <v/>
      </c>
      <c r="J48" s="29" t="str">
        <f t="shared" si="18"/>
        <v/>
      </c>
      <c r="K48" s="29" t="str">
        <f t="shared" si="19"/>
        <v/>
      </c>
      <c r="L48" s="31" t="str">
        <f t="shared" si="20"/>
        <v/>
      </c>
      <c r="M48" s="29" t="str">
        <f t="shared" si="21"/>
        <v/>
      </c>
      <c r="N48" s="29" t="str">
        <f t="shared" si="22"/>
        <v/>
      </c>
      <c r="O48" s="29" t="str">
        <f t="shared" si="23"/>
        <v/>
      </c>
      <c r="P48" s="31" t="str">
        <f t="shared" si="24"/>
        <v/>
      </c>
    </row>
    <row r="49" spans="2:16" hidden="1" x14ac:dyDescent="0.3">
      <c r="B49" s="1">
        <v>46</v>
      </c>
      <c r="C49" s="16">
        <f>'RELACIÓN DE FACTURAS'!S54</f>
        <v>0</v>
      </c>
      <c r="D49" s="16">
        <f>'RELACIÓN DE FACTURAS'!R54</f>
        <v>0</v>
      </c>
      <c r="E49" s="29">
        <f>'RELACIÓN DE FACTURAS'!W54</f>
        <v>0</v>
      </c>
      <c r="F49" s="29" t="str">
        <f>IF(C49=0,"",IF(AND(COUNTIF($C$4:C49,C49)=1,SUMIF($C$4:$C$78,C49,$E$4:$E$78)&gt;=15000),C49,""))</f>
        <v/>
      </c>
      <c r="G49" s="29" t="str">
        <f t="shared" si="15"/>
        <v/>
      </c>
      <c r="H49" s="31" t="str">
        <f t="shared" si="16"/>
        <v/>
      </c>
      <c r="I49" s="29" t="str">
        <f t="shared" si="17"/>
        <v/>
      </c>
      <c r="J49" s="29" t="str">
        <f t="shared" si="18"/>
        <v/>
      </c>
      <c r="K49" s="29" t="str">
        <f t="shared" si="19"/>
        <v/>
      </c>
      <c r="L49" s="31" t="str">
        <f t="shared" si="20"/>
        <v/>
      </c>
      <c r="M49" s="29" t="str">
        <f t="shared" si="21"/>
        <v/>
      </c>
      <c r="N49" s="29" t="str">
        <f t="shared" si="22"/>
        <v/>
      </c>
      <c r="O49" s="29" t="str">
        <f t="shared" si="23"/>
        <v/>
      </c>
      <c r="P49" s="31" t="str">
        <f t="shared" si="24"/>
        <v/>
      </c>
    </row>
    <row r="50" spans="2:16" hidden="1" x14ac:dyDescent="0.3">
      <c r="B50" s="1">
        <v>47</v>
      </c>
      <c r="C50" s="16">
        <f>'RELACIÓN DE FACTURAS'!S55</f>
        <v>0</v>
      </c>
      <c r="D50" s="16">
        <f>'RELACIÓN DE FACTURAS'!R55</f>
        <v>0</v>
      </c>
      <c r="E50" s="29">
        <f>'RELACIÓN DE FACTURAS'!W55</f>
        <v>0</v>
      </c>
      <c r="F50" s="29" t="str">
        <f>IF(C50=0,"",IF(AND(COUNTIF($C$4:C50,C50)=1,SUMIF($C$4:$C$78,C50,$E$4:$E$78)&gt;=15000),C50,""))</f>
        <v/>
      </c>
      <c r="G50" s="29" t="str">
        <f t="shared" si="15"/>
        <v/>
      </c>
      <c r="H50" s="31" t="str">
        <f t="shared" si="16"/>
        <v/>
      </c>
      <c r="I50" s="29" t="str">
        <f t="shared" si="17"/>
        <v/>
      </c>
      <c r="J50" s="29" t="str">
        <f t="shared" si="18"/>
        <v/>
      </c>
      <c r="K50" s="29" t="str">
        <f t="shared" si="19"/>
        <v/>
      </c>
      <c r="L50" s="31" t="str">
        <f t="shared" si="20"/>
        <v/>
      </c>
      <c r="M50" s="29" t="str">
        <f t="shared" si="21"/>
        <v/>
      </c>
      <c r="N50" s="29" t="str">
        <f t="shared" si="22"/>
        <v/>
      </c>
      <c r="O50" s="29" t="str">
        <f t="shared" si="23"/>
        <v/>
      </c>
      <c r="P50" s="31" t="str">
        <f t="shared" si="24"/>
        <v/>
      </c>
    </row>
    <row r="51" spans="2:16" hidden="1" x14ac:dyDescent="0.3">
      <c r="B51" s="1">
        <v>48</v>
      </c>
      <c r="C51" s="16">
        <f>'RELACIÓN DE FACTURAS'!S56</f>
        <v>0</v>
      </c>
      <c r="D51" s="16">
        <f>'RELACIÓN DE FACTURAS'!R56</f>
        <v>0</v>
      </c>
      <c r="E51" s="29">
        <f>'RELACIÓN DE FACTURAS'!W56</f>
        <v>0</v>
      </c>
      <c r="F51" s="29" t="str">
        <f>IF(C51=0,"",IF(AND(COUNTIF($C$4:C51,C51)=1,SUMIF($C$4:$C$78,C51,$E$4:$E$78)&gt;=15000),C51,""))</f>
        <v/>
      </c>
      <c r="G51" s="29" t="str">
        <f t="shared" si="15"/>
        <v/>
      </c>
      <c r="H51" s="31" t="str">
        <f t="shared" si="16"/>
        <v/>
      </c>
      <c r="I51" s="29" t="str">
        <f t="shared" si="17"/>
        <v/>
      </c>
      <c r="J51" s="29" t="str">
        <f t="shared" si="18"/>
        <v/>
      </c>
      <c r="K51" s="29" t="str">
        <f t="shared" si="19"/>
        <v/>
      </c>
      <c r="L51" s="31" t="str">
        <f t="shared" si="20"/>
        <v/>
      </c>
      <c r="M51" s="29" t="str">
        <f t="shared" si="21"/>
        <v/>
      </c>
      <c r="N51" s="29" t="str">
        <f t="shared" si="22"/>
        <v/>
      </c>
      <c r="O51" s="29" t="str">
        <f t="shared" si="23"/>
        <v/>
      </c>
      <c r="P51" s="31" t="str">
        <f t="shared" si="24"/>
        <v/>
      </c>
    </row>
    <row r="52" spans="2:16" hidden="1" x14ac:dyDescent="0.3">
      <c r="B52" s="1">
        <v>49</v>
      </c>
      <c r="C52" s="16">
        <f>'RELACIÓN DE FACTURAS'!S57</f>
        <v>0</v>
      </c>
      <c r="D52" s="16">
        <f>'RELACIÓN DE FACTURAS'!R57</f>
        <v>0</v>
      </c>
      <c r="E52" s="29">
        <f>'RELACIÓN DE FACTURAS'!W57</f>
        <v>0</v>
      </c>
      <c r="F52" s="29" t="str">
        <f>IF(C52=0,"",IF(AND(COUNTIF($C$4:C52,C52)=1,SUMIF($C$4:$C$78,C52,$E$4:$E$78)&gt;=15000),C52,""))</f>
        <v/>
      </c>
      <c r="G52" s="29" t="str">
        <f t="shared" si="15"/>
        <v/>
      </c>
      <c r="H52" s="31" t="str">
        <f t="shared" si="16"/>
        <v/>
      </c>
      <c r="I52" s="29" t="str">
        <f t="shared" si="17"/>
        <v/>
      </c>
      <c r="J52" s="29" t="str">
        <f t="shared" si="18"/>
        <v/>
      </c>
      <c r="K52" s="29" t="str">
        <f t="shared" si="19"/>
        <v/>
      </c>
      <c r="L52" s="31" t="str">
        <f t="shared" si="20"/>
        <v/>
      </c>
      <c r="M52" s="29" t="str">
        <f t="shared" si="21"/>
        <v/>
      </c>
      <c r="N52" s="29" t="str">
        <f t="shared" si="22"/>
        <v/>
      </c>
      <c r="O52" s="29" t="str">
        <f t="shared" si="23"/>
        <v/>
      </c>
      <c r="P52" s="31" t="str">
        <f t="shared" si="24"/>
        <v/>
      </c>
    </row>
    <row r="53" spans="2:16" hidden="1" x14ac:dyDescent="0.3">
      <c r="B53" s="1">
        <v>50</v>
      </c>
      <c r="C53" s="16">
        <f>'RELACIÓN DE FACTURAS'!S58</f>
        <v>0</v>
      </c>
      <c r="D53" s="16">
        <f>'RELACIÓN DE FACTURAS'!R58</f>
        <v>0</v>
      </c>
      <c r="E53" s="29">
        <f>'RELACIÓN DE FACTURAS'!W58</f>
        <v>0</v>
      </c>
      <c r="F53" s="29" t="str">
        <f>IF(C53=0,"",IF(AND(COUNTIF($C$4:C53,C53)=1,SUMIF($C$4:$C$78,C53,$E$4:$E$78)&gt;=15000),C53,""))</f>
        <v/>
      </c>
      <c r="G53" s="29" t="str">
        <f t="shared" si="15"/>
        <v/>
      </c>
      <c r="H53" s="31" t="str">
        <f t="shared" si="16"/>
        <v/>
      </c>
      <c r="I53" s="29" t="str">
        <f t="shared" si="17"/>
        <v/>
      </c>
      <c r="J53" s="29" t="str">
        <f t="shared" si="18"/>
        <v/>
      </c>
      <c r="K53" s="29" t="str">
        <f t="shared" si="19"/>
        <v/>
      </c>
      <c r="L53" s="31" t="str">
        <f t="shared" si="20"/>
        <v/>
      </c>
      <c r="M53" s="29" t="str">
        <f t="shared" si="21"/>
        <v/>
      </c>
      <c r="N53" s="29" t="str">
        <f t="shared" si="22"/>
        <v/>
      </c>
      <c r="O53" s="29" t="str">
        <f t="shared" si="23"/>
        <v/>
      </c>
      <c r="P53" s="31" t="str">
        <f t="shared" si="24"/>
        <v/>
      </c>
    </row>
    <row r="54" spans="2:16" hidden="1" x14ac:dyDescent="0.3">
      <c r="B54" s="1">
        <v>51</v>
      </c>
      <c r="C54" s="16">
        <f>'RELACIÓN DE FACTURAS'!S59</f>
        <v>0</v>
      </c>
      <c r="D54" s="16">
        <f>'RELACIÓN DE FACTURAS'!R59</f>
        <v>0</v>
      </c>
      <c r="E54" s="29">
        <f>'RELACIÓN DE FACTURAS'!W59</f>
        <v>0</v>
      </c>
      <c r="F54" s="29" t="str">
        <f>IF(C54=0,"",IF(AND(COUNTIF($C$4:C54,C54)=1,SUMIF($C$4:$C$78,C54,$E$4:$E$78)&gt;=15000),C54,""))</f>
        <v/>
      </c>
      <c r="G54" s="29" t="str">
        <f t="shared" si="15"/>
        <v/>
      </c>
      <c r="H54" s="31" t="str">
        <f t="shared" si="16"/>
        <v/>
      </c>
      <c r="I54" s="29" t="str">
        <f t="shared" si="17"/>
        <v/>
      </c>
      <c r="J54" s="29" t="str">
        <f t="shared" si="18"/>
        <v/>
      </c>
      <c r="K54" s="29" t="str">
        <f t="shared" si="19"/>
        <v/>
      </c>
      <c r="L54" s="31" t="str">
        <f t="shared" si="20"/>
        <v/>
      </c>
      <c r="M54" s="29" t="str">
        <f t="shared" si="21"/>
        <v/>
      </c>
      <c r="N54" s="29" t="str">
        <f t="shared" si="22"/>
        <v/>
      </c>
      <c r="O54" s="29" t="str">
        <f t="shared" si="23"/>
        <v/>
      </c>
      <c r="P54" s="31" t="str">
        <f t="shared" si="24"/>
        <v/>
      </c>
    </row>
    <row r="55" spans="2:16" hidden="1" x14ac:dyDescent="0.3">
      <c r="B55" s="1">
        <v>52</v>
      </c>
      <c r="C55" s="16">
        <f>'RELACIÓN DE FACTURAS'!S60</f>
        <v>0</v>
      </c>
      <c r="D55" s="16">
        <f>'RELACIÓN DE FACTURAS'!R60</f>
        <v>0</v>
      </c>
      <c r="E55" s="29">
        <f>'RELACIÓN DE FACTURAS'!W60</f>
        <v>0</v>
      </c>
      <c r="F55" s="29" t="str">
        <f>IF(C55=0,"",IF(AND(COUNTIF($C$4:C55,C55)=1,SUMIF($C$4:$C$78,C55,$E$4:$E$78)&gt;=15000),C55,""))</f>
        <v/>
      </c>
      <c r="G55" s="29" t="str">
        <f t="shared" si="15"/>
        <v/>
      </c>
      <c r="H55" s="31" t="str">
        <f t="shared" si="16"/>
        <v/>
      </c>
      <c r="I55" s="29" t="str">
        <f t="shared" si="17"/>
        <v/>
      </c>
      <c r="J55" s="29" t="str">
        <f t="shared" si="18"/>
        <v/>
      </c>
      <c r="K55" s="29" t="str">
        <f t="shared" si="19"/>
        <v/>
      </c>
      <c r="L55" s="31" t="str">
        <f t="shared" si="20"/>
        <v/>
      </c>
      <c r="M55" s="29" t="str">
        <f t="shared" si="21"/>
        <v/>
      </c>
      <c r="N55" s="29" t="str">
        <f t="shared" si="22"/>
        <v/>
      </c>
      <c r="O55" s="29" t="str">
        <f t="shared" si="23"/>
        <v/>
      </c>
      <c r="P55" s="31" t="str">
        <f t="shared" si="24"/>
        <v/>
      </c>
    </row>
    <row r="56" spans="2:16" hidden="1" x14ac:dyDescent="0.3">
      <c r="B56" s="1">
        <v>53</v>
      </c>
      <c r="C56" s="16">
        <f>'RELACIÓN DE FACTURAS'!S61</f>
        <v>0</v>
      </c>
      <c r="D56" s="16">
        <f>'RELACIÓN DE FACTURAS'!R61</f>
        <v>0</v>
      </c>
      <c r="E56" s="29">
        <f>'RELACIÓN DE FACTURAS'!W61</f>
        <v>0</v>
      </c>
      <c r="F56" s="29" t="str">
        <f>IF(C56=0,"",IF(AND(COUNTIF($C$4:C56,C56)=1,SUMIF($C$4:$C$78,C56,$E$4:$E$78)&gt;=15000),C56,""))</f>
        <v/>
      </c>
      <c r="G56" s="29" t="str">
        <f t="shared" si="15"/>
        <v/>
      </c>
      <c r="H56" s="31" t="str">
        <f t="shared" si="16"/>
        <v/>
      </c>
      <c r="I56" s="29" t="str">
        <f t="shared" si="17"/>
        <v/>
      </c>
      <c r="J56" s="29" t="str">
        <f t="shared" si="18"/>
        <v/>
      </c>
      <c r="K56" s="29" t="str">
        <f t="shared" si="19"/>
        <v/>
      </c>
      <c r="L56" s="31" t="str">
        <f t="shared" si="20"/>
        <v/>
      </c>
      <c r="M56" s="29" t="str">
        <f t="shared" si="21"/>
        <v/>
      </c>
      <c r="N56" s="29" t="str">
        <f t="shared" si="22"/>
        <v/>
      </c>
      <c r="O56" s="29" t="str">
        <f t="shared" si="23"/>
        <v/>
      </c>
      <c r="P56" s="31" t="str">
        <f t="shared" si="24"/>
        <v/>
      </c>
    </row>
    <row r="57" spans="2:16" hidden="1" x14ac:dyDescent="0.3">
      <c r="B57" s="1">
        <v>54</v>
      </c>
      <c r="C57" s="16">
        <f>'RELACIÓN DE FACTURAS'!S62</f>
        <v>0</v>
      </c>
      <c r="D57" s="16">
        <f>'RELACIÓN DE FACTURAS'!R62</f>
        <v>0</v>
      </c>
      <c r="E57" s="29">
        <f>'RELACIÓN DE FACTURAS'!W62</f>
        <v>0</v>
      </c>
      <c r="F57" s="29" t="str">
        <f>IF(C57=0,"",IF(AND(COUNTIF($C$4:C57,C57)=1,SUMIF($C$4:$C$78,C57,$E$4:$E$78)&gt;=15000),C57,""))</f>
        <v/>
      </c>
      <c r="G57" s="29" t="str">
        <f t="shared" si="15"/>
        <v/>
      </c>
      <c r="H57" s="31" t="str">
        <f t="shared" si="16"/>
        <v/>
      </c>
      <c r="I57" s="29" t="str">
        <f t="shared" si="17"/>
        <v/>
      </c>
      <c r="J57" s="29" t="str">
        <f t="shared" si="18"/>
        <v/>
      </c>
      <c r="K57" s="29" t="str">
        <f t="shared" si="19"/>
        <v/>
      </c>
      <c r="L57" s="31" t="str">
        <f t="shared" si="20"/>
        <v/>
      </c>
      <c r="M57" s="29" t="str">
        <f t="shared" si="21"/>
        <v/>
      </c>
      <c r="N57" s="29" t="str">
        <f t="shared" si="22"/>
        <v/>
      </c>
      <c r="O57" s="29" t="str">
        <f t="shared" si="23"/>
        <v/>
      </c>
      <c r="P57" s="31" t="str">
        <f t="shared" si="24"/>
        <v/>
      </c>
    </row>
    <row r="58" spans="2:16" hidden="1" x14ac:dyDescent="0.3">
      <c r="B58" s="1">
        <v>55</v>
      </c>
      <c r="C58" s="16">
        <f>'RELACIÓN DE FACTURAS'!S63</f>
        <v>0</v>
      </c>
      <c r="D58" s="16">
        <f>'RELACIÓN DE FACTURAS'!R63</f>
        <v>0</v>
      </c>
      <c r="E58" s="29">
        <f>'RELACIÓN DE FACTURAS'!W63</f>
        <v>0</v>
      </c>
      <c r="F58" s="29" t="str">
        <f>IF(C58=0,"",IF(AND(COUNTIF($C$4:C58,C58)=1,SUMIF($C$4:$C$78,C58,$E$4:$E$78)&gt;=15000),C58,""))</f>
        <v/>
      </c>
      <c r="G58" s="29" t="str">
        <f t="shared" si="15"/>
        <v/>
      </c>
      <c r="H58" s="31" t="str">
        <f t="shared" si="16"/>
        <v/>
      </c>
      <c r="I58" s="29" t="str">
        <f t="shared" si="17"/>
        <v/>
      </c>
      <c r="J58" s="29" t="str">
        <f t="shared" si="18"/>
        <v/>
      </c>
      <c r="K58" s="29" t="str">
        <f t="shared" si="19"/>
        <v/>
      </c>
      <c r="L58" s="31" t="str">
        <f t="shared" si="20"/>
        <v/>
      </c>
      <c r="M58" s="29" t="str">
        <f t="shared" si="21"/>
        <v/>
      </c>
      <c r="N58" s="29" t="str">
        <f t="shared" si="22"/>
        <v/>
      </c>
      <c r="O58" s="29" t="str">
        <f t="shared" si="23"/>
        <v/>
      </c>
      <c r="P58" s="31" t="str">
        <f t="shared" si="24"/>
        <v/>
      </c>
    </row>
    <row r="59" spans="2:16" hidden="1" x14ac:dyDescent="0.3">
      <c r="B59" s="1">
        <v>56</v>
      </c>
      <c r="C59" s="16">
        <f>'RELACIÓN DE FACTURAS'!S64</f>
        <v>0</v>
      </c>
      <c r="D59" s="16">
        <f>'RELACIÓN DE FACTURAS'!R64</f>
        <v>0</v>
      </c>
      <c r="E59" s="29">
        <f>'RELACIÓN DE FACTURAS'!W64</f>
        <v>0</v>
      </c>
      <c r="F59" s="29" t="str">
        <f>IF(C59=0,"",IF(AND(COUNTIF($C$4:C59,C59)=1,SUMIF($C$4:$C$78,C59,$E$4:$E$78)&gt;=15000),C59,""))</f>
        <v/>
      </c>
      <c r="G59" s="29" t="str">
        <f t="shared" si="15"/>
        <v/>
      </c>
      <c r="H59" s="31" t="str">
        <f t="shared" si="16"/>
        <v/>
      </c>
      <c r="I59" s="29" t="str">
        <f t="shared" si="17"/>
        <v/>
      </c>
      <c r="J59" s="29" t="str">
        <f t="shared" si="18"/>
        <v/>
      </c>
      <c r="K59" s="29" t="str">
        <f t="shared" si="19"/>
        <v/>
      </c>
      <c r="L59" s="31" t="str">
        <f t="shared" si="20"/>
        <v/>
      </c>
      <c r="M59" s="29" t="str">
        <f t="shared" si="21"/>
        <v/>
      </c>
      <c r="N59" s="29" t="str">
        <f t="shared" si="22"/>
        <v/>
      </c>
      <c r="O59" s="29" t="str">
        <f t="shared" si="23"/>
        <v/>
      </c>
      <c r="P59" s="31" t="str">
        <f t="shared" si="24"/>
        <v/>
      </c>
    </row>
    <row r="60" spans="2:16" hidden="1" x14ac:dyDescent="0.3">
      <c r="B60" s="1">
        <v>57</v>
      </c>
      <c r="C60" s="16">
        <f>'RELACIÓN DE FACTURAS'!S65</f>
        <v>0</v>
      </c>
      <c r="D60" s="16">
        <f>'RELACIÓN DE FACTURAS'!R65</f>
        <v>0</v>
      </c>
      <c r="E60" s="29">
        <f>'RELACIÓN DE FACTURAS'!W65</f>
        <v>0</v>
      </c>
      <c r="F60" s="29" t="str">
        <f>IF(C60=0,"",IF(AND(COUNTIF($C$4:C60,C60)=1,SUMIF($C$4:$C$78,C60,$E$4:$E$78)&gt;=15000),C60,""))</f>
        <v/>
      </c>
      <c r="G60" s="29" t="str">
        <f t="shared" si="15"/>
        <v/>
      </c>
      <c r="H60" s="31" t="str">
        <f t="shared" si="16"/>
        <v/>
      </c>
      <c r="I60" s="29" t="str">
        <f t="shared" si="17"/>
        <v/>
      </c>
      <c r="J60" s="29" t="str">
        <f t="shared" si="18"/>
        <v/>
      </c>
      <c r="K60" s="29" t="str">
        <f t="shared" si="19"/>
        <v/>
      </c>
      <c r="L60" s="31" t="str">
        <f t="shared" si="20"/>
        <v/>
      </c>
      <c r="M60" s="29" t="str">
        <f t="shared" si="21"/>
        <v/>
      </c>
      <c r="N60" s="29" t="str">
        <f t="shared" si="22"/>
        <v/>
      </c>
      <c r="O60" s="29" t="str">
        <f t="shared" si="23"/>
        <v/>
      </c>
      <c r="P60" s="31" t="str">
        <f t="shared" si="24"/>
        <v/>
      </c>
    </row>
    <row r="61" spans="2:16" hidden="1" x14ac:dyDescent="0.3">
      <c r="B61" s="1">
        <v>58</v>
      </c>
      <c r="C61" s="16">
        <f>'RELACIÓN DE FACTURAS'!S66</f>
        <v>0</v>
      </c>
      <c r="D61" s="16">
        <f>'RELACIÓN DE FACTURAS'!R66</f>
        <v>0</v>
      </c>
      <c r="E61" s="29">
        <f>'RELACIÓN DE FACTURAS'!W66</f>
        <v>0</v>
      </c>
      <c r="F61" s="29" t="str">
        <f>IF(C61=0,"",IF(AND(COUNTIF($C$4:C61,C61)=1,SUMIF($C$4:$C$78,C61,$E$4:$E$78)&gt;=15000),C61,""))</f>
        <v/>
      </c>
      <c r="G61" s="29" t="str">
        <f t="shared" si="15"/>
        <v/>
      </c>
      <c r="H61" s="31" t="str">
        <f t="shared" si="16"/>
        <v/>
      </c>
      <c r="I61" s="29" t="str">
        <f t="shared" si="17"/>
        <v/>
      </c>
      <c r="J61" s="29" t="str">
        <f t="shared" si="18"/>
        <v/>
      </c>
      <c r="K61" s="29" t="str">
        <f t="shared" si="19"/>
        <v/>
      </c>
      <c r="L61" s="31" t="str">
        <f t="shared" si="20"/>
        <v/>
      </c>
      <c r="M61" s="29" t="str">
        <f t="shared" si="21"/>
        <v/>
      </c>
      <c r="N61" s="29" t="str">
        <f t="shared" si="22"/>
        <v/>
      </c>
      <c r="O61" s="29" t="str">
        <f t="shared" si="23"/>
        <v/>
      </c>
      <c r="P61" s="31" t="str">
        <f t="shared" si="24"/>
        <v/>
      </c>
    </row>
    <row r="62" spans="2:16" hidden="1" x14ac:dyDescent="0.3">
      <c r="B62" s="1">
        <v>59</v>
      </c>
      <c r="C62" s="16">
        <f>'RELACIÓN DE FACTURAS'!S67</f>
        <v>0</v>
      </c>
      <c r="D62" s="16">
        <f>'RELACIÓN DE FACTURAS'!R67</f>
        <v>0</v>
      </c>
      <c r="E62" s="29">
        <f>'RELACIÓN DE FACTURAS'!W67</f>
        <v>0</v>
      </c>
      <c r="F62" s="29" t="str">
        <f>IF(C62=0,"",IF(AND(COUNTIF($C$4:C62,C62)=1,SUMIF($C$4:$C$78,C62,$E$4:$E$78)&gt;=15000),C62,""))</f>
        <v/>
      </c>
      <c r="G62" s="29" t="str">
        <f t="shared" si="15"/>
        <v/>
      </c>
      <c r="H62" s="31" t="str">
        <f t="shared" si="16"/>
        <v/>
      </c>
      <c r="I62" s="29" t="str">
        <f t="shared" si="17"/>
        <v/>
      </c>
      <c r="J62" s="29" t="str">
        <f t="shared" si="18"/>
        <v/>
      </c>
      <c r="K62" s="29" t="str">
        <f t="shared" si="19"/>
        <v/>
      </c>
      <c r="L62" s="31" t="str">
        <f t="shared" si="20"/>
        <v/>
      </c>
      <c r="M62" s="29" t="str">
        <f t="shared" si="21"/>
        <v/>
      </c>
      <c r="N62" s="29" t="str">
        <f t="shared" si="22"/>
        <v/>
      </c>
      <c r="O62" s="29" t="str">
        <f t="shared" si="23"/>
        <v/>
      </c>
      <c r="P62" s="31" t="str">
        <f t="shared" si="24"/>
        <v/>
      </c>
    </row>
    <row r="63" spans="2:16" hidden="1" x14ac:dyDescent="0.3">
      <c r="B63" s="1">
        <v>60</v>
      </c>
      <c r="C63" s="16">
        <f>'RELACIÓN DE FACTURAS'!S68</f>
        <v>0</v>
      </c>
      <c r="D63" s="16">
        <f>'RELACIÓN DE FACTURAS'!R68</f>
        <v>0</v>
      </c>
      <c r="E63" s="29">
        <f>'RELACIÓN DE FACTURAS'!W68</f>
        <v>0</v>
      </c>
      <c r="F63" s="29" t="str">
        <f>IF(C63=0,"",IF(AND(COUNTIF($C$4:C63,C63)=1,SUMIF($C$4:$C$78,C63,$E$4:$E$78)&gt;=15000),C63,""))</f>
        <v/>
      </c>
      <c r="G63" s="29" t="str">
        <f t="shared" si="15"/>
        <v/>
      </c>
      <c r="H63" s="31" t="str">
        <f t="shared" si="16"/>
        <v/>
      </c>
      <c r="I63" s="29" t="str">
        <f t="shared" si="17"/>
        <v/>
      </c>
      <c r="J63" s="29" t="str">
        <f t="shared" si="18"/>
        <v/>
      </c>
      <c r="K63" s="29" t="str">
        <f t="shared" si="19"/>
        <v/>
      </c>
      <c r="L63" s="31" t="str">
        <f t="shared" si="20"/>
        <v/>
      </c>
      <c r="M63" s="29" t="str">
        <f t="shared" si="21"/>
        <v/>
      </c>
      <c r="N63" s="29" t="str">
        <f t="shared" si="22"/>
        <v/>
      </c>
      <c r="O63" s="29" t="str">
        <f t="shared" si="23"/>
        <v/>
      </c>
      <c r="P63" s="31" t="str">
        <f t="shared" si="24"/>
        <v/>
      </c>
    </row>
    <row r="64" spans="2:16" hidden="1" x14ac:dyDescent="0.3">
      <c r="B64" s="1">
        <v>61</v>
      </c>
      <c r="C64" s="16">
        <f>'RELACIÓN DE FACTURAS'!S69</f>
        <v>0</v>
      </c>
      <c r="D64" s="16">
        <f>'RELACIÓN DE FACTURAS'!R69</f>
        <v>0</v>
      </c>
      <c r="E64" s="29">
        <f>'RELACIÓN DE FACTURAS'!W69</f>
        <v>0</v>
      </c>
      <c r="F64" s="29" t="str">
        <f>IF(C64=0,"",IF(AND(COUNTIF($C$4:C64,C64)=1,SUMIF($C$4:$C$78,C64,$E$4:$E$78)&gt;=15000),C64,""))</f>
        <v/>
      </c>
      <c r="G64" s="29" t="str">
        <f t="shared" si="15"/>
        <v/>
      </c>
      <c r="H64" s="31" t="str">
        <f t="shared" si="16"/>
        <v/>
      </c>
      <c r="I64" s="29" t="str">
        <f t="shared" si="17"/>
        <v/>
      </c>
      <c r="J64" s="29" t="str">
        <f t="shared" si="18"/>
        <v/>
      </c>
      <c r="K64" s="29" t="str">
        <f t="shared" si="19"/>
        <v/>
      </c>
      <c r="L64" s="31" t="str">
        <f t="shared" si="20"/>
        <v/>
      </c>
      <c r="M64" s="29" t="str">
        <f t="shared" si="21"/>
        <v/>
      </c>
      <c r="N64" s="29" t="str">
        <f t="shared" si="22"/>
        <v/>
      </c>
      <c r="O64" s="29" t="str">
        <f t="shared" si="23"/>
        <v/>
      </c>
      <c r="P64" s="31" t="str">
        <f t="shared" si="24"/>
        <v/>
      </c>
    </row>
    <row r="65" spans="2:16" hidden="1" x14ac:dyDescent="0.3">
      <c r="B65" s="1">
        <v>62</v>
      </c>
      <c r="C65" s="16">
        <f>'RELACIÓN DE FACTURAS'!S70</f>
        <v>0</v>
      </c>
      <c r="D65" s="16">
        <f>'RELACIÓN DE FACTURAS'!R70</f>
        <v>0</v>
      </c>
      <c r="E65" s="29">
        <f>'RELACIÓN DE FACTURAS'!W70</f>
        <v>0</v>
      </c>
      <c r="F65" s="29" t="str">
        <f>IF(C65=0,"",IF(AND(COUNTIF($C$4:C65,C65)=1,SUMIF($C$4:$C$78,C65,$E$4:$E$78)&gt;=15000),C65,""))</f>
        <v/>
      </c>
      <c r="G65" s="29" t="str">
        <f t="shared" si="15"/>
        <v/>
      </c>
      <c r="H65" s="31" t="str">
        <f t="shared" si="16"/>
        <v/>
      </c>
      <c r="I65" s="29" t="str">
        <f t="shared" si="17"/>
        <v/>
      </c>
      <c r="J65" s="29" t="str">
        <f t="shared" si="18"/>
        <v/>
      </c>
      <c r="K65" s="29" t="str">
        <f t="shared" si="19"/>
        <v/>
      </c>
      <c r="L65" s="31" t="str">
        <f t="shared" si="20"/>
        <v/>
      </c>
      <c r="M65" s="29" t="str">
        <f t="shared" si="21"/>
        <v/>
      </c>
      <c r="N65" s="29" t="str">
        <f t="shared" si="22"/>
        <v/>
      </c>
      <c r="O65" s="29" t="str">
        <f t="shared" si="23"/>
        <v/>
      </c>
      <c r="P65" s="31" t="str">
        <f t="shared" si="24"/>
        <v/>
      </c>
    </row>
    <row r="66" spans="2:16" hidden="1" x14ac:dyDescent="0.3">
      <c r="B66" s="1">
        <v>63</v>
      </c>
      <c r="C66" s="16">
        <f>'RELACIÓN DE FACTURAS'!S71</f>
        <v>0</v>
      </c>
      <c r="D66" s="16">
        <f>'RELACIÓN DE FACTURAS'!R71</f>
        <v>0</v>
      </c>
      <c r="E66" s="29">
        <f>'RELACIÓN DE FACTURAS'!W71</f>
        <v>0</v>
      </c>
      <c r="F66" s="29" t="str">
        <f>IF(C66=0,"",IF(AND(COUNTIF($C$4:C66,C66)=1,SUMIF($C$4:$C$78,C66,$E$4:$E$78)&gt;=15000),C66,""))</f>
        <v/>
      </c>
      <c r="G66" s="29" t="str">
        <f t="shared" si="15"/>
        <v/>
      </c>
      <c r="H66" s="31" t="str">
        <f t="shared" si="16"/>
        <v/>
      </c>
      <c r="I66" s="29" t="str">
        <f t="shared" si="17"/>
        <v/>
      </c>
      <c r="J66" s="29" t="str">
        <f t="shared" si="18"/>
        <v/>
      </c>
      <c r="K66" s="29" t="str">
        <f t="shared" si="19"/>
        <v/>
      </c>
      <c r="L66" s="31" t="str">
        <f t="shared" si="20"/>
        <v/>
      </c>
      <c r="M66" s="29" t="str">
        <f t="shared" si="21"/>
        <v/>
      </c>
      <c r="N66" s="29" t="str">
        <f t="shared" si="22"/>
        <v/>
      </c>
      <c r="O66" s="29" t="str">
        <f t="shared" si="23"/>
        <v/>
      </c>
      <c r="P66" s="31" t="str">
        <f t="shared" si="24"/>
        <v/>
      </c>
    </row>
    <row r="67" spans="2:16" hidden="1" x14ac:dyDescent="0.3">
      <c r="B67" s="1">
        <v>64</v>
      </c>
      <c r="C67" s="16">
        <f>'RELACIÓN DE FACTURAS'!S72</f>
        <v>0</v>
      </c>
      <c r="D67" s="16">
        <f>'RELACIÓN DE FACTURAS'!R72</f>
        <v>0</v>
      </c>
      <c r="E67" s="29">
        <f>'RELACIÓN DE FACTURAS'!W72</f>
        <v>0</v>
      </c>
      <c r="F67" s="29" t="str">
        <f>IF(C67=0,"",IF(AND(COUNTIF($C$4:C67,C67)=1,SUMIF($C$4:$C$78,C67,$E$4:$E$78)&gt;=15000),C67,""))</f>
        <v/>
      </c>
      <c r="G67" s="29" t="str">
        <f t="shared" si="15"/>
        <v/>
      </c>
      <c r="H67" s="31" t="str">
        <f t="shared" si="16"/>
        <v/>
      </c>
      <c r="I67" s="29" t="str">
        <f t="shared" si="17"/>
        <v/>
      </c>
      <c r="J67" s="29" t="str">
        <f t="shared" si="18"/>
        <v/>
      </c>
      <c r="K67" s="29" t="str">
        <f t="shared" si="19"/>
        <v/>
      </c>
      <c r="L67" s="31" t="str">
        <f t="shared" si="20"/>
        <v/>
      </c>
      <c r="M67" s="29" t="str">
        <f t="shared" si="21"/>
        <v/>
      </c>
      <c r="N67" s="29" t="str">
        <f t="shared" si="22"/>
        <v/>
      </c>
      <c r="O67" s="29" t="str">
        <f t="shared" si="23"/>
        <v/>
      </c>
      <c r="P67" s="31" t="str">
        <f t="shared" si="24"/>
        <v/>
      </c>
    </row>
    <row r="68" spans="2:16" hidden="1" x14ac:dyDescent="0.3">
      <c r="B68" s="1">
        <v>65</v>
      </c>
      <c r="C68" s="16">
        <f>'RELACIÓN DE FACTURAS'!S73</f>
        <v>0</v>
      </c>
      <c r="D68" s="16">
        <f>'RELACIÓN DE FACTURAS'!R73</f>
        <v>0</v>
      </c>
      <c r="E68" s="29">
        <f>'RELACIÓN DE FACTURAS'!W73</f>
        <v>0</v>
      </c>
      <c r="F68" s="29" t="str">
        <f>IF(C68=0,"",IF(AND(COUNTIF($C$4:C68,C68)=1,SUMIF($C$4:$C$78,C68,$E$4:$E$78)&gt;=15000),C68,""))</f>
        <v/>
      </c>
      <c r="G68" s="29" t="str">
        <f t="shared" si="15"/>
        <v/>
      </c>
      <c r="H68" s="31" t="str">
        <f t="shared" si="16"/>
        <v/>
      </c>
      <c r="I68" s="29" t="str">
        <f t="shared" si="17"/>
        <v/>
      </c>
      <c r="J68" s="29" t="str">
        <f t="shared" si="18"/>
        <v/>
      </c>
      <c r="K68" s="29" t="str">
        <f t="shared" si="19"/>
        <v/>
      </c>
      <c r="L68" s="31" t="str">
        <f t="shared" si="20"/>
        <v/>
      </c>
      <c r="M68" s="29" t="str">
        <f t="shared" si="21"/>
        <v/>
      </c>
      <c r="N68" s="29" t="str">
        <f t="shared" si="22"/>
        <v/>
      </c>
      <c r="O68" s="29" t="str">
        <f t="shared" si="23"/>
        <v/>
      </c>
      <c r="P68" s="31" t="str">
        <f t="shared" si="24"/>
        <v/>
      </c>
    </row>
    <row r="69" spans="2:16" hidden="1" x14ac:dyDescent="0.3">
      <c r="B69" s="1">
        <v>66</v>
      </c>
      <c r="C69" s="16">
        <f>'RELACIÓN DE FACTURAS'!S74</f>
        <v>0</v>
      </c>
      <c r="D69" s="16">
        <f>'RELACIÓN DE FACTURAS'!R74</f>
        <v>0</v>
      </c>
      <c r="E69" s="29">
        <f>'RELACIÓN DE FACTURAS'!W74</f>
        <v>0</v>
      </c>
      <c r="F69" s="29" t="str">
        <f>IF(C69=0,"",IF(AND(COUNTIF($C$4:C69,C69)=1,SUMIF($C$4:$C$78,C69,$E$4:$E$78)&gt;=15000),C69,""))</f>
        <v/>
      </c>
      <c r="G69" s="29" t="str">
        <f t="shared" si="15"/>
        <v/>
      </c>
      <c r="H69" s="31" t="str">
        <f t="shared" si="16"/>
        <v/>
      </c>
      <c r="I69" s="29" t="str">
        <f t="shared" si="17"/>
        <v/>
      </c>
      <c r="J69" s="29" t="str">
        <f t="shared" si="18"/>
        <v/>
      </c>
      <c r="K69" s="29" t="str">
        <f t="shared" si="19"/>
        <v/>
      </c>
      <c r="L69" s="31" t="str">
        <f t="shared" si="20"/>
        <v/>
      </c>
      <c r="M69" s="29" t="str">
        <f t="shared" si="21"/>
        <v/>
      </c>
      <c r="N69" s="29" t="str">
        <f t="shared" si="22"/>
        <v/>
      </c>
      <c r="O69" s="29" t="str">
        <f t="shared" si="23"/>
        <v/>
      </c>
      <c r="P69" s="31" t="str">
        <f t="shared" si="24"/>
        <v/>
      </c>
    </row>
    <row r="70" spans="2:16" hidden="1" x14ac:dyDescent="0.3">
      <c r="B70" s="1">
        <v>67</v>
      </c>
      <c r="C70" s="16">
        <f>'RELACIÓN DE FACTURAS'!S75</f>
        <v>0</v>
      </c>
      <c r="D70" s="16">
        <f>'RELACIÓN DE FACTURAS'!R75</f>
        <v>0</v>
      </c>
      <c r="E70" s="29">
        <f>'RELACIÓN DE FACTURAS'!W75</f>
        <v>0</v>
      </c>
      <c r="F70" s="29" t="str">
        <f>IF(C70=0,"",IF(AND(COUNTIF($C$4:C70,C70)=1,SUMIF($C$4:$C$78,C70,$E$4:$E$78)&gt;=15000),C70,""))</f>
        <v/>
      </c>
      <c r="G70" s="29" t="str">
        <f t="shared" si="15"/>
        <v/>
      </c>
      <c r="H70" s="31" t="str">
        <f t="shared" si="16"/>
        <v/>
      </c>
      <c r="I70" s="29" t="str">
        <f t="shared" si="17"/>
        <v/>
      </c>
      <c r="J70" s="29" t="str">
        <f t="shared" si="18"/>
        <v/>
      </c>
      <c r="K70" s="29" t="str">
        <f t="shared" si="19"/>
        <v/>
      </c>
      <c r="L70" s="31" t="str">
        <f t="shared" si="20"/>
        <v/>
      </c>
      <c r="M70" s="29" t="str">
        <f t="shared" si="21"/>
        <v/>
      </c>
      <c r="N70" s="29" t="str">
        <f t="shared" si="22"/>
        <v/>
      </c>
      <c r="O70" s="29" t="str">
        <f t="shared" si="23"/>
        <v/>
      </c>
      <c r="P70" s="31" t="str">
        <f t="shared" si="24"/>
        <v/>
      </c>
    </row>
    <row r="71" spans="2:16" hidden="1" x14ac:dyDescent="0.3">
      <c r="B71" s="1">
        <v>68</v>
      </c>
      <c r="C71" s="16">
        <f>'RELACIÓN DE FACTURAS'!S76</f>
        <v>0</v>
      </c>
      <c r="D71" s="16">
        <f>'RELACIÓN DE FACTURAS'!R76</f>
        <v>0</v>
      </c>
      <c r="E71" s="29">
        <f>'RELACIÓN DE FACTURAS'!W76</f>
        <v>0</v>
      </c>
      <c r="F71" s="29" t="str">
        <f>IF(C71=0,"",IF(AND(COUNTIF($C$4:C71,C71)=1,SUMIF($C$4:$C$78,C71,$E$4:$E$78)&gt;=15000),C71,""))</f>
        <v/>
      </c>
      <c r="G71" s="29" t="str">
        <f t="shared" si="15"/>
        <v/>
      </c>
      <c r="H71" s="31" t="str">
        <f t="shared" si="16"/>
        <v/>
      </c>
      <c r="I71" s="29" t="str">
        <f t="shared" si="17"/>
        <v/>
      </c>
      <c r="J71" s="29" t="str">
        <f t="shared" si="18"/>
        <v/>
      </c>
      <c r="K71" s="29" t="str">
        <f t="shared" si="19"/>
        <v/>
      </c>
      <c r="L71" s="31" t="str">
        <f t="shared" si="20"/>
        <v/>
      </c>
      <c r="M71" s="29" t="str">
        <f t="shared" si="21"/>
        <v/>
      </c>
      <c r="N71" s="29" t="str">
        <f t="shared" si="22"/>
        <v/>
      </c>
      <c r="O71" s="29" t="str">
        <f t="shared" si="23"/>
        <v/>
      </c>
      <c r="P71" s="31" t="str">
        <f t="shared" si="24"/>
        <v/>
      </c>
    </row>
    <row r="72" spans="2:16" hidden="1" x14ac:dyDescent="0.3">
      <c r="B72" s="1">
        <v>69</v>
      </c>
      <c r="C72" s="16">
        <f>'RELACIÓN DE FACTURAS'!S77</f>
        <v>0</v>
      </c>
      <c r="D72" s="16">
        <f>'RELACIÓN DE FACTURAS'!R77</f>
        <v>0</v>
      </c>
      <c r="E72" s="29">
        <f>'RELACIÓN DE FACTURAS'!W77</f>
        <v>0</v>
      </c>
      <c r="F72" s="29" t="str">
        <f>IF(C72=0,"",IF(AND(COUNTIF($C$4:C72,C72)=1,SUMIF($C$4:$C$78,C72,$E$4:$E$78)&gt;=15000),C72,""))</f>
        <v/>
      </c>
      <c r="G72" s="29" t="str">
        <f t="shared" si="15"/>
        <v/>
      </c>
      <c r="H72" s="31" t="str">
        <f t="shared" si="16"/>
        <v/>
      </c>
      <c r="I72" s="29" t="str">
        <f t="shared" si="17"/>
        <v/>
      </c>
      <c r="J72" s="29" t="str">
        <f t="shared" si="18"/>
        <v/>
      </c>
      <c r="K72" s="29" t="str">
        <f t="shared" si="19"/>
        <v/>
      </c>
      <c r="L72" s="31" t="str">
        <f t="shared" si="20"/>
        <v/>
      </c>
      <c r="M72" s="29" t="str">
        <f t="shared" si="21"/>
        <v/>
      </c>
      <c r="N72" s="29" t="str">
        <f t="shared" si="22"/>
        <v/>
      </c>
      <c r="O72" s="29" t="str">
        <f t="shared" si="23"/>
        <v/>
      </c>
      <c r="P72" s="31" t="str">
        <f t="shared" si="24"/>
        <v/>
      </c>
    </row>
    <row r="73" spans="2:16" hidden="1" x14ac:dyDescent="0.3">
      <c r="B73" s="1">
        <v>70</v>
      </c>
      <c r="C73" s="16">
        <f>'RELACIÓN DE FACTURAS'!S78</f>
        <v>0</v>
      </c>
      <c r="D73" s="16">
        <f>'RELACIÓN DE FACTURAS'!R78</f>
        <v>0</v>
      </c>
      <c r="E73" s="29">
        <f>'RELACIÓN DE FACTURAS'!W78</f>
        <v>0</v>
      </c>
      <c r="F73" s="29" t="str">
        <f>IF(C73=0,"",IF(AND(COUNTIF($C$4:C73,C73)=1,SUMIF($C$4:$C$78,C73,$E$4:$E$78)&gt;=15000),C73,""))</f>
        <v/>
      </c>
      <c r="G73" s="29" t="str">
        <f t="shared" si="15"/>
        <v/>
      </c>
      <c r="H73" s="31" t="str">
        <f t="shared" si="16"/>
        <v/>
      </c>
      <c r="I73" s="29" t="str">
        <f t="shared" si="17"/>
        <v/>
      </c>
      <c r="J73" s="29" t="str">
        <f t="shared" si="18"/>
        <v/>
      </c>
      <c r="K73" s="29" t="str">
        <f t="shared" si="19"/>
        <v/>
      </c>
      <c r="L73" s="31" t="str">
        <f t="shared" si="20"/>
        <v/>
      </c>
      <c r="M73" s="29" t="str">
        <f t="shared" si="21"/>
        <v/>
      </c>
      <c r="N73" s="29" t="str">
        <f t="shared" si="22"/>
        <v/>
      </c>
      <c r="O73" s="29" t="str">
        <f t="shared" si="23"/>
        <v/>
      </c>
      <c r="P73" s="31" t="str">
        <f t="shared" si="24"/>
        <v/>
      </c>
    </row>
    <row r="74" spans="2:16" hidden="1" x14ac:dyDescent="0.3">
      <c r="B74" s="1">
        <v>71</v>
      </c>
      <c r="C74" s="16">
        <f>'RELACIÓN DE FACTURAS'!S79</f>
        <v>0</v>
      </c>
      <c r="D74" s="16">
        <f>'RELACIÓN DE FACTURAS'!R79</f>
        <v>0</v>
      </c>
      <c r="E74" s="29">
        <f>'RELACIÓN DE FACTURAS'!W79</f>
        <v>0</v>
      </c>
      <c r="F74" s="29" t="str">
        <f>IF(C74=0,"",IF(AND(COUNTIF($C$4:C74,C74)=1,SUMIF($C$4:$C$78,C74,$E$4:$E$78)&gt;=15000),C74,""))</f>
        <v/>
      </c>
      <c r="G74" s="29" t="str">
        <f t="shared" si="15"/>
        <v/>
      </c>
      <c r="H74" s="31" t="str">
        <f t="shared" si="16"/>
        <v/>
      </c>
      <c r="I74" s="29" t="str">
        <f t="shared" si="17"/>
        <v/>
      </c>
      <c r="J74" s="29" t="str">
        <f t="shared" si="18"/>
        <v/>
      </c>
      <c r="K74" s="29" t="str">
        <f t="shared" si="19"/>
        <v/>
      </c>
      <c r="L74" s="31" t="str">
        <f t="shared" si="20"/>
        <v/>
      </c>
      <c r="M74" s="29" t="str">
        <f t="shared" si="21"/>
        <v/>
      </c>
      <c r="N74" s="29" t="str">
        <f t="shared" si="22"/>
        <v/>
      </c>
      <c r="O74" s="29" t="str">
        <f t="shared" si="23"/>
        <v/>
      </c>
      <c r="P74" s="31" t="str">
        <f t="shared" si="24"/>
        <v/>
      </c>
    </row>
    <row r="75" spans="2:16" hidden="1" x14ac:dyDescent="0.3">
      <c r="B75" s="1">
        <v>72</v>
      </c>
      <c r="C75" s="16">
        <f>'RELACIÓN DE FACTURAS'!S80</f>
        <v>0</v>
      </c>
      <c r="D75" s="16">
        <f>'RELACIÓN DE FACTURAS'!R80</f>
        <v>0</v>
      </c>
      <c r="E75" s="29">
        <f>'RELACIÓN DE FACTURAS'!W80</f>
        <v>0</v>
      </c>
      <c r="F75" s="29" t="str">
        <f>IF(C75=0,"",IF(AND(COUNTIF($C$4:C75,C75)=1,SUMIF($C$4:$C$78,C75,$E$4:$E$78)&gt;=15000),C75,""))</f>
        <v/>
      </c>
      <c r="G75" s="29" t="str">
        <f t="shared" si="15"/>
        <v/>
      </c>
      <c r="H75" s="31" t="str">
        <f t="shared" si="16"/>
        <v/>
      </c>
      <c r="I75" s="29" t="str">
        <f t="shared" si="17"/>
        <v/>
      </c>
      <c r="J75" s="29" t="str">
        <f t="shared" si="18"/>
        <v/>
      </c>
      <c r="K75" s="29" t="str">
        <f t="shared" si="19"/>
        <v/>
      </c>
      <c r="L75" s="31" t="str">
        <f t="shared" si="20"/>
        <v/>
      </c>
      <c r="M75" s="29" t="str">
        <f t="shared" si="21"/>
        <v/>
      </c>
      <c r="N75" s="29" t="str">
        <f t="shared" si="22"/>
        <v/>
      </c>
      <c r="O75" s="29" t="str">
        <f t="shared" si="23"/>
        <v/>
      </c>
      <c r="P75" s="31" t="str">
        <f t="shared" si="24"/>
        <v/>
      </c>
    </row>
    <row r="76" spans="2:16" hidden="1" x14ac:dyDescent="0.3">
      <c r="B76" s="1">
        <v>73</v>
      </c>
      <c r="C76" s="16">
        <f>'RELACIÓN DE FACTURAS'!S81</f>
        <v>0</v>
      </c>
      <c r="D76" s="16">
        <f>'RELACIÓN DE FACTURAS'!R81</f>
        <v>0</v>
      </c>
      <c r="E76" s="29">
        <f>'RELACIÓN DE FACTURAS'!W81</f>
        <v>0</v>
      </c>
      <c r="F76" s="29" t="str">
        <f>IF(C76=0,"",IF(AND(COUNTIF($C$4:C76,C76)=1,SUMIF($C$4:$C$78,C76,$E$4:$E$78)&gt;=15000),C76,""))</f>
        <v/>
      </c>
      <c r="G76" s="29" t="str">
        <f t="shared" si="15"/>
        <v/>
      </c>
      <c r="H76" s="31" t="str">
        <f t="shared" si="16"/>
        <v/>
      </c>
      <c r="I76" s="29" t="str">
        <f t="shared" si="17"/>
        <v/>
      </c>
      <c r="J76" s="29" t="str">
        <f t="shared" si="18"/>
        <v/>
      </c>
      <c r="K76" s="29" t="str">
        <f t="shared" si="19"/>
        <v/>
      </c>
      <c r="L76" s="31" t="str">
        <f t="shared" si="20"/>
        <v/>
      </c>
      <c r="M76" s="29" t="str">
        <f t="shared" si="21"/>
        <v/>
      </c>
      <c r="N76" s="29" t="str">
        <f t="shared" si="22"/>
        <v/>
      </c>
      <c r="O76" s="29" t="str">
        <f t="shared" si="23"/>
        <v/>
      </c>
      <c r="P76" s="31" t="str">
        <f t="shared" si="24"/>
        <v/>
      </c>
    </row>
    <row r="77" spans="2:16" hidden="1" x14ac:dyDescent="0.3">
      <c r="B77" s="1">
        <v>74</v>
      </c>
      <c r="C77" s="16">
        <f>'RELACIÓN DE FACTURAS'!S82</f>
        <v>0</v>
      </c>
      <c r="D77" s="16">
        <f>'RELACIÓN DE FACTURAS'!R82</f>
        <v>0</v>
      </c>
      <c r="E77" s="29">
        <f>'RELACIÓN DE FACTURAS'!W82</f>
        <v>0</v>
      </c>
      <c r="F77" s="29" t="str">
        <f>IF(C77=0,"",IF(AND(COUNTIF($C$4:C77,C77)=1,SUMIF($C$4:$C$78,C77,$E$4:$E$78)&gt;=15000),C77,""))</f>
        <v/>
      </c>
      <c r="G77" s="29" t="str">
        <f t="shared" si="15"/>
        <v/>
      </c>
      <c r="H77" s="31" t="str">
        <f t="shared" si="16"/>
        <v/>
      </c>
      <c r="I77" s="29" t="str">
        <f t="shared" si="17"/>
        <v/>
      </c>
      <c r="J77" s="29" t="str">
        <f t="shared" si="18"/>
        <v/>
      </c>
      <c r="K77" s="29" t="str">
        <f t="shared" si="19"/>
        <v/>
      </c>
      <c r="L77" s="31" t="str">
        <f t="shared" si="20"/>
        <v/>
      </c>
      <c r="M77" s="29" t="str">
        <f t="shared" si="21"/>
        <v/>
      </c>
      <c r="N77" s="29" t="str">
        <f t="shared" si="22"/>
        <v/>
      </c>
      <c r="O77" s="29" t="str">
        <f t="shared" si="23"/>
        <v/>
      </c>
      <c r="P77" s="31" t="str">
        <f t="shared" si="24"/>
        <v/>
      </c>
    </row>
    <row r="78" spans="2:16" hidden="1" x14ac:dyDescent="0.3">
      <c r="B78" s="1">
        <v>75</v>
      </c>
      <c r="C78" s="16">
        <f>'RELACIÓN DE FACTURAS'!S83</f>
        <v>0</v>
      </c>
      <c r="D78" s="16">
        <f>'RELACIÓN DE FACTURAS'!R83</f>
        <v>0</v>
      </c>
      <c r="E78" s="29">
        <f>'RELACIÓN DE FACTURAS'!W83</f>
        <v>0</v>
      </c>
      <c r="F78" s="29" t="str">
        <f>IF(C78=0,"",IF(AND(COUNTIF($C$4:C78,C78)=1,SUMIF($C$4:$C$78,C78,$E$4:$E$78)&gt;=15000),C78,""))</f>
        <v/>
      </c>
      <c r="G78" s="29" t="str">
        <f>IF(SUMIF($C$4:$C$78,F78,$E$4:$E$78)&lt;15000,"",SUMIF($C$4:$C$78,F78,$E$4:$E$78))</f>
        <v/>
      </c>
      <c r="H78" s="31" t="str">
        <f>IFERROR(_xlfn.RANK.EQ(G78,$G$4:$G$78),"")</f>
        <v/>
      </c>
      <c r="I78" s="29" t="str">
        <f t="shared" si="11"/>
        <v/>
      </c>
      <c r="J78" s="29" t="str">
        <f t="shared" si="12"/>
        <v/>
      </c>
      <c r="K78" s="29" t="str">
        <f t="shared" si="13"/>
        <v/>
      </c>
      <c r="L78" s="31" t="str">
        <f t="shared" si="14"/>
        <v/>
      </c>
      <c r="M78" s="29" t="str">
        <f>IF(IFERROR(VLOOKUP(B78,$H$4:$K$78,2,0),"")="","",VLOOKUP(B78,$H$4:$K$78,2,0))</f>
        <v/>
      </c>
      <c r="N78" s="29" t="str">
        <f>IF(IFERROR(VLOOKUP(B78,$H$4:$K$78,3,0),"")="","",VLOOKUP(B78,$H$4:$K$78,3,0))</f>
        <v/>
      </c>
      <c r="O78" s="29" t="str">
        <f>IF(IFERROR(VLOOKUP(B78,$H$4:$K$78,4,0),"")="","",VLOOKUP(B78,$H$4:$K$78,4,0))</f>
        <v/>
      </c>
      <c r="P78" s="31" t="str">
        <f>IF(COUNTIF($C$4:$C$78,N78)=0,"",COUNTIF($C$4:$C$78,N78))</f>
        <v/>
      </c>
    </row>
    <row r="79" spans="2:16" ht="20.100000000000001" customHeight="1" x14ac:dyDescent="0.3">
      <c r="E79" s="32"/>
      <c r="F79" s="32"/>
      <c r="G79" s="32"/>
      <c r="H79" s="33"/>
      <c r="I79" s="32"/>
      <c r="J79" s="32"/>
      <c r="K79" s="32"/>
      <c r="L79" s="33"/>
      <c r="M79" s="32"/>
      <c r="N79" s="32"/>
      <c r="O79" s="32"/>
      <c r="P79" s="33"/>
    </row>
    <row r="80" spans="2:16" ht="20.100000000000001" customHeight="1" x14ac:dyDescent="0.3">
      <c r="E80" s="32"/>
      <c r="F80" s="32"/>
      <c r="G80" s="32"/>
      <c r="H80" s="33"/>
      <c r="I80" s="32"/>
      <c r="J80" s="32"/>
      <c r="K80" s="32"/>
      <c r="L80" s="33"/>
      <c r="M80" s="32"/>
      <c r="N80" s="32"/>
      <c r="O80" s="32"/>
      <c r="P80" s="33"/>
    </row>
    <row r="81" spans="2:16" s="28" customFormat="1" ht="20.100000000000001" customHeight="1" x14ac:dyDescent="0.2">
      <c r="D81" s="60" t="s">
        <v>24</v>
      </c>
      <c r="E81" s="61" t="str">
        <f>IF('RELACIÓN DE FACTURAS'!Q3="","",'RELACIÓN DE FACTURAS'!Q3)</f>
        <v/>
      </c>
      <c r="F81" s="57"/>
      <c r="G81" s="58"/>
      <c r="H81" s="59"/>
      <c r="I81" s="58"/>
      <c r="J81" s="58"/>
      <c r="K81" s="58"/>
      <c r="L81" s="59"/>
      <c r="M81" s="58"/>
      <c r="N81" s="58"/>
      <c r="O81" s="58"/>
      <c r="P81" s="59"/>
    </row>
    <row r="82" spans="2:16" ht="20.100000000000001" customHeight="1" x14ac:dyDescent="0.3">
      <c r="E82" s="32"/>
      <c r="F82" s="32"/>
      <c r="G82" s="32"/>
      <c r="H82" s="33"/>
      <c r="I82" s="32"/>
      <c r="J82" s="32"/>
      <c r="K82" s="32"/>
      <c r="L82" s="33"/>
      <c r="M82" s="32"/>
      <c r="N82" s="32"/>
      <c r="O82" s="32"/>
      <c r="P82" s="33"/>
    </row>
    <row r="83" spans="2:16" ht="20.100000000000001" customHeight="1" x14ac:dyDescent="0.3">
      <c r="E83" s="32"/>
      <c r="F83" s="32"/>
      <c r="G83" s="32"/>
      <c r="H83" s="33"/>
      <c r="I83" s="32"/>
      <c r="J83" s="32"/>
      <c r="K83" s="32"/>
      <c r="L83" s="33"/>
      <c r="M83" s="32"/>
      <c r="N83" s="32"/>
      <c r="O83" s="32"/>
      <c r="P83" s="33"/>
    </row>
    <row r="84" spans="2:16" ht="20.100000000000001" customHeight="1" x14ac:dyDescent="0.3">
      <c r="E84" s="32"/>
      <c r="F84" s="32"/>
      <c r="G84" s="32"/>
      <c r="H84" s="33"/>
      <c r="I84" s="32"/>
      <c r="J84" s="32"/>
      <c r="K84" s="32"/>
      <c r="L84" s="33"/>
      <c r="M84" s="32"/>
      <c r="N84" s="32"/>
      <c r="O84" s="32"/>
      <c r="P84" s="33"/>
    </row>
    <row r="85" spans="2:16" ht="45" customHeight="1" x14ac:dyDescent="0.3">
      <c r="B85" s="370" t="s">
        <v>190</v>
      </c>
      <c r="C85" s="370"/>
      <c r="D85" s="370"/>
      <c r="E85" s="370"/>
      <c r="F85" s="370"/>
      <c r="G85" s="34"/>
      <c r="H85" s="34"/>
      <c r="I85" s="34"/>
      <c r="J85" s="34"/>
      <c r="K85" s="34"/>
      <c r="L85" s="34"/>
      <c r="M85" s="34"/>
      <c r="N85" s="34"/>
      <c r="O85" s="34"/>
      <c r="P85" s="34"/>
    </row>
    <row r="86" spans="2:16" ht="15.75" thickBot="1" x14ac:dyDescent="0.35"/>
    <row r="87" spans="2:16" s="19" customFormat="1" ht="75.75" thickBot="1" x14ac:dyDescent="0.25">
      <c r="B87" s="69" t="s">
        <v>0</v>
      </c>
      <c r="C87" s="70" t="s">
        <v>1</v>
      </c>
      <c r="D87" s="66" t="s">
        <v>84</v>
      </c>
      <c r="E87" s="66" t="s">
        <v>197</v>
      </c>
      <c r="F87" s="67" t="s">
        <v>96</v>
      </c>
    </row>
    <row r="88" spans="2:16" ht="9.9499999999999993" customHeight="1" x14ac:dyDescent="0.3">
      <c r="H88" s="19"/>
    </row>
    <row r="89" spans="2:16" ht="20.100000000000001" customHeight="1" x14ac:dyDescent="0.3">
      <c r="B89" s="3" t="str">
        <f t="shared" ref="B89:B127" si="25">IF(L4="","",L4)</f>
        <v/>
      </c>
      <c r="C89" s="2" t="str">
        <f t="shared" ref="C89:F89" si="26">IF(M4="","",M4)</f>
        <v/>
      </c>
      <c r="D89" s="35" t="str">
        <f t="shared" si="26"/>
        <v/>
      </c>
      <c r="E89" s="36" t="str">
        <f t="shared" si="26"/>
        <v/>
      </c>
      <c r="F89" s="3" t="str">
        <f t="shared" si="26"/>
        <v/>
      </c>
      <c r="H89" s="19"/>
      <c r="J89" s="18"/>
    </row>
    <row r="90" spans="2:16" ht="20.100000000000001" customHeight="1" x14ac:dyDescent="0.3">
      <c r="B90" s="3" t="str">
        <f t="shared" si="25"/>
        <v/>
      </c>
      <c r="C90" s="2" t="str">
        <f t="shared" ref="C90:C127" si="27">IF(M5="","",M5)</f>
        <v/>
      </c>
      <c r="D90" s="2" t="str">
        <f t="shared" ref="D90:D127" si="28">IF(N5="","",N5)</f>
        <v/>
      </c>
      <c r="E90" s="36" t="str">
        <f t="shared" ref="E90:E127" si="29">IF(O5="","",O5)</f>
        <v/>
      </c>
      <c r="F90" s="3" t="str">
        <f t="shared" ref="F90:F127" si="30">IF(P5="","",P5)</f>
        <v/>
      </c>
      <c r="H90" s="19"/>
    </row>
    <row r="91" spans="2:16" ht="20.100000000000001" customHeight="1" x14ac:dyDescent="0.3">
      <c r="B91" s="3" t="str">
        <f t="shared" si="25"/>
        <v/>
      </c>
      <c r="C91" s="2" t="str">
        <f t="shared" si="27"/>
        <v/>
      </c>
      <c r="D91" s="2" t="str">
        <f t="shared" si="28"/>
        <v/>
      </c>
      <c r="E91" s="36" t="str">
        <f t="shared" si="29"/>
        <v/>
      </c>
      <c r="F91" s="3" t="str">
        <f t="shared" si="30"/>
        <v/>
      </c>
      <c r="H91" s="19"/>
    </row>
    <row r="92" spans="2:16" ht="20.100000000000001" customHeight="1" x14ac:dyDescent="0.3">
      <c r="B92" s="3" t="str">
        <f t="shared" si="25"/>
        <v/>
      </c>
      <c r="C92" s="2" t="str">
        <f t="shared" si="27"/>
        <v/>
      </c>
      <c r="D92" s="2" t="str">
        <f t="shared" si="28"/>
        <v/>
      </c>
      <c r="E92" s="36" t="str">
        <f t="shared" si="29"/>
        <v/>
      </c>
      <c r="F92" s="3" t="str">
        <f t="shared" si="30"/>
        <v/>
      </c>
      <c r="H92" s="19"/>
    </row>
    <row r="93" spans="2:16" ht="20.100000000000001" customHeight="1" x14ac:dyDescent="0.3">
      <c r="B93" s="3" t="str">
        <f t="shared" si="25"/>
        <v/>
      </c>
      <c r="C93" s="2" t="str">
        <f t="shared" si="27"/>
        <v/>
      </c>
      <c r="D93" s="2" t="str">
        <f t="shared" si="28"/>
        <v/>
      </c>
      <c r="E93" s="36" t="str">
        <f t="shared" si="29"/>
        <v/>
      </c>
      <c r="F93" s="3" t="str">
        <f t="shared" si="30"/>
        <v/>
      </c>
      <c r="H93" s="19"/>
    </row>
    <row r="94" spans="2:16" ht="20.100000000000001" customHeight="1" x14ac:dyDescent="0.3">
      <c r="B94" s="3" t="str">
        <f t="shared" si="25"/>
        <v/>
      </c>
      <c r="C94" s="2" t="str">
        <f t="shared" si="27"/>
        <v/>
      </c>
      <c r="D94" s="2" t="str">
        <f t="shared" si="28"/>
        <v/>
      </c>
      <c r="E94" s="36" t="str">
        <f t="shared" si="29"/>
        <v/>
      </c>
      <c r="F94" s="3" t="str">
        <f t="shared" si="30"/>
        <v/>
      </c>
      <c r="H94" s="19"/>
    </row>
    <row r="95" spans="2:16" ht="20.100000000000001" customHeight="1" x14ac:dyDescent="0.3">
      <c r="B95" s="3" t="str">
        <f t="shared" si="25"/>
        <v/>
      </c>
      <c r="C95" s="2" t="str">
        <f t="shared" si="27"/>
        <v/>
      </c>
      <c r="D95" s="2" t="str">
        <f t="shared" si="28"/>
        <v/>
      </c>
      <c r="E95" s="36" t="str">
        <f t="shared" si="29"/>
        <v/>
      </c>
      <c r="F95" s="3" t="str">
        <f t="shared" si="30"/>
        <v/>
      </c>
      <c r="H95" s="19"/>
    </row>
    <row r="96" spans="2:16" ht="20.100000000000001" customHeight="1" x14ac:dyDescent="0.3">
      <c r="B96" s="3" t="str">
        <f t="shared" si="25"/>
        <v/>
      </c>
      <c r="C96" s="2" t="str">
        <f t="shared" si="27"/>
        <v/>
      </c>
      <c r="D96" s="2" t="str">
        <f t="shared" si="28"/>
        <v/>
      </c>
      <c r="E96" s="36" t="str">
        <f t="shared" si="29"/>
        <v/>
      </c>
      <c r="F96" s="3" t="str">
        <f t="shared" si="30"/>
        <v/>
      </c>
      <c r="H96" s="19"/>
    </row>
    <row r="97" spans="2:8" ht="20.100000000000001" customHeight="1" x14ac:dyDescent="0.3">
      <c r="B97" s="3" t="str">
        <f t="shared" si="25"/>
        <v/>
      </c>
      <c r="C97" s="2" t="str">
        <f t="shared" si="27"/>
        <v/>
      </c>
      <c r="D97" s="2" t="str">
        <f t="shared" si="28"/>
        <v/>
      </c>
      <c r="E97" s="36" t="str">
        <f t="shared" si="29"/>
        <v/>
      </c>
      <c r="F97" s="3" t="str">
        <f t="shared" si="30"/>
        <v/>
      </c>
      <c r="H97" s="19"/>
    </row>
    <row r="98" spans="2:8" ht="20.100000000000001" customHeight="1" x14ac:dyDescent="0.3">
      <c r="B98" s="3" t="str">
        <f t="shared" si="25"/>
        <v/>
      </c>
      <c r="C98" s="2" t="str">
        <f t="shared" si="27"/>
        <v/>
      </c>
      <c r="D98" s="2" t="str">
        <f t="shared" si="28"/>
        <v/>
      </c>
      <c r="E98" s="36" t="str">
        <f t="shared" si="29"/>
        <v/>
      </c>
      <c r="F98" s="3" t="str">
        <f t="shared" si="30"/>
        <v/>
      </c>
      <c r="H98" s="19"/>
    </row>
    <row r="99" spans="2:8" ht="20.100000000000001" customHeight="1" x14ac:dyDescent="0.3">
      <c r="B99" s="3" t="str">
        <f t="shared" si="25"/>
        <v/>
      </c>
      <c r="C99" s="2" t="str">
        <f t="shared" si="27"/>
        <v/>
      </c>
      <c r="D99" s="2" t="str">
        <f t="shared" si="28"/>
        <v/>
      </c>
      <c r="E99" s="36" t="str">
        <f t="shared" si="29"/>
        <v/>
      </c>
      <c r="F99" s="3" t="str">
        <f t="shared" si="30"/>
        <v/>
      </c>
      <c r="H99" s="19"/>
    </row>
    <row r="100" spans="2:8" ht="20.100000000000001" customHeight="1" x14ac:dyDescent="0.3">
      <c r="B100" s="3" t="str">
        <f t="shared" si="25"/>
        <v/>
      </c>
      <c r="C100" s="2" t="str">
        <f t="shared" si="27"/>
        <v/>
      </c>
      <c r="D100" s="2" t="str">
        <f t="shared" si="28"/>
        <v/>
      </c>
      <c r="E100" s="36" t="str">
        <f t="shared" si="29"/>
        <v/>
      </c>
      <c r="F100" s="3" t="str">
        <f t="shared" si="30"/>
        <v/>
      </c>
      <c r="H100" s="19"/>
    </row>
    <row r="101" spans="2:8" ht="20.100000000000001" customHeight="1" x14ac:dyDescent="0.3">
      <c r="B101" s="3" t="str">
        <f t="shared" si="25"/>
        <v/>
      </c>
      <c r="C101" s="2" t="str">
        <f t="shared" si="27"/>
        <v/>
      </c>
      <c r="D101" s="2" t="str">
        <f t="shared" si="28"/>
        <v/>
      </c>
      <c r="E101" s="36" t="str">
        <f t="shared" si="29"/>
        <v/>
      </c>
      <c r="F101" s="3" t="str">
        <f t="shared" si="30"/>
        <v/>
      </c>
      <c r="H101" s="19"/>
    </row>
    <row r="102" spans="2:8" ht="20.100000000000001" customHeight="1" x14ac:dyDescent="0.3">
      <c r="B102" s="3" t="str">
        <f t="shared" si="25"/>
        <v/>
      </c>
      <c r="C102" s="2" t="str">
        <f t="shared" si="27"/>
        <v/>
      </c>
      <c r="D102" s="2" t="str">
        <f t="shared" si="28"/>
        <v/>
      </c>
      <c r="E102" s="36" t="str">
        <f t="shared" si="29"/>
        <v/>
      </c>
      <c r="F102" s="3" t="str">
        <f t="shared" si="30"/>
        <v/>
      </c>
      <c r="H102" s="19"/>
    </row>
    <row r="103" spans="2:8" ht="20.100000000000001" customHeight="1" x14ac:dyDescent="0.3">
      <c r="B103" s="3" t="str">
        <f t="shared" si="25"/>
        <v/>
      </c>
      <c r="C103" s="2" t="str">
        <f t="shared" si="27"/>
        <v/>
      </c>
      <c r="D103" s="2" t="str">
        <f t="shared" si="28"/>
        <v/>
      </c>
      <c r="E103" s="36" t="str">
        <f t="shared" si="29"/>
        <v/>
      </c>
      <c r="F103" s="3" t="str">
        <f t="shared" si="30"/>
        <v/>
      </c>
      <c r="H103" s="19"/>
    </row>
    <row r="104" spans="2:8" ht="20.100000000000001" customHeight="1" x14ac:dyDescent="0.3">
      <c r="B104" s="3" t="str">
        <f t="shared" si="25"/>
        <v/>
      </c>
      <c r="C104" s="2" t="str">
        <f t="shared" si="27"/>
        <v/>
      </c>
      <c r="D104" s="2" t="str">
        <f t="shared" si="28"/>
        <v/>
      </c>
      <c r="E104" s="36" t="str">
        <f t="shared" si="29"/>
        <v/>
      </c>
      <c r="F104" s="3" t="str">
        <f t="shared" si="30"/>
        <v/>
      </c>
      <c r="H104" s="19"/>
    </row>
    <row r="105" spans="2:8" ht="20.100000000000001" customHeight="1" x14ac:dyDescent="0.3">
      <c r="B105" s="3" t="str">
        <f t="shared" si="25"/>
        <v/>
      </c>
      <c r="C105" s="2" t="str">
        <f t="shared" si="27"/>
        <v/>
      </c>
      <c r="D105" s="2" t="str">
        <f t="shared" si="28"/>
        <v/>
      </c>
      <c r="E105" s="36" t="str">
        <f t="shared" si="29"/>
        <v/>
      </c>
      <c r="F105" s="3" t="str">
        <f t="shared" si="30"/>
        <v/>
      </c>
      <c r="H105" s="19"/>
    </row>
    <row r="106" spans="2:8" ht="20.100000000000001" customHeight="1" x14ac:dyDescent="0.3">
      <c r="B106" s="3" t="str">
        <f t="shared" si="25"/>
        <v/>
      </c>
      <c r="C106" s="2" t="str">
        <f t="shared" si="27"/>
        <v/>
      </c>
      <c r="D106" s="2" t="str">
        <f t="shared" si="28"/>
        <v/>
      </c>
      <c r="E106" s="36" t="str">
        <f t="shared" si="29"/>
        <v/>
      </c>
      <c r="F106" s="3" t="str">
        <f t="shared" si="30"/>
        <v/>
      </c>
      <c r="H106" s="19"/>
    </row>
    <row r="107" spans="2:8" ht="20.100000000000001" customHeight="1" x14ac:dyDescent="0.3">
      <c r="B107" s="3" t="str">
        <f t="shared" si="25"/>
        <v/>
      </c>
      <c r="C107" s="2" t="str">
        <f t="shared" si="27"/>
        <v/>
      </c>
      <c r="D107" s="2" t="str">
        <f t="shared" si="28"/>
        <v/>
      </c>
      <c r="E107" s="36" t="str">
        <f t="shared" si="29"/>
        <v/>
      </c>
      <c r="F107" s="3" t="str">
        <f t="shared" si="30"/>
        <v/>
      </c>
      <c r="H107" s="19"/>
    </row>
    <row r="108" spans="2:8" ht="20.100000000000001" customHeight="1" x14ac:dyDescent="0.3">
      <c r="B108" s="3" t="str">
        <f t="shared" si="25"/>
        <v/>
      </c>
      <c r="C108" s="2" t="str">
        <f t="shared" si="27"/>
        <v/>
      </c>
      <c r="D108" s="2" t="str">
        <f t="shared" si="28"/>
        <v/>
      </c>
      <c r="E108" s="36" t="str">
        <f t="shared" si="29"/>
        <v/>
      </c>
      <c r="F108" s="3" t="str">
        <f t="shared" si="30"/>
        <v/>
      </c>
      <c r="H108" s="19"/>
    </row>
    <row r="109" spans="2:8" ht="20.100000000000001" customHeight="1" x14ac:dyDescent="0.3">
      <c r="B109" s="3" t="str">
        <f t="shared" si="25"/>
        <v/>
      </c>
      <c r="C109" s="2" t="str">
        <f t="shared" si="27"/>
        <v/>
      </c>
      <c r="D109" s="2" t="str">
        <f t="shared" si="28"/>
        <v/>
      </c>
      <c r="E109" s="36" t="str">
        <f t="shared" si="29"/>
        <v/>
      </c>
      <c r="F109" s="3" t="str">
        <f t="shared" si="30"/>
        <v/>
      </c>
      <c r="H109" s="19"/>
    </row>
    <row r="110" spans="2:8" ht="20.100000000000001" customHeight="1" x14ac:dyDescent="0.3">
      <c r="B110" s="3" t="str">
        <f t="shared" si="25"/>
        <v/>
      </c>
      <c r="C110" s="2" t="str">
        <f t="shared" si="27"/>
        <v/>
      </c>
      <c r="D110" s="2" t="str">
        <f t="shared" si="28"/>
        <v/>
      </c>
      <c r="E110" s="36" t="str">
        <f t="shared" si="29"/>
        <v/>
      </c>
      <c r="F110" s="3" t="str">
        <f t="shared" si="30"/>
        <v/>
      </c>
      <c r="H110" s="19"/>
    </row>
    <row r="111" spans="2:8" ht="20.100000000000001" customHeight="1" x14ac:dyDescent="0.3">
      <c r="B111" s="3" t="str">
        <f t="shared" si="25"/>
        <v/>
      </c>
      <c r="C111" s="2" t="str">
        <f t="shared" si="27"/>
        <v/>
      </c>
      <c r="D111" s="2" t="str">
        <f t="shared" si="28"/>
        <v/>
      </c>
      <c r="E111" s="36" t="str">
        <f t="shared" si="29"/>
        <v/>
      </c>
      <c r="F111" s="3" t="str">
        <f t="shared" si="30"/>
        <v/>
      </c>
      <c r="H111" s="19"/>
    </row>
    <row r="112" spans="2:8" ht="20.100000000000001" customHeight="1" x14ac:dyDescent="0.3">
      <c r="B112" s="3" t="str">
        <f t="shared" si="25"/>
        <v/>
      </c>
      <c r="C112" s="2" t="str">
        <f t="shared" si="27"/>
        <v/>
      </c>
      <c r="D112" s="2" t="str">
        <f t="shared" si="28"/>
        <v/>
      </c>
      <c r="E112" s="36" t="str">
        <f t="shared" si="29"/>
        <v/>
      </c>
      <c r="F112" s="3" t="str">
        <f t="shared" si="30"/>
        <v/>
      </c>
      <c r="H112" s="19"/>
    </row>
    <row r="113" spans="2:8" ht="20.100000000000001" customHeight="1" x14ac:dyDescent="0.3">
      <c r="B113" s="3" t="str">
        <f t="shared" si="25"/>
        <v/>
      </c>
      <c r="C113" s="2" t="str">
        <f t="shared" si="27"/>
        <v/>
      </c>
      <c r="D113" s="2" t="str">
        <f t="shared" si="28"/>
        <v/>
      </c>
      <c r="E113" s="36" t="str">
        <f t="shared" si="29"/>
        <v/>
      </c>
      <c r="F113" s="3" t="str">
        <f t="shared" si="30"/>
        <v/>
      </c>
      <c r="H113" s="19"/>
    </row>
    <row r="114" spans="2:8" ht="20.100000000000001" customHeight="1" x14ac:dyDescent="0.3">
      <c r="B114" s="3" t="str">
        <f t="shared" si="25"/>
        <v/>
      </c>
      <c r="C114" s="2" t="str">
        <f t="shared" si="27"/>
        <v/>
      </c>
      <c r="D114" s="2" t="str">
        <f t="shared" si="28"/>
        <v/>
      </c>
      <c r="E114" s="36" t="str">
        <f t="shared" si="29"/>
        <v/>
      </c>
      <c r="F114" s="3" t="str">
        <f t="shared" si="30"/>
        <v/>
      </c>
      <c r="H114" s="19"/>
    </row>
    <row r="115" spans="2:8" ht="20.100000000000001" customHeight="1" x14ac:dyDescent="0.3">
      <c r="B115" s="3" t="str">
        <f t="shared" si="25"/>
        <v/>
      </c>
      <c r="C115" s="2" t="str">
        <f t="shared" si="27"/>
        <v/>
      </c>
      <c r="D115" s="2" t="str">
        <f t="shared" si="28"/>
        <v/>
      </c>
      <c r="E115" s="36" t="str">
        <f t="shared" si="29"/>
        <v/>
      </c>
      <c r="F115" s="3" t="str">
        <f t="shared" si="30"/>
        <v/>
      </c>
      <c r="H115" s="19"/>
    </row>
    <row r="116" spans="2:8" ht="20.100000000000001" customHeight="1" x14ac:dyDescent="0.3">
      <c r="B116" s="3" t="str">
        <f t="shared" si="25"/>
        <v/>
      </c>
      <c r="C116" s="2" t="str">
        <f t="shared" si="27"/>
        <v/>
      </c>
      <c r="D116" s="2" t="str">
        <f t="shared" si="28"/>
        <v/>
      </c>
      <c r="E116" s="36" t="str">
        <f t="shared" si="29"/>
        <v/>
      </c>
      <c r="F116" s="3" t="str">
        <f t="shared" si="30"/>
        <v/>
      </c>
      <c r="H116" s="19"/>
    </row>
    <row r="117" spans="2:8" ht="20.100000000000001" customHeight="1" x14ac:dyDescent="0.3">
      <c r="B117" s="3" t="str">
        <f t="shared" si="25"/>
        <v/>
      </c>
      <c r="C117" s="2" t="str">
        <f t="shared" si="27"/>
        <v/>
      </c>
      <c r="D117" s="2" t="str">
        <f t="shared" si="28"/>
        <v/>
      </c>
      <c r="E117" s="36" t="str">
        <f t="shared" si="29"/>
        <v/>
      </c>
      <c r="F117" s="3" t="str">
        <f t="shared" si="30"/>
        <v/>
      </c>
      <c r="H117" s="19"/>
    </row>
    <row r="118" spans="2:8" ht="20.100000000000001" customHeight="1" x14ac:dyDescent="0.3">
      <c r="B118" s="3" t="str">
        <f t="shared" si="25"/>
        <v/>
      </c>
      <c r="C118" s="2" t="str">
        <f t="shared" si="27"/>
        <v/>
      </c>
      <c r="D118" s="2" t="str">
        <f t="shared" si="28"/>
        <v/>
      </c>
      <c r="E118" s="36" t="str">
        <f t="shared" si="29"/>
        <v/>
      </c>
      <c r="F118" s="3" t="str">
        <f t="shared" si="30"/>
        <v/>
      </c>
      <c r="H118" s="19"/>
    </row>
    <row r="119" spans="2:8" ht="20.100000000000001" customHeight="1" x14ac:dyDescent="0.3">
      <c r="B119" s="3" t="str">
        <f t="shared" si="25"/>
        <v/>
      </c>
      <c r="C119" s="2" t="str">
        <f t="shared" si="27"/>
        <v/>
      </c>
      <c r="D119" s="2" t="str">
        <f t="shared" si="28"/>
        <v/>
      </c>
      <c r="E119" s="36" t="str">
        <f t="shared" si="29"/>
        <v/>
      </c>
      <c r="F119" s="3" t="str">
        <f t="shared" si="30"/>
        <v/>
      </c>
      <c r="H119" s="19"/>
    </row>
    <row r="120" spans="2:8" ht="20.100000000000001" customHeight="1" x14ac:dyDescent="0.3">
      <c r="B120" s="3" t="str">
        <f t="shared" si="25"/>
        <v/>
      </c>
      <c r="C120" s="2" t="str">
        <f t="shared" si="27"/>
        <v/>
      </c>
      <c r="D120" s="2" t="str">
        <f t="shared" si="28"/>
        <v/>
      </c>
      <c r="E120" s="36" t="str">
        <f t="shared" si="29"/>
        <v/>
      </c>
      <c r="F120" s="3" t="str">
        <f t="shared" si="30"/>
        <v/>
      </c>
      <c r="H120" s="19"/>
    </row>
    <row r="121" spans="2:8" ht="20.100000000000001" customHeight="1" x14ac:dyDescent="0.3">
      <c r="B121" s="3" t="str">
        <f t="shared" si="25"/>
        <v/>
      </c>
      <c r="C121" s="2" t="str">
        <f t="shared" si="27"/>
        <v/>
      </c>
      <c r="D121" s="2" t="str">
        <f t="shared" si="28"/>
        <v/>
      </c>
      <c r="E121" s="36" t="str">
        <f t="shared" si="29"/>
        <v/>
      </c>
      <c r="F121" s="3" t="str">
        <f t="shared" si="30"/>
        <v/>
      </c>
      <c r="H121" s="19"/>
    </row>
    <row r="122" spans="2:8" ht="20.100000000000001" customHeight="1" x14ac:dyDescent="0.3">
      <c r="B122" s="3" t="str">
        <f t="shared" si="25"/>
        <v/>
      </c>
      <c r="C122" s="2" t="str">
        <f t="shared" si="27"/>
        <v/>
      </c>
      <c r="D122" s="2" t="str">
        <f t="shared" si="28"/>
        <v/>
      </c>
      <c r="E122" s="36" t="str">
        <f t="shared" si="29"/>
        <v/>
      </c>
      <c r="F122" s="3" t="str">
        <f t="shared" si="30"/>
        <v/>
      </c>
      <c r="H122" s="19"/>
    </row>
    <row r="123" spans="2:8" ht="20.100000000000001" customHeight="1" x14ac:dyDescent="0.3">
      <c r="B123" s="3" t="str">
        <f t="shared" si="25"/>
        <v/>
      </c>
      <c r="C123" s="2" t="str">
        <f t="shared" si="27"/>
        <v/>
      </c>
      <c r="D123" s="2" t="str">
        <f t="shared" si="28"/>
        <v/>
      </c>
      <c r="E123" s="36" t="str">
        <f t="shared" si="29"/>
        <v/>
      </c>
      <c r="F123" s="3" t="str">
        <f t="shared" si="30"/>
        <v/>
      </c>
      <c r="H123" s="19"/>
    </row>
    <row r="124" spans="2:8" ht="20.100000000000001" customHeight="1" x14ac:dyDescent="0.3">
      <c r="B124" s="3" t="str">
        <f t="shared" si="25"/>
        <v/>
      </c>
      <c r="C124" s="2" t="str">
        <f t="shared" si="27"/>
        <v/>
      </c>
      <c r="D124" s="2" t="str">
        <f t="shared" si="28"/>
        <v/>
      </c>
      <c r="E124" s="36" t="str">
        <f t="shared" si="29"/>
        <v/>
      </c>
      <c r="F124" s="3" t="str">
        <f t="shared" si="30"/>
        <v/>
      </c>
      <c r="H124" s="19"/>
    </row>
    <row r="125" spans="2:8" ht="20.100000000000001" customHeight="1" x14ac:dyDescent="0.3">
      <c r="B125" s="3" t="str">
        <f t="shared" si="25"/>
        <v/>
      </c>
      <c r="C125" s="2" t="str">
        <f t="shared" si="27"/>
        <v/>
      </c>
      <c r="D125" s="2" t="str">
        <f t="shared" si="28"/>
        <v/>
      </c>
      <c r="E125" s="36" t="str">
        <f t="shared" si="29"/>
        <v/>
      </c>
      <c r="F125" s="3" t="str">
        <f t="shared" si="30"/>
        <v/>
      </c>
      <c r="H125" s="19"/>
    </row>
    <row r="126" spans="2:8" ht="20.100000000000001" customHeight="1" x14ac:dyDescent="0.3">
      <c r="B126" s="3" t="str">
        <f t="shared" si="25"/>
        <v/>
      </c>
      <c r="C126" s="2" t="str">
        <f t="shared" si="27"/>
        <v/>
      </c>
      <c r="D126" s="2" t="str">
        <f t="shared" si="28"/>
        <v/>
      </c>
      <c r="E126" s="36" t="str">
        <f t="shared" si="29"/>
        <v/>
      </c>
      <c r="F126" s="3" t="str">
        <f t="shared" si="30"/>
        <v/>
      </c>
      <c r="H126" s="19"/>
    </row>
    <row r="127" spans="2:8" ht="20.100000000000001" customHeight="1" x14ac:dyDescent="0.3">
      <c r="B127" s="3" t="str">
        <f t="shared" si="25"/>
        <v/>
      </c>
      <c r="C127" s="2" t="str">
        <f t="shared" si="27"/>
        <v/>
      </c>
      <c r="D127" s="2" t="str">
        <f t="shared" si="28"/>
        <v/>
      </c>
      <c r="E127" s="36" t="str">
        <f t="shared" si="29"/>
        <v/>
      </c>
      <c r="F127" s="3" t="str">
        <f t="shared" si="30"/>
        <v/>
      </c>
      <c r="H127" s="19"/>
    </row>
    <row r="128" spans="2:8" ht="20.100000000000001" customHeight="1" x14ac:dyDescent="0.3">
      <c r="B128" s="3" t="str">
        <f t="shared" ref="B128:F128" si="31">IF(L43="","",L43)</f>
        <v/>
      </c>
      <c r="C128" s="2" t="str">
        <f t="shared" si="31"/>
        <v/>
      </c>
      <c r="D128" s="2" t="str">
        <f t="shared" si="31"/>
        <v/>
      </c>
      <c r="E128" s="36" t="str">
        <f t="shared" si="31"/>
        <v/>
      </c>
      <c r="F128" s="3" t="str">
        <f t="shared" si="31"/>
        <v/>
      </c>
      <c r="H128" s="19"/>
    </row>
    <row r="129" spans="2:8" ht="20.100000000000001" customHeight="1" x14ac:dyDescent="0.3">
      <c r="B129" s="3" t="str">
        <f t="shared" ref="B129:F129" si="32">IF(L44="","",L44)</f>
        <v/>
      </c>
      <c r="C129" s="2" t="str">
        <f t="shared" si="32"/>
        <v/>
      </c>
      <c r="D129" s="2" t="str">
        <f t="shared" si="32"/>
        <v/>
      </c>
      <c r="E129" s="36" t="str">
        <f t="shared" si="32"/>
        <v/>
      </c>
      <c r="F129" s="3" t="str">
        <f t="shared" si="32"/>
        <v/>
      </c>
      <c r="H129" s="19"/>
    </row>
    <row r="130" spans="2:8" ht="20.100000000000001" customHeight="1" x14ac:dyDescent="0.3">
      <c r="B130" s="3" t="str">
        <f t="shared" ref="B130:F130" si="33">IF(L45="","",L45)</f>
        <v/>
      </c>
      <c r="C130" s="2" t="str">
        <f t="shared" si="33"/>
        <v/>
      </c>
      <c r="D130" s="2" t="str">
        <f t="shared" si="33"/>
        <v/>
      </c>
      <c r="E130" s="36" t="str">
        <f t="shared" si="33"/>
        <v/>
      </c>
      <c r="F130" s="3" t="str">
        <f t="shared" si="33"/>
        <v/>
      </c>
      <c r="H130" s="19"/>
    </row>
    <row r="131" spans="2:8" ht="20.100000000000001" customHeight="1" x14ac:dyDescent="0.3">
      <c r="B131" s="3" t="str">
        <f t="shared" ref="B131:F131" si="34">IF(L46="","",L46)</f>
        <v/>
      </c>
      <c r="C131" s="2" t="str">
        <f t="shared" si="34"/>
        <v/>
      </c>
      <c r="D131" s="2" t="str">
        <f t="shared" si="34"/>
        <v/>
      </c>
      <c r="E131" s="36" t="str">
        <f t="shared" si="34"/>
        <v/>
      </c>
      <c r="F131" s="3" t="str">
        <f t="shared" si="34"/>
        <v/>
      </c>
      <c r="H131" s="19"/>
    </row>
    <row r="132" spans="2:8" ht="20.100000000000001" customHeight="1" x14ac:dyDescent="0.3">
      <c r="B132" s="3" t="str">
        <f t="shared" ref="B132:F132" si="35">IF(L47="","",L47)</f>
        <v/>
      </c>
      <c r="C132" s="2" t="str">
        <f t="shared" si="35"/>
        <v/>
      </c>
      <c r="D132" s="2" t="str">
        <f t="shared" si="35"/>
        <v/>
      </c>
      <c r="E132" s="36" t="str">
        <f t="shared" si="35"/>
        <v/>
      </c>
      <c r="F132" s="3" t="str">
        <f t="shared" si="35"/>
        <v/>
      </c>
      <c r="H132" s="19"/>
    </row>
    <row r="133" spans="2:8" ht="20.100000000000001" customHeight="1" x14ac:dyDescent="0.3">
      <c r="B133" s="3" t="str">
        <f t="shared" ref="B133:F133" si="36">IF(L48="","",L48)</f>
        <v/>
      </c>
      <c r="C133" s="2" t="str">
        <f t="shared" si="36"/>
        <v/>
      </c>
      <c r="D133" s="2" t="str">
        <f t="shared" si="36"/>
        <v/>
      </c>
      <c r="E133" s="36" t="str">
        <f t="shared" si="36"/>
        <v/>
      </c>
      <c r="F133" s="3" t="str">
        <f t="shared" si="36"/>
        <v/>
      </c>
      <c r="H133" s="19"/>
    </row>
    <row r="134" spans="2:8" ht="20.100000000000001" customHeight="1" x14ac:dyDescent="0.3">
      <c r="B134" s="3" t="str">
        <f t="shared" ref="B134:F134" si="37">IF(L49="","",L49)</f>
        <v/>
      </c>
      <c r="C134" s="2" t="str">
        <f t="shared" si="37"/>
        <v/>
      </c>
      <c r="D134" s="2" t="str">
        <f t="shared" si="37"/>
        <v/>
      </c>
      <c r="E134" s="36" t="str">
        <f t="shared" si="37"/>
        <v/>
      </c>
      <c r="F134" s="3" t="str">
        <f t="shared" si="37"/>
        <v/>
      </c>
      <c r="H134" s="19"/>
    </row>
    <row r="135" spans="2:8" ht="20.100000000000001" customHeight="1" x14ac:dyDescent="0.3">
      <c r="B135" s="3" t="str">
        <f t="shared" ref="B135:F135" si="38">IF(L50="","",L50)</f>
        <v/>
      </c>
      <c r="C135" s="2" t="str">
        <f t="shared" si="38"/>
        <v/>
      </c>
      <c r="D135" s="2" t="str">
        <f t="shared" si="38"/>
        <v/>
      </c>
      <c r="E135" s="36" t="str">
        <f t="shared" si="38"/>
        <v/>
      </c>
      <c r="F135" s="3" t="str">
        <f t="shared" si="38"/>
        <v/>
      </c>
      <c r="H135" s="19"/>
    </row>
    <row r="136" spans="2:8" ht="20.100000000000001" customHeight="1" x14ac:dyDescent="0.3">
      <c r="B136" s="3" t="str">
        <f t="shared" ref="B136:F136" si="39">IF(L51="","",L51)</f>
        <v/>
      </c>
      <c r="C136" s="2" t="str">
        <f t="shared" si="39"/>
        <v/>
      </c>
      <c r="D136" s="2" t="str">
        <f t="shared" si="39"/>
        <v/>
      </c>
      <c r="E136" s="36" t="str">
        <f t="shared" si="39"/>
        <v/>
      </c>
      <c r="F136" s="3" t="str">
        <f t="shared" si="39"/>
        <v/>
      </c>
      <c r="H136" s="19"/>
    </row>
    <row r="137" spans="2:8" ht="20.100000000000001" customHeight="1" x14ac:dyDescent="0.3">
      <c r="B137" s="3" t="str">
        <f t="shared" ref="B137:F137" si="40">IF(L52="","",L52)</f>
        <v/>
      </c>
      <c r="C137" s="2" t="str">
        <f t="shared" si="40"/>
        <v/>
      </c>
      <c r="D137" s="2" t="str">
        <f t="shared" si="40"/>
        <v/>
      </c>
      <c r="E137" s="36" t="str">
        <f t="shared" si="40"/>
        <v/>
      </c>
      <c r="F137" s="3" t="str">
        <f t="shared" si="40"/>
        <v/>
      </c>
      <c r="H137" s="19"/>
    </row>
    <row r="138" spans="2:8" ht="20.100000000000001" customHeight="1" x14ac:dyDescent="0.3">
      <c r="B138" s="3" t="str">
        <f t="shared" ref="B138:F138" si="41">IF(L53="","",L53)</f>
        <v/>
      </c>
      <c r="C138" s="2" t="str">
        <f t="shared" si="41"/>
        <v/>
      </c>
      <c r="D138" s="2" t="str">
        <f t="shared" si="41"/>
        <v/>
      </c>
      <c r="E138" s="36" t="str">
        <f t="shared" si="41"/>
        <v/>
      </c>
      <c r="F138" s="3" t="str">
        <f t="shared" si="41"/>
        <v/>
      </c>
      <c r="H138" s="19"/>
    </row>
    <row r="139" spans="2:8" ht="20.100000000000001" customHeight="1" x14ac:dyDescent="0.3">
      <c r="B139" s="3" t="str">
        <f t="shared" ref="B139:F139" si="42">IF(L54="","",L54)</f>
        <v/>
      </c>
      <c r="C139" s="2" t="str">
        <f t="shared" si="42"/>
        <v/>
      </c>
      <c r="D139" s="2" t="str">
        <f t="shared" si="42"/>
        <v/>
      </c>
      <c r="E139" s="36" t="str">
        <f t="shared" si="42"/>
        <v/>
      </c>
      <c r="F139" s="3" t="str">
        <f t="shared" si="42"/>
        <v/>
      </c>
      <c r="H139" s="19"/>
    </row>
    <row r="140" spans="2:8" ht="20.100000000000001" customHeight="1" x14ac:dyDescent="0.3">
      <c r="B140" s="3" t="str">
        <f t="shared" ref="B140:F140" si="43">IF(L55="","",L55)</f>
        <v/>
      </c>
      <c r="C140" s="2" t="str">
        <f t="shared" si="43"/>
        <v/>
      </c>
      <c r="D140" s="2" t="str">
        <f t="shared" si="43"/>
        <v/>
      </c>
      <c r="E140" s="36" t="str">
        <f t="shared" si="43"/>
        <v/>
      </c>
      <c r="F140" s="3" t="str">
        <f t="shared" si="43"/>
        <v/>
      </c>
      <c r="H140" s="19"/>
    </row>
    <row r="141" spans="2:8" ht="20.100000000000001" customHeight="1" x14ac:dyDescent="0.3">
      <c r="B141" s="3" t="str">
        <f t="shared" ref="B141:F141" si="44">IF(L56="","",L56)</f>
        <v/>
      </c>
      <c r="C141" s="2" t="str">
        <f t="shared" si="44"/>
        <v/>
      </c>
      <c r="D141" s="2" t="str">
        <f t="shared" si="44"/>
        <v/>
      </c>
      <c r="E141" s="36" t="str">
        <f t="shared" si="44"/>
        <v/>
      </c>
      <c r="F141" s="3" t="str">
        <f t="shared" si="44"/>
        <v/>
      </c>
      <c r="H141" s="19"/>
    </row>
    <row r="142" spans="2:8" ht="20.100000000000001" customHeight="1" x14ac:dyDescent="0.3">
      <c r="B142" s="3" t="str">
        <f t="shared" ref="B142:F142" si="45">IF(L57="","",L57)</f>
        <v/>
      </c>
      <c r="C142" s="2" t="str">
        <f t="shared" si="45"/>
        <v/>
      </c>
      <c r="D142" s="2" t="str">
        <f t="shared" si="45"/>
        <v/>
      </c>
      <c r="E142" s="36" t="str">
        <f t="shared" si="45"/>
        <v/>
      </c>
      <c r="F142" s="3" t="str">
        <f t="shared" si="45"/>
        <v/>
      </c>
      <c r="H142" s="19"/>
    </row>
    <row r="143" spans="2:8" ht="20.100000000000001" customHeight="1" x14ac:dyDescent="0.3">
      <c r="B143" s="3" t="str">
        <f t="shared" ref="B143:F143" si="46">IF(L58="","",L58)</f>
        <v/>
      </c>
      <c r="C143" s="2" t="str">
        <f t="shared" si="46"/>
        <v/>
      </c>
      <c r="D143" s="2" t="str">
        <f t="shared" si="46"/>
        <v/>
      </c>
      <c r="E143" s="36" t="str">
        <f t="shared" si="46"/>
        <v/>
      </c>
      <c r="F143" s="3" t="str">
        <f t="shared" si="46"/>
        <v/>
      </c>
      <c r="H143" s="19"/>
    </row>
    <row r="144" spans="2:8" ht="20.100000000000001" customHeight="1" x14ac:dyDescent="0.3">
      <c r="B144" s="3" t="str">
        <f t="shared" ref="B144:F144" si="47">IF(L59="","",L59)</f>
        <v/>
      </c>
      <c r="C144" s="2" t="str">
        <f t="shared" si="47"/>
        <v/>
      </c>
      <c r="D144" s="2" t="str">
        <f t="shared" si="47"/>
        <v/>
      </c>
      <c r="E144" s="36" t="str">
        <f t="shared" si="47"/>
        <v/>
      </c>
      <c r="F144" s="3" t="str">
        <f t="shared" si="47"/>
        <v/>
      </c>
      <c r="H144" s="19"/>
    </row>
    <row r="145" spans="2:8" ht="20.100000000000001" customHeight="1" x14ac:dyDescent="0.3">
      <c r="B145" s="3" t="str">
        <f t="shared" ref="B145:F145" si="48">IF(L60="","",L60)</f>
        <v/>
      </c>
      <c r="C145" s="2" t="str">
        <f t="shared" si="48"/>
        <v/>
      </c>
      <c r="D145" s="2" t="str">
        <f t="shared" si="48"/>
        <v/>
      </c>
      <c r="E145" s="36" t="str">
        <f t="shared" si="48"/>
        <v/>
      </c>
      <c r="F145" s="3" t="str">
        <f t="shared" si="48"/>
        <v/>
      </c>
      <c r="H145" s="19"/>
    </row>
    <row r="146" spans="2:8" ht="20.100000000000001" customHeight="1" x14ac:dyDescent="0.3">
      <c r="B146" s="3" t="str">
        <f t="shared" ref="B146:F146" si="49">IF(L61="","",L61)</f>
        <v/>
      </c>
      <c r="C146" s="2" t="str">
        <f t="shared" si="49"/>
        <v/>
      </c>
      <c r="D146" s="2" t="str">
        <f t="shared" si="49"/>
        <v/>
      </c>
      <c r="E146" s="36" t="str">
        <f t="shared" si="49"/>
        <v/>
      </c>
      <c r="F146" s="3" t="str">
        <f t="shared" si="49"/>
        <v/>
      </c>
      <c r="H146" s="19"/>
    </row>
    <row r="147" spans="2:8" ht="20.100000000000001" customHeight="1" x14ac:dyDescent="0.3">
      <c r="B147" s="3" t="str">
        <f t="shared" ref="B147:F147" si="50">IF(L62="","",L62)</f>
        <v/>
      </c>
      <c r="C147" s="2" t="str">
        <f t="shared" si="50"/>
        <v/>
      </c>
      <c r="D147" s="2" t="str">
        <f t="shared" si="50"/>
        <v/>
      </c>
      <c r="E147" s="36" t="str">
        <f t="shared" si="50"/>
        <v/>
      </c>
      <c r="F147" s="3" t="str">
        <f t="shared" si="50"/>
        <v/>
      </c>
      <c r="H147" s="19"/>
    </row>
    <row r="148" spans="2:8" ht="20.100000000000001" customHeight="1" x14ac:dyDescent="0.3">
      <c r="B148" s="3" t="str">
        <f t="shared" ref="B148:F148" si="51">IF(L63="","",L63)</f>
        <v/>
      </c>
      <c r="C148" s="2" t="str">
        <f t="shared" si="51"/>
        <v/>
      </c>
      <c r="D148" s="2" t="str">
        <f t="shared" si="51"/>
        <v/>
      </c>
      <c r="E148" s="36" t="str">
        <f t="shared" si="51"/>
        <v/>
      </c>
      <c r="F148" s="3" t="str">
        <f t="shared" si="51"/>
        <v/>
      </c>
      <c r="H148" s="19"/>
    </row>
    <row r="149" spans="2:8" ht="20.100000000000001" customHeight="1" x14ac:dyDescent="0.3">
      <c r="B149" s="3" t="str">
        <f t="shared" ref="B149:F149" si="52">IF(L64="","",L64)</f>
        <v/>
      </c>
      <c r="C149" s="2" t="str">
        <f t="shared" si="52"/>
        <v/>
      </c>
      <c r="D149" s="2" t="str">
        <f t="shared" si="52"/>
        <v/>
      </c>
      <c r="E149" s="36" t="str">
        <f t="shared" si="52"/>
        <v/>
      </c>
      <c r="F149" s="3" t="str">
        <f t="shared" si="52"/>
        <v/>
      </c>
      <c r="H149" s="19"/>
    </row>
    <row r="150" spans="2:8" ht="20.100000000000001" customHeight="1" x14ac:dyDescent="0.3">
      <c r="B150" s="3" t="str">
        <f t="shared" ref="B150:F150" si="53">IF(L65="","",L65)</f>
        <v/>
      </c>
      <c r="C150" s="2" t="str">
        <f t="shared" si="53"/>
        <v/>
      </c>
      <c r="D150" s="2" t="str">
        <f t="shared" si="53"/>
        <v/>
      </c>
      <c r="E150" s="36" t="str">
        <f t="shared" si="53"/>
        <v/>
      </c>
      <c r="F150" s="3" t="str">
        <f t="shared" si="53"/>
        <v/>
      </c>
      <c r="H150" s="19"/>
    </row>
    <row r="151" spans="2:8" ht="20.100000000000001" customHeight="1" x14ac:dyDescent="0.3">
      <c r="B151" s="3" t="str">
        <f t="shared" ref="B151:F151" si="54">IF(L66="","",L66)</f>
        <v/>
      </c>
      <c r="C151" s="2" t="str">
        <f t="shared" si="54"/>
        <v/>
      </c>
      <c r="D151" s="2" t="str">
        <f t="shared" si="54"/>
        <v/>
      </c>
      <c r="E151" s="36" t="str">
        <f t="shared" si="54"/>
        <v/>
      </c>
      <c r="F151" s="3" t="str">
        <f t="shared" si="54"/>
        <v/>
      </c>
      <c r="H151" s="19"/>
    </row>
    <row r="152" spans="2:8" ht="20.100000000000001" customHeight="1" x14ac:dyDescent="0.3">
      <c r="B152" s="3" t="str">
        <f t="shared" ref="B152:F152" si="55">IF(L67="","",L67)</f>
        <v/>
      </c>
      <c r="C152" s="2" t="str">
        <f t="shared" si="55"/>
        <v/>
      </c>
      <c r="D152" s="2" t="str">
        <f t="shared" si="55"/>
        <v/>
      </c>
      <c r="E152" s="36" t="str">
        <f t="shared" si="55"/>
        <v/>
      </c>
      <c r="F152" s="3" t="str">
        <f t="shared" si="55"/>
        <v/>
      </c>
      <c r="H152" s="19"/>
    </row>
    <row r="153" spans="2:8" ht="20.100000000000001" customHeight="1" x14ac:dyDescent="0.3">
      <c r="B153" s="3" t="str">
        <f t="shared" ref="B153:F153" si="56">IF(L68="","",L68)</f>
        <v/>
      </c>
      <c r="C153" s="2" t="str">
        <f t="shared" si="56"/>
        <v/>
      </c>
      <c r="D153" s="2" t="str">
        <f t="shared" si="56"/>
        <v/>
      </c>
      <c r="E153" s="36" t="str">
        <f t="shared" si="56"/>
        <v/>
      </c>
      <c r="F153" s="3" t="str">
        <f t="shared" si="56"/>
        <v/>
      </c>
      <c r="H153" s="19"/>
    </row>
    <row r="154" spans="2:8" ht="20.100000000000001" customHeight="1" x14ac:dyDescent="0.3">
      <c r="B154" s="3" t="str">
        <f t="shared" ref="B154:F154" si="57">IF(L69="","",L69)</f>
        <v/>
      </c>
      <c r="C154" s="2" t="str">
        <f t="shared" si="57"/>
        <v/>
      </c>
      <c r="D154" s="2" t="str">
        <f t="shared" si="57"/>
        <v/>
      </c>
      <c r="E154" s="36" t="str">
        <f t="shared" si="57"/>
        <v/>
      </c>
      <c r="F154" s="3" t="str">
        <f t="shared" si="57"/>
        <v/>
      </c>
      <c r="H154" s="19"/>
    </row>
    <row r="155" spans="2:8" ht="20.100000000000001" customHeight="1" x14ac:dyDescent="0.3">
      <c r="B155" s="3" t="str">
        <f t="shared" ref="B155:F155" si="58">IF(L70="","",L70)</f>
        <v/>
      </c>
      <c r="C155" s="2" t="str">
        <f t="shared" si="58"/>
        <v/>
      </c>
      <c r="D155" s="2" t="str">
        <f t="shared" si="58"/>
        <v/>
      </c>
      <c r="E155" s="36" t="str">
        <f t="shared" si="58"/>
        <v/>
      </c>
      <c r="F155" s="3" t="str">
        <f t="shared" si="58"/>
        <v/>
      </c>
      <c r="H155" s="19"/>
    </row>
    <row r="156" spans="2:8" ht="20.100000000000001" customHeight="1" x14ac:dyDescent="0.3">
      <c r="B156" s="3" t="str">
        <f t="shared" ref="B156:F156" si="59">IF(L71="","",L71)</f>
        <v/>
      </c>
      <c r="C156" s="2" t="str">
        <f t="shared" si="59"/>
        <v/>
      </c>
      <c r="D156" s="2" t="str">
        <f t="shared" si="59"/>
        <v/>
      </c>
      <c r="E156" s="36" t="str">
        <f t="shared" si="59"/>
        <v/>
      </c>
      <c r="F156" s="3" t="str">
        <f t="shared" si="59"/>
        <v/>
      </c>
      <c r="H156" s="19"/>
    </row>
    <row r="157" spans="2:8" ht="20.100000000000001" customHeight="1" x14ac:dyDescent="0.3">
      <c r="B157" s="3" t="str">
        <f t="shared" ref="B157:F157" si="60">IF(L72="","",L72)</f>
        <v/>
      </c>
      <c r="C157" s="2" t="str">
        <f t="shared" si="60"/>
        <v/>
      </c>
      <c r="D157" s="2" t="str">
        <f t="shared" si="60"/>
        <v/>
      </c>
      <c r="E157" s="36" t="str">
        <f t="shared" si="60"/>
        <v/>
      </c>
      <c r="F157" s="3" t="str">
        <f t="shared" si="60"/>
        <v/>
      </c>
      <c r="H157" s="19"/>
    </row>
    <row r="158" spans="2:8" ht="20.100000000000001" customHeight="1" x14ac:dyDescent="0.3">
      <c r="B158" s="3" t="str">
        <f t="shared" ref="B158:F158" si="61">IF(L73="","",L73)</f>
        <v/>
      </c>
      <c r="C158" s="2" t="str">
        <f t="shared" si="61"/>
        <v/>
      </c>
      <c r="D158" s="2" t="str">
        <f t="shared" si="61"/>
        <v/>
      </c>
      <c r="E158" s="36" t="str">
        <f t="shared" si="61"/>
        <v/>
      </c>
      <c r="F158" s="3" t="str">
        <f t="shared" si="61"/>
        <v/>
      </c>
      <c r="H158" s="19"/>
    </row>
    <row r="159" spans="2:8" ht="20.100000000000001" customHeight="1" x14ac:dyDescent="0.3">
      <c r="B159" s="3" t="str">
        <f t="shared" ref="B159:F159" si="62">IF(L74="","",L74)</f>
        <v/>
      </c>
      <c r="C159" s="2" t="str">
        <f t="shared" si="62"/>
        <v/>
      </c>
      <c r="D159" s="2" t="str">
        <f t="shared" si="62"/>
        <v/>
      </c>
      <c r="E159" s="36" t="str">
        <f t="shared" si="62"/>
        <v/>
      </c>
      <c r="F159" s="3" t="str">
        <f t="shared" si="62"/>
        <v/>
      </c>
      <c r="H159" s="19"/>
    </row>
    <row r="160" spans="2:8" ht="20.100000000000001" customHeight="1" x14ac:dyDescent="0.3">
      <c r="B160" s="3" t="str">
        <f t="shared" ref="B160:F160" si="63">IF(L75="","",L75)</f>
        <v/>
      </c>
      <c r="C160" s="2" t="str">
        <f t="shared" si="63"/>
        <v/>
      </c>
      <c r="D160" s="2" t="str">
        <f t="shared" si="63"/>
        <v/>
      </c>
      <c r="E160" s="36" t="str">
        <f t="shared" si="63"/>
        <v/>
      </c>
      <c r="F160" s="3" t="str">
        <f t="shared" si="63"/>
        <v/>
      </c>
      <c r="H160" s="19"/>
    </row>
    <row r="161" spans="2:8" ht="20.100000000000001" customHeight="1" x14ac:dyDescent="0.3">
      <c r="B161" s="3" t="str">
        <f t="shared" ref="B161:F161" si="64">IF(L76="","",L76)</f>
        <v/>
      </c>
      <c r="C161" s="2" t="str">
        <f t="shared" si="64"/>
        <v/>
      </c>
      <c r="D161" s="2" t="str">
        <f t="shared" si="64"/>
        <v/>
      </c>
      <c r="E161" s="36" t="str">
        <f t="shared" si="64"/>
        <v/>
      </c>
      <c r="F161" s="3" t="str">
        <f t="shared" si="64"/>
        <v/>
      </c>
      <c r="H161" s="19"/>
    </row>
    <row r="162" spans="2:8" ht="20.100000000000001" customHeight="1" x14ac:dyDescent="0.3">
      <c r="B162" s="3" t="str">
        <f t="shared" ref="B162:F162" si="65">IF(L77="","",L77)</f>
        <v/>
      </c>
      <c r="C162" s="2" t="str">
        <f t="shared" si="65"/>
        <v/>
      </c>
      <c r="D162" s="2" t="str">
        <f t="shared" si="65"/>
        <v/>
      </c>
      <c r="E162" s="36" t="str">
        <f t="shared" si="65"/>
        <v/>
      </c>
      <c r="F162" s="3" t="str">
        <f t="shared" si="65"/>
        <v/>
      </c>
      <c r="H162" s="19"/>
    </row>
    <row r="163" spans="2:8" ht="20.100000000000001" customHeight="1" x14ac:dyDescent="0.3">
      <c r="B163" s="3" t="str">
        <f t="shared" ref="B163:F163" si="66">IF(L78="","",L78)</f>
        <v/>
      </c>
      <c r="C163" s="2" t="str">
        <f t="shared" si="66"/>
        <v/>
      </c>
      <c r="D163" s="2" t="str">
        <f t="shared" si="66"/>
        <v/>
      </c>
      <c r="E163" s="36" t="str">
        <f t="shared" si="66"/>
        <v/>
      </c>
      <c r="F163" s="3" t="str">
        <f t="shared" si="66"/>
        <v/>
      </c>
      <c r="H163" s="19"/>
    </row>
  </sheetData>
  <sheetProtection algorithmName="SHA-512" hashValue="wId1+8REA8mfphAC8tN7+0kPwmT4N0QEBmMva2k1B/biwGUx4MR2ql6OOkxe8DVGu1S6l3ZZKb2DuVSCyMorKA==" saltValue="rrWoW2QZ7a+N88jsR3UqKg==" spinCount="100000" sheet="1" objects="1" scenarios="1" selectLockedCells="1" selectUnlockedCells="1"/>
  <mergeCells count="3">
    <mergeCell ref="H2:K2"/>
    <mergeCell ref="L2:P2"/>
    <mergeCell ref="B85:F85"/>
  </mergeCells>
  <conditionalFormatting sqref="B89:F163">
    <cfRule type="expression" dxfId="62" priority="2">
      <formula>$B89&lt;&gt;""</formula>
    </cfRule>
  </conditionalFormatting>
  <printOptions horizontalCentered="1"/>
  <pageMargins left="0.59055118110236227" right="0.59055118110236227" top="0.59055118110236227" bottom="0.59055118110236227" header="0.19685039370078741" footer="0.19685039370078741"/>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O49"/>
  <sheetViews>
    <sheetView showGridLines="0" workbookViewId="0">
      <selection activeCell="D10" sqref="D10:D12"/>
    </sheetView>
  </sheetViews>
  <sheetFormatPr baseColWidth="10" defaultColWidth="9.140625" defaultRowHeight="30" customHeight="1" x14ac:dyDescent="0.2"/>
  <cols>
    <col min="1" max="1" width="5.7109375" style="37" customWidth="1"/>
    <col min="2" max="2" width="5.7109375" style="39" hidden="1" customWidth="1"/>
    <col min="3" max="3" width="6.7109375" style="39" customWidth="1"/>
    <col min="4" max="4" width="15.7109375" style="37" customWidth="1"/>
    <col min="5" max="5" width="16.7109375" style="42" customWidth="1"/>
    <col min="6" max="6" width="14.7109375" style="42" customWidth="1"/>
    <col min="7" max="7" width="35.7109375" style="37" customWidth="1"/>
    <col min="8" max="8" width="13.7109375" style="37" customWidth="1"/>
    <col min="9" max="9" width="15.7109375" style="37" customWidth="1"/>
    <col min="10" max="10" width="12.7109375" style="41" customWidth="1"/>
    <col min="11" max="11" width="14.7109375" style="42" customWidth="1"/>
    <col min="12" max="12" width="15.7109375" style="37" customWidth="1"/>
    <col min="13" max="13" width="16.7109375" style="37" customWidth="1"/>
    <col min="14" max="14" width="15.7109375" style="37" customWidth="1"/>
    <col min="15" max="15" width="65.7109375" style="37" customWidth="1"/>
    <col min="16" max="964" width="11.42578125" style="37" customWidth="1"/>
    <col min="965" max="16384" width="9.140625" style="37"/>
  </cols>
  <sheetData>
    <row r="1" spans="2:15" ht="15" customHeight="1" x14ac:dyDescent="0.2"/>
    <row r="2" spans="2:15" ht="20.100000000000001" customHeight="1" x14ac:dyDescent="0.2">
      <c r="C2" s="37"/>
      <c r="D2" s="62"/>
      <c r="E2" s="37"/>
      <c r="F2" s="371" t="s">
        <v>99</v>
      </c>
      <c r="G2" s="371"/>
      <c r="H2" s="371"/>
      <c r="I2" s="371"/>
      <c r="J2" s="371"/>
      <c r="K2" s="371"/>
      <c r="L2" s="371"/>
      <c r="M2" s="371"/>
      <c r="N2" s="371"/>
      <c r="O2" s="371"/>
    </row>
    <row r="3" spans="2:15" ht="20.100000000000001" customHeight="1" x14ac:dyDescent="0.2">
      <c r="C3" s="27"/>
      <c r="D3" s="27"/>
      <c r="E3" s="27"/>
      <c r="F3" s="27"/>
      <c r="G3" s="27"/>
      <c r="H3" s="27"/>
      <c r="I3" s="27"/>
      <c r="J3" s="38"/>
      <c r="K3" s="27"/>
      <c r="L3" s="27"/>
      <c r="M3" s="27"/>
      <c r="N3" s="27"/>
      <c r="O3" s="27"/>
    </row>
    <row r="4" spans="2:15" ht="20.100000000000001" customHeight="1" x14ac:dyDescent="0.2">
      <c r="C4" s="27"/>
      <c r="D4" s="27"/>
      <c r="E4" s="27"/>
      <c r="F4" s="60" t="s">
        <v>24</v>
      </c>
      <c r="G4" s="37" t="str">
        <f>IF('RELACIÓN DE FACTURAS'!Q3="","",'RELACIÓN DE FACTURAS'!Q3)</f>
        <v/>
      </c>
      <c r="H4" s="27"/>
      <c r="I4" s="27"/>
      <c r="J4" s="38"/>
      <c r="K4" s="27"/>
      <c r="L4" s="27"/>
      <c r="M4" s="27"/>
      <c r="N4" s="27"/>
      <c r="O4" s="27"/>
    </row>
    <row r="5" spans="2:15" ht="20.100000000000001" customHeight="1" x14ac:dyDescent="0.2">
      <c r="H5" s="40"/>
      <c r="I5" s="40"/>
      <c r="K5" s="40"/>
      <c r="L5" s="40"/>
      <c r="M5" s="40"/>
      <c r="N5" s="40"/>
      <c r="O5" s="40"/>
    </row>
    <row r="6" spans="2:15" ht="9.9499999999999993" customHeight="1" thickBot="1" x14ac:dyDescent="0.25"/>
    <row r="7" spans="2:15" s="43" customFormat="1" ht="30" customHeight="1" x14ac:dyDescent="0.2">
      <c r="B7" s="38"/>
      <c r="C7" s="386" t="s">
        <v>0</v>
      </c>
      <c r="D7" s="378" t="s">
        <v>8</v>
      </c>
      <c r="E7" s="378" t="s">
        <v>191</v>
      </c>
      <c r="F7" s="379" t="s">
        <v>101</v>
      </c>
      <c r="G7" s="379"/>
      <c r="H7" s="379"/>
      <c r="I7" s="379"/>
      <c r="J7" s="379"/>
      <c r="K7" s="379"/>
      <c r="L7" s="378" t="s">
        <v>192</v>
      </c>
      <c r="M7" s="388" t="s">
        <v>100</v>
      </c>
      <c r="N7" s="389"/>
      <c r="O7" s="372" t="s">
        <v>65</v>
      </c>
    </row>
    <row r="8" spans="2:15" s="43" customFormat="1" ht="69.95" customHeight="1" thickBot="1" x14ac:dyDescent="0.25">
      <c r="B8" s="38"/>
      <c r="C8" s="387"/>
      <c r="D8" s="377"/>
      <c r="E8" s="377"/>
      <c r="F8" s="377" t="s">
        <v>25</v>
      </c>
      <c r="G8" s="377"/>
      <c r="H8" s="68" t="s">
        <v>26</v>
      </c>
      <c r="I8" s="68" t="s">
        <v>193</v>
      </c>
      <c r="J8" s="71" t="s">
        <v>16</v>
      </c>
      <c r="K8" s="72" t="s">
        <v>194</v>
      </c>
      <c r="L8" s="377"/>
      <c r="M8" s="390"/>
      <c r="N8" s="391"/>
      <c r="O8" s="373"/>
    </row>
    <row r="9" spans="2:15" s="44" customFormat="1" ht="9.9499999999999993" customHeight="1" thickBot="1" x14ac:dyDescent="0.25">
      <c r="B9" s="19"/>
      <c r="J9" s="19"/>
    </row>
    <row r="10" spans="2:15" s="2" customFormat="1" ht="35.1" customHeight="1" x14ac:dyDescent="0.2">
      <c r="B10" s="3">
        <f>IF(K10="",0,1)</f>
        <v>0</v>
      </c>
      <c r="C10" s="380">
        <v>1</v>
      </c>
      <c r="D10" s="383"/>
      <c r="E10" s="374"/>
      <c r="F10" s="73" t="s">
        <v>97</v>
      </c>
      <c r="G10" s="77"/>
      <c r="H10" s="78"/>
      <c r="I10" s="79"/>
      <c r="J10" s="80"/>
      <c r="K10" s="81"/>
      <c r="L10" s="20"/>
      <c r="M10" s="392" t="str">
        <f>IF(AND(K10="",K11="",K12=""),"",IF(AND(SUM(B10:B12)&gt;=1,E10=""),"CUMPLIMENTAR EL IMPORTE DEL GASTO O INVERSIÓN REALIZADO",IF(AND(SUM(B10:B12)&gt;=1,SUM(B10:B12)&lt;3),"CUMPLIMENTAR LAS OFERTAS ALTERNATIVAS O APORTAR INFORME JUSTIFICATIVO",IF(K10&gt;MIN(K10:K12),"LA OFERTA SELECCIONADA NO ES LA DE MENOR IMPORTE. APORTAR INFORME JUSTIFICATIVO",IF(E10&lt;SMALL(K10:K12,2),"","INSERTAR INFORME JUSTIFICATIVO")))))</f>
        <v/>
      </c>
      <c r="N10" s="395"/>
      <c r="O10" s="45"/>
    </row>
    <row r="11" spans="2:15" s="2" customFormat="1" ht="35.1" customHeight="1" x14ac:dyDescent="0.2">
      <c r="B11" s="3">
        <f t="shared" ref="B11:B12" si="0">IF(K11="",0,1)</f>
        <v>0</v>
      </c>
      <c r="C11" s="381"/>
      <c r="D11" s="384"/>
      <c r="E11" s="375"/>
      <c r="F11" s="74" t="s">
        <v>98</v>
      </c>
      <c r="G11" s="46"/>
      <c r="H11" s="21"/>
      <c r="I11" s="47"/>
      <c r="J11" s="48"/>
      <c r="K11" s="22"/>
      <c r="L11" s="23"/>
      <c r="M11" s="393"/>
      <c r="N11" s="396"/>
      <c r="O11" s="49"/>
    </row>
    <row r="12" spans="2:15" s="2" customFormat="1" ht="35.1" customHeight="1" thickBot="1" x14ac:dyDescent="0.25">
      <c r="B12" s="3">
        <f t="shared" si="0"/>
        <v>0</v>
      </c>
      <c r="C12" s="382"/>
      <c r="D12" s="385"/>
      <c r="E12" s="376"/>
      <c r="F12" s="75" t="s">
        <v>98</v>
      </c>
      <c r="G12" s="50"/>
      <c r="H12" s="24"/>
      <c r="I12" s="51"/>
      <c r="J12" s="52"/>
      <c r="K12" s="25"/>
      <c r="L12" s="26"/>
      <c r="M12" s="394"/>
      <c r="N12" s="397"/>
      <c r="O12" s="53"/>
    </row>
    <row r="13" spans="2:15" s="2" customFormat="1" ht="9.9499999999999993" customHeight="1" thickBot="1" x14ac:dyDescent="0.25">
      <c r="B13" s="3"/>
    </row>
    <row r="14" spans="2:15" s="2" customFormat="1" ht="35.1" customHeight="1" x14ac:dyDescent="0.2">
      <c r="B14" s="3">
        <f>IF(K14="",0,1)</f>
        <v>0</v>
      </c>
      <c r="C14" s="380">
        <v>2</v>
      </c>
      <c r="D14" s="383"/>
      <c r="E14" s="374"/>
      <c r="F14" s="73" t="s">
        <v>97</v>
      </c>
      <c r="G14" s="77"/>
      <c r="H14" s="78"/>
      <c r="I14" s="79"/>
      <c r="J14" s="80"/>
      <c r="K14" s="81"/>
      <c r="L14" s="20"/>
      <c r="M14" s="392" t="str">
        <f>IF(AND(K14="",K15="",K16=""),"",IF(AND(SUM(B14:B16)&gt;=1,E14=""),"CUMPLIMENTAR EL IMPORTE DEL GASTO O INVERSIÓN REALIZADO",IF(AND(SUM(B14:B16)&gt;=1,SUM(B14:B16)&lt;3),"CUMPLIMENTAR LAS OFERTAS ALTERNATIVAS O APORTAR INFORME JUSTIFICATIVO",IF(K14&gt;MIN(K14:K16),"LA OFERTA SELECCIONADA NO ES LA DE MENOR IMPORTE. APORTAR INFORME JUSTIFICATIVO",IF(E14&lt;SMALL(K14:K16,2),"","INSERTAR INFORME JUSTIFICATIVO")))))</f>
        <v/>
      </c>
      <c r="N14" s="395"/>
      <c r="O14" s="54"/>
    </row>
    <row r="15" spans="2:15" s="2" customFormat="1" ht="35.1" customHeight="1" x14ac:dyDescent="0.2">
      <c r="B15" s="3">
        <f t="shared" ref="B15:B16" si="1">IF(K15="",0,1)</f>
        <v>0</v>
      </c>
      <c r="C15" s="381"/>
      <c r="D15" s="384"/>
      <c r="E15" s="375"/>
      <c r="F15" s="74" t="s">
        <v>98</v>
      </c>
      <c r="G15" s="46"/>
      <c r="H15" s="21"/>
      <c r="I15" s="47"/>
      <c r="J15" s="48"/>
      <c r="K15" s="22"/>
      <c r="L15" s="23"/>
      <c r="M15" s="393"/>
      <c r="N15" s="396"/>
      <c r="O15" s="55"/>
    </row>
    <row r="16" spans="2:15" s="2" customFormat="1" ht="35.1" customHeight="1" thickBot="1" x14ac:dyDescent="0.25">
      <c r="B16" s="3">
        <f t="shared" si="1"/>
        <v>0</v>
      </c>
      <c r="C16" s="382"/>
      <c r="D16" s="385"/>
      <c r="E16" s="376"/>
      <c r="F16" s="75" t="s">
        <v>98</v>
      </c>
      <c r="G16" s="50"/>
      <c r="H16" s="24"/>
      <c r="I16" s="51"/>
      <c r="J16" s="52"/>
      <c r="K16" s="25"/>
      <c r="L16" s="26"/>
      <c r="M16" s="394"/>
      <c r="N16" s="397"/>
      <c r="O16" s="56"/>
    </row>
    <row r="17" spans="2:15" s="2" customFormat="1" ht="9.9499999999999993" customHeight="1" thickBot="1" x14ac:dyDescent="0.25">
      <c r="B17" s="3"/>
    </row>
    <row r="18" spans="2:15" s="2" customFormat="1" ht="35.1" customHeight="1" x14ac:dyDescent="0.2">
      <c r="B18" s="3">
        <f>IF(K18="",0,1)</f>
        <v>0</v>
      </c>
      <c r="C18" s="380">
        <v>3</v>
      </c>
      <c r="D18" s="383"/>
      <c r="E18" s="374"/>
      <c r="F18" s="73" t="s">
        <v>97</v>
      </c>
      <c r="G18" s="77"/>
      <c r="H18" s="78"/>
      <c r="I18" s="79"/>
      <c r="J18" s="80"/>
      <c r="K18" s="81"/>
      <c r="L18" s="20"/>
      <c r="M18" s="392" t="str">
        <f>IF(AND(K18="",K19="",K20=""),"",IF(AND(SUM(B18:B20)&gt;=1,E18=""),"CUMPLIMENTAR EL IMPORTE DEL GASTO O INVERSIÓN REALIZADO",IF(AND(SUM(B18:B20)&gt;=1,SUM(B18:B20)&lt;3),"CUMPLIMENTAR LAS OFERTAS ALTERNATIVAS O APORTAR INFORME JUSTIFICATIVO",IF(K18&gt;MIN(K18:K20),"LA OFERTA SELECCIONADA NO ES LA DE MENOR IMPORTE. APORTAR INFORME JUSTIFICATIVO",IF(E18&lt;SMALL(K18:K20,2),"","INSERTAR INFORME JUSTIFICATIVO")))))</f>
        <v/>
      </c>
      <c r="N18" s="395"/>
      <c r="O18" s="54"/>
    </row>
    <row r="19" spans="2:15" s="2" customFormat="1" ht="35.1" customHeight="1" x14ac:dyDescent="0.2">
      <c r="B19" s="3">
        <f t="shared" ref="B19:B20" si="2">IF(K19="",0,1)</f>
        <v>0</v>
      </c>
      <c r="C19" s="381"/>
      <c r="D19" s="384"/>
      <c r="E19" s="375"/>
      <c r="F19" s="74" t="s">
        <v>98</v>
      </c>
      <c r="G19" s="46"/>
      <c r="H19" s="21"/>
      <c r="I19" s="47"/>
      <c r="J19" s="48"/>
      <c r="K19" s="22"/>
      <c r="L19" s="23"/>
      <c r="M19" s="393"/>
      <c r="N19" s="396"/>
      <c r="O19" s="55"/>
    </row>
    <row r="20" spans="2:15" s="2" customFormat="1" ht="35.1" customHeight="1" thickBot="1" x14ac:dyDescent="0.25">
      <c r="B20" s="3">
        <f t="shared" si="2"/>
        <v>0</v>
      </c>
      <c r="C20" s="382"/>
      <c r="D20" s="385"/>
      <c r="E20" s="376"/>
      <c r="F20" s="75" t="s">
        <v>98</v>
      </c>
      <c r="G20" s="50"/>
      <c r="H20" s="24"/>
      <c r="I20" s="51"/>
      <c r="J20" s="52"/>
      <c r="K20" s="25"/>
      <c r="L20" s="26"/>
      <c r="M20" s="394"/>
      <c r="N20" s="397"/>
      <c r="O20" s="56"/>
    </row>
    <row r="21" spans="2:15" s="2" customFormat="1" ht="9.9499999999999993" customHeight="1" thickBot="1" x14ac:dyDescent="0.25">
      <c r="B21" s="3"/>
    </row>
    <row r="22" spans="2:15" s="2" customFormat="1" ht="35.1" customHeight="1" x14ac:dyDescent="0.2">
      <c r="B22" s="3">
        <f>IF(K22="",0,1)</f>
        <v>0</v>
      </c>
      <c r="C22" s="380">
        <v>4</v>
      </c>
      <c r="D22" s="383"/>
      <c r="E22" s="374"/>
      <c r="F22" s="73" t="s">
        <v>97</v>
      </c>
      <c r="G22" s="77"/>
      <c r="H22" s="78"/>
      <c r="I22" s="79"/>
      <c r="J22" s="80"/>
      <c r="K22" s="81"/>
      <c r="L22" s="20"/>
      <c r="M22" s="392" t="str">
        <f>IF(AND(K22="",K23="",K24=""),"",IF(AND(SUM(B22:B24)&gt;=1,E22=""),"CUMPLIMENTAR EL IMPORTE DEL GASTO O INVERSIÓN REALIZADO",IF(AND(SUM(B22:B24)&gt;=1,SUM(B22:B24)&lt;3),"CUMPLIMENTAR LAS OFERTAS ALTERNATIVAS O APORTAR INFORME JUSTIFICATIVO",IF(K22&gt;MIN(K22:K24),"LA OFERTA SELECCIONADA NO ES LA DE MENOR IMPORTE. APORTAR INFORME JUSTIFICATIVO",IF(E22&lt;SMALL(K22:K24,2),"","INSERTAR INFORME JUSTIFICATIVO")))))</f>
        <v/>
      </c>
      <c r="N22" s="395"/>
      <c r="O22" s="54"/>
    </row>
    <row r="23" spans="2:15" s="2" customFormat="1" ht="35.1" customHeight="1" x14ac:dyDescent="0.2">
      <c r="B23" s="3">
        <f t="shared" ref="B23:B24" si="3">IF(K23="",0,1)</f>
        <v>0</v>
      </c>
      <c r="C23" s="381"/>
      <c r="D23" s="384"/>
      <c r="E23" s="375"/>
      <c r="F23" s="74" t="s">
        <v>98</v>
      </c>
      <c r="G23" s="46"/>
      <c r="H23" s="21"/>
      <c r="I23" s="47"/>
      <c r="J23" s="48"/>
      <c r="K23" s="22"/>
      <c r="L23" s="23"/>
      <c r="M23" s="393"/>
      <c r="N23" s="396"/>
      <c r="O23" s="55"/>
    </row>
    <row r="24" spans="2:15" s="2" customFormat="1" ht="35.1" customHeight="1" thickBot="1" x14ac:dyDescent="0.25">
      <c r="B24" s="3">
        <f t="shared" si="3"/>
        <v>0</v>
      </c>
      <c r="C24" s="382"/>
      <c r="D24" s="385"/>
      <c r="E24" s="376"/>
      <c r="F24" s="75" t="s">
        <v>98</v>
      </c>
      <c r="G24" s="50"/>
      <c r="H24" s="24"/>
      <c r="I24" s="51"/>
      <c r="J24" s="52"/>
      <c r="K24" s="25"/>
      <c r="L24" s="26"/>
      <c r="M24" s="394"/>
      <c r="N24" s="397"/>
      <c r="O24" s="56"/>
    </row>
    <row r="25" spans="2:15" s="2" customFormat="1" ht="9.9499999999999993" customHeight="1" thickBot="1" x14ac:dyDescent="0.25">
      <c r="B25" s="3"/>
    </row>
    <row r="26" spans="2:15" s="2" customFormat="1" ht="35.1" customHeight="1" x14ac:dyDescent="0.2">
      <c r="B26" s="3">
        <f>IF(K26="",0,1)</f>
        <v>0</v>
      </c>
      <c r="C26" s="380">
        <v>5</v>
      </c>
      <c r="D26" s="383"/>
      <c r="E26" s="374"/>
      <c r="F26" s="73" t="s">
        <v>97</v>
      </c>
      <c r="G26" s="77"/>
      <c r="H26" s="78"/>
      <c r="I26" s="79"/>
      <c r="J26" s="80"/>
      <c r="K26" s="81"/>
      <c r="L26" s="20"/>
      <c r="M26" s="392" t="str">
        <f>IF(AND(K26="",K27="",K28=""),"",IF(AND(SUM(B26:B28)&gt;=1,E26=""),"CUMPLIMENTAR EL IMPORTE DEL GASTO O INVERSIÓN REALIZADO",IF(AND(SUM(B26:B28)&gt;=1,SUM(B26:B28)&lt;3),"CUMPLIMENTAR LAS OFERTAS ALTERNATIVAS O APORTAR INFORME JUSTIFICATIVO",IF(K26&gt;MIN(K26:K28),"LA OFERTA SELECCIONADA NO ES LA DE MENOR IMPORTE. APORTAR INFORME JUSTIFICATIVO",IF(E26&lt;SMALL(K26:K28,2),"","INSERTAR INFORME JUSTIFICATIVO")))))</f>
        <v/>
      </c>
      <c r="N26" s="395"/>
      <c r="O26" s="54"/>
    </row>
    <row r="27" spans="2:15" s="2" customFormat="1" ht="35.1" customHeight="1" x14ac:dyDescent="0.2">
      <c r="B27" s="3">
        <f t="shared" ref="B27:B28" si="4">IF(K27="",0,1)</f>
        <v>0</v>
      </c>
      <c r="C27" s="381"/>
      <c r="D27" s="384"/>
      <c r="E27" s="375"/>
      <c r="F27" s="74" t="s">
        <v>98</v>
      </c>
      <c r="G27" s="46"/>
      <c r="H27" s="21"/>
      <c r="I27" s="47"/>
      <c r="J27" s="48"/>
      <c r="K27" s="22"/>
      <c r="L27" s="23"/>
      <c r="M27" s="393"/>
      <c r="N27" s="396"/>
      <c r="O27" s="55"/>
    </row>
    <row r="28" spans="2:15" s="2" customFormat="1" ht="35.1" customHeight="1" thickBot="1" x14ac:dyDescent="0.25">
      <c r="B28" s="3">
        <f t="shared" si="4"/>
        <v>0</v>
      </c>
      <c r="C28" s="382"/>
      <c r="D28" s="385"/>
      <c r="E28" s="376"/>
      <c r="F28" s="75" t="s">
        <v>98</v>
      </c>
      <c r="G28" s="50"/>
      <c r="H28" s="24"/>
      <c r="I28" s="51"/>
      <c r="J28" s="52"/>
      <c r="K28" s="25"/>
      <c r="L28" s="26"/>
      <c r="M28" s="394"/>
      <c r="N28" s="397"/>
      <c r="O28" s="56"/>
    </row>
    <row r="29" spans="2:15" s="2" customFormat="1" ht="9.9499999999999993" customHeight="1" thickBot="1" x14ac:dyDescent="0.25">
      <c r="B29" s="3"/>
    </row>
    <row r="30" spans="2:15" s="2" customFormat="1" ht="35.1" customHeight="1" x14ac:dyDescent="0.2">
      <c r="B30" s="3">
        <f>IF(K30="",0,1)</f>
        <v>0</v>
      </c>
      <c r="C30" s="380">
        <v>6</v>
      </c>
      <c r="D30" s="383"/>
      <c r="E30" s="374"/>
      <c r="F30" s="73" t="s">
        <v>97</v>
      </c>
      <c r="G30" s="77"/>
      <c r="H30" s="78"/>
      <c r="I30" s="79"/>
      <c r="J30" s="80"/>
      <c r="K30" s="81"/>
      <c r="L30" s="20"/>
      <c r="M30" s="392" t="str">
        <f>IF(AND(K30="",K31="",K32=""),"",IF(AND(SUM(B30:B32)&gt;=1,E30=""),"CUMPLIMENTAR EL IMPORTE DEL GASTO O INVERSIÓN REALIZADO",IF(AND(SUM(B30:B32)&gt;=1,SUM(B30:B32)&lt;3),"CUMPLIMENTAR LAS OFERTAS ALTERNATIVAS O APORTAR INFORME JUSTIFICATIVO",IF(K30&gt;MIN(K30:K32),"LA OFERTA SELECCIONADA NO ES LA DE MENOR IMPORTE. APORTAR INFORME JUSTIFICATIVO",IF(E30&lt;SMALL(K30:K32,2),"","INSERTAR INFORME JUSTIFICATIVO")))))</f>
        <v/>
      </c>
      <c r="N30" s="395"/>
      <c r="O30" s="54"/>
    </row>
    <row r="31" spans="2:15" s="2" customFormat="1" ht="35.1" customHeight="1" x14ac:dyDescent="0.2">
      <c r="B31" s="3">
        <f t="shared" ref="B31:B32" si="5">IF(K31="",0,1)</f>
        <v>0</v>
      </c>
      <c r="C31" s="381"/>
      <c r="D31" s="384"/>
      <c r="E31" s="375"/>
      <c r="F31" s="74" t="s">
        <v>98</v>
      </c>
      <c r="G31" s="46"/>
      <c r="H31" s="21"/>
      <c r="I31" s="47"/>
      <c r="J31" s="48"/>
      <c r="K31" s="22"/>
      <c r="L31" s="23"/>
      <c r="M31" s="393"/>
      <c r="N31" s="396"/>
      <c r="O31" s="55"/>
    </row>
    <row r="32" spans="2:15" s="2" customFormat="1" ht="35.1" customHeight="1" thickBot="1" x14ac:dyDescent="0.25">
      <c r="B32" s="3">
        <f t="shared" si="5"/>
        <v>0</v>
      </c>
      <c r="C32" s="382"/>
      <c r="D32" s="385"/>
      <c r="E32" s="376"/>
      <c r="F32" s="75" t="s">
        <v>98</v>
      </c>
      <c r="G32" s="50"/>
      <c r="H32" s="24"/>
      <c r="I32" s="51"/>
      <c r="J32" s="52"/>
      <c r="K32" s="25"/>
      <c r="L32" s="26"/>
      <c r="M32" s="394"/>
      <c r="N32" s="397"/>
      <c r="O32" s="56"/>
    </row>
    <row r="33" spans="2:15" s="2" customFormat="1" ht="9.9499999999999993" customHeight="1" thickBot="1" x14ac:dyDescent="0.25">
      <c r="B33" s="3"/>
    </row>
    <row r="34" spans="2:15" s="2" customFormat="1" ht="35.1" customHeight="1" x14ac:dyDescent="0.2">
      <c r="B34" s="3">
        <f>IF(K34="",0,1)</f>
        <v>0</v>
      </c>
      <c r="C34" s="380">
        <v>7</v>
      </c>
      <c r="D34" s="383"/>
      <c r="E34" s="374"/>
      <c r="F34" s="73" t="s">
        <v>97</v>
      </c>
      <c r="G34" s="77"/>
      <c r="H34" s="78"/>
      <c r="I34" s="79"/>
      <c r="J34" s="80"/>
      <c r="K34" s="81"/>
      <c r="L34" s="20"/>
      <c r="M34" s="392" t="str">
        <f>IF(AND(K34="",K35="",K36=""),"",IF(AND(SUM(B34:B36)&gt;=1,E34=""),"CUMPLIMENTAR EL IMPORTE DEL GASTO O INVERSIÓN REALIZADO",IF(AND(SUM(B34:B36)&gt;=1,SUM(B34:B36)&lt;3),"CUMPLIMENTAR LAS OFERTAS ALTERNATIVAS O APORTAR INFORME JUSTIFICATIVO",IF(K34&gt;MIN(K34:K36),"LA OFERTA SELECCIONADA NO ES LA DE MENOR IMPORTE. APORTAR INFORME JUSTIFICATIVO",IF(E34&lt;SMALL(K34:K36,2),"","INSERTAR INFORME JUSTIFICATIVO")))))</f>
        <v/>
      </c>
      <c r="N34" s="395"/>
      <c r="O34" s="54"/>
    </row>
    <row r="35" spans="2:15" s="2" customFormat="1" ht="35.1" customHeight="1" x14ac:dyDescent="0.2">
      <c r="B35" s="3">
        <f t="shared" ref="B35:B36" si="6">IF(K35="",0,1)</f>
        <v>0</v>
      </c>
      <c r="C35" s="381"/>
      <c r="D35" s="384"/>
      <c r="E35" s="375"/>
      <c r="F35" s="74" t="s">
        <v>98</v>
      </c>
      <c r="G35" s="46"/>
      <c r="H35" s="21"/>
      <c r="I35" s="47"/>
      <c r="J35" s="48"/>
      <c r="K35" s="22"/>
      <c r="L35" s="23"/>
      <c r="M35" s="393"/>
      <c r="N35" s="396"/>
      <c r="O35" s="55"/>
    </row>
    <row r="36" spans="2:15" s="2" customFormat="1" ht="35.1" customHeight="1" thickBot="1" x14ac:dyDescent="0.25">
      <c r="B36" s="3">
        <f t="shared" si="6"/>
        <v>0</v>
      </c>
      <c r="C36" s="382"/>
      <c r="D36" s="385"/>
      <c r="E36" s="376"/>
      <c r="F36" s="75" t="s">
        <v>98</v>
      </c>
      <c r="G36" s="50"/>
      <c r="H36" s="24"/>
      <c r="I36" s="51"/>
      <c r="J36" s="52"/>
      <c r="K36" s="25"/>
      <c r="L36" s="26"/>
      <c r="M36" s="394"/>
      <c r="N36" s="397"/>
      <c r="O36" s="56"/>
    </row>
    <row r="37" spans="2:15" s="2" customFormat="1" ht="9.9499999999999993" customHeight="1" thickBot="1" x14ac:dyDescent="0.25">
      <c r="B37" s="3"/>
    </row>
    <row r="38" spans="2:15" s="2" customFormat="1" ht="35.1" customHeight="1" x14ac:dyDescent="0.2">
      <c r="B38" s="3">
        <f>IF(K38="",0,1)</f>
        <v>0</v>
      </c>
      <c r="C38" s="380">
        <v>8</v>
      </c>
      <c r="D38" s="383"/>
      <c r="E38" s="374"/>
      <c r="F38" s="73" t="s">
        <v>97</v>
      </c>
      <c r="G38" s="77"/>
      <c r="H38" s="78"/>
      <c r="I38" s="79"/>
      <c r="J38" s="80"/>
      <c r="K38" s="81"/>
      <c r="L38" s="20"/>
      <c r="M38" s="392" t="str">
        <f>IF(AND(K38="",K39="",K40=""),"",IF(AND(SUM(B38:B40)&gt;=1,E38=""),"CUMPLIMENTAR EL IMPORTE DEL GASTO O INVERSIÓN REALIZADO",IF(AND(SUM(B38:B40)&gt;=1,SUM(B38:B40)&lt;3),"CUMPLIMENTAR LAS OFERTAS ALTERNATIVAS O APORTAR INFORME JUSTIFICATIVO",IF(K38&gt;MIN(K38:K40),"LA OFERTA SELECCIONADA NO ES LA DE MENOR IMPORTE. APORTAR INFORME JUSTIFICATIVO",IF(E38&lt;SMALL(K38:K40,2),"","INSERTAR INFORME JUSTIFICATIVO")))))</f>
        <v/>
      </c>
      <c r="N38" s="395"/>
      <c r="O38" s="54"/>
    </row>
    <row r="39" spans="2:15" s="2" customFormat="1" ht="35.1" customHeight="1" x14ac:dyDescent="0.2">
      <c r="B39" s="3">
        <f t="shared" ref="B39:B40" si="7">IF(K39="",0,1)</f>
        <v>0</v>
      </c>
      <c r="C39" s="381"/>
      <c r="D39" s="384"/>
      <c r="E39" s="375"/>
      <c r="F39" s="74" t="s">
        <v>98</v>
      </c>
      <c r="G39" s="46"/>
      <c r="H39" s="21"/>
      <c r="I39" s="47"/>
      <c r="J39" s="48"/>
      <c r="K39" s="22"/>
      <c r="L39" s="23"/>
      <c r="M39" s="393"/>
      <c r="N39" s="396"/>
      <c r="O39" s="55"/>
    </row>
    <row r="40" spans="2:15" s="2" customFormat="1" ht="35.1" customHeight="1" thickBot="1" x14ac:dyDescent="0.25">
      <c r="B40" s="3">
        <f t="shared" si="7"/>
        <v>0</v>
      </c>
      <c r="C40" s="382"/>
      <c r="D40" s="385"/>
      <c r="E40" s="376"/>
      <c r="F40" s="75" t="s">
        <v>98</v>
      </c>
      <c r="G40" s="50"/>
      <c r="H40" s="24"/>
      <c r="I40" s="51"/>
      <c r="J40" s="52"/>
      <c r="K40" s="25"/>
      <c r="L40" s="26"/>
      <c r="M40" s="394"/>
      <c r="N40" s="397"/>
      <c r="O40" s="56"/>
    </row>
    <row r="41" spans="2:15" s="2" customFormat="1" ht="9.9499999999999993" customHeight="1" thickBot="1" x14ac:dyDescent="0.25">
      <c r="B41" s="3"/>
    </row>
    <row r="42" spans="2:15" s="2" customFormat="1" ht="35.1" customHeight="1" x14ac:dyDescent="0.2">
      <c r="B42" s="3">
        <f>IF(K42="",0,1)</f>
        <v>0</v>
      </c>
      <c r="C42" s="380">
        <v>9</v>
      </c>
      <c r="D42" s="383"/>
      <c r="E42" s="374"/>
      <c r="F42" s="73" t="s">
        <v>97</v>
      </c>
      <c r="G42" s="77"/>
      <c r="H42" s="78"/>
      <c r="I42" s="79"/>
      <c r="J42" s="80"/>
      <c r="K42" s="81"/>
      <c r="L42" s="20"/>
      <c r="M42" s="392" t="str">
        <f>IF(AND(K42="",K43="",K44=""),"",IF(AND(SUM(B42:B44)&gt;=1,E42=""),"CUMPLIMENTAR EL IMPORTE DEL GASTO O INVERSIÓN REALIZADO",IF(AND(SUM(B42:B44)&gt;=1,SUM(B42:B44)&lt;3),"CUMPLIMENTAR LAS OFERTAS ALTERNATIVAS O APORTAR INFORME JUSTIFICATIVO",IF(K42&gt;MIN(K42:K44),"LA OFERTA SELECCIONADA NO ES LA DE MENOR IMPORTE. APORTAR INFORME JUSTIFICATIVO",IF(E42&lt;SMALL(K42:K44,2),"","INSERTAR INFORME JUSTIFICATIVO")))))</f>
        <v/>
      </c>
      <c r="N42" s="395"/>
      <c r="O42" s="54"/>
    </row>
    <row r="43" spans="2:15" s="2" customFormat="1" ht="35.1" customHeight="1" x14ac:dyDescent="0.2">
      <c r="B43" s="3">
        <f t="shared" ref="B43:B44" si="8">IF(K43="",0,1)</f>
        <v>0</v>
      </c>
      <c r="C43" s="381"/>
      <c r="D43" s="384"/>
      <c r="E43" s="375"/>
      <c r="F43" s="74" t="s">
        <v>98</v>
      </c>
      <c r="G43" s="46"/>
      <c r="H43" s="21"/>
      <c r="I43" s="47"/>
      <c r="J43" s="48"/>
      <c r="K43" s="22"/>
      <c r="L43" s="23"/>
      <c r="M43" s="393"/>
      <c r="N43" s="396"/>
      <c r="O43" s="55"/>
    </row>
    <row r="44" spans="2:15" s="2" customFormat="1" ht="35.1" customHeight="1" thickBot="1" x14ac:dyDescent="0.25">
      <c r="B44" s="3">
        <f t="shared" si="8"/>
        <v>0</v>
      </c>
      <c r="C44" s="382"/>
      <c r="D44" s="385"/>
      <c r="E44" s="376"/>
      <c r="F44" s="75" t="s">
        <v>98</v>
      </c>
      <c r="G44" s="50"/>
      <c r="H44" s="24"/>
      <c r="I44" s="51"/>
      <c r="J44" s="52"/>
      <c r="K44" s="25"/>
      <c r="L44" s="26"/>
      <c r="M44" s="394"/>
      <c r="N44" s="397"/>
      <c r="O44" s="56"/>
    </row>
    <row r="45" spans="2:15" s="2" customFormat="1" ht="9.9499999999999993" customHeight="1" thickBot="1" x14ac:dyDescent="0.25">
      <c r="B45" s="3"/>
    </row>
    <row r="46" spans="2:15" s="2" customFormat="1" ht="35.1" customHeight="1" x14ac:dyDescent="0.2">
      <c r="B46" s="3">
        <f>IF(K46="",0,1)</f>
        <v>0</v>
      </c>
      <c r="C46" s="380">
        <v>10</v>
      </c>
      <c r="D46" s="383"/>
      <c r="E46" s="374"/>
      <c r="F46" s="73" t="s">
        <v>97</v>
      </c>
      <c r="G46" s="77"/>
      <c r="H46" s="78"/>
      <c r="I46" s="79"/>
      <c r="J46" s="80"/>
      <c r="K46" s="81"/>
      <c r="L46" s="20"/>
      <c r="M46" s="392" t="str">
        <f>IF(AND(K46="",K47="",K48=""),"",IF(AND(SUM(B46:B48)&gt;=1,E46=""),"CUMPLIMENTAR EL IMPORTE DEL GASTO O INVERSIÓN REALIZADO",IF(AND(SUM(B46:B48)&gt;=1,SUM(B46:B48)&lt;3),"CUMPLIMENTAR LAS OFERTAS ALTERNATIVAS O APORTAR INFORME JUSTIFICATIVO",IF(K46&gt;MIN(K46:K48),"LA OFERTA SELECCIONADA NO ES LA DE MENOR IMPORTE. APORTAR INFORME JUSTIFICATIVO",IF(E46&lt;SMALL(K46:K48,2),"","INSERTAR INFORME JUSTIFICATIVO")))))</f>
        <v/>
      </c>
      <c r="N46" s="395"/>
      <c r="O46" s="54"/>
    </row>
    <row r="47" spans="2:15" s="2" customFormat="1" ht="35.1" customHeight="1" x14ac:dyDescent="0.2">
      <c r="B47" s="3">
        <f t="shared" ref="B47:B48" si="9">IF(K47="",0,1)</f>
        <v>0</v>
      </c>
      <c r="C47" s="381"/>
      <c r="D47" s="384"/>
      <c r="E47" s="375"/>
      <c r="F47" s="74" t="s">
        <v>98</v>
      </c>
      <c r="G47" s="46"/>
      <c r="H47" s="21"/>
      <c r="I47" s="47"/>
      <c r="J47" s="48"/>
      <c r="K47" s="22"/>
      <c r="L47" s="23"/>
      <c r="M47" s="393"/>
      <c r="N47" s="396"/>
      <c r="O47" s="55"/>
    </row>
    <row r="48" spans="2:15" s="2" customFormat="1" ht="35.1" customHeight="1" thickBot="1" x14ac:dyDescent="0.25">
      <c r="B48" s="3">
        <f t="shared" si="9"/>
        <v>0</v>
      </c>
      <c r="C48" s="382"/>
      <c r="D48" s="385"/>
      <c r="E48" s="376"/>
      <c r="F48" s="75" t="s">
        <v>98</v>
      </c>
      <c r="G48" s="50"/>
      <c r="H48" s="24"/>
      <c r="I48" s="51"/>
      <c r="J48" s="52"/>
      <c r="K48" s="25"/>
      <c r="L48" s="26"/>
      <c r="M48" s="394"/>
      <c r="N48" s="397"/>
      <c r="O48" s="56"/>
    </row>
    <row r="49" spans="2:2" s="2" customFormat="1" ht="9.9499999999999993" customHeight="1" x14ac:dyDescent="0.2">
      <c r="B49" s="3"/>
    </row>
  </sheetData>
  <sheetProtection algorithmName="SHA-512" hashValue="ovHVbvzKgAGUKHFCKFaq/1Di6kZ2a6F1MNx8Us6uL2RAqGa3VktHixiT1HQ4Zf7dp3FvH7UnRmIj/nzLou1kVQ==" saltValue="BjwNPmUGkbPYIg8Zd2vMHQ==" spinCount="100000" sheet="1" selectLockedCells="1"/>
  <mergeCells count="59">
    <mergeCell ref="M42:M44"/>
    <mergeCell ref="N42:N44"/>
    <mergeCell ref="M46:M48"/>
    <mergeCell ref="N46:N48"/>
    <mergeCell ref="M30:M32"/>
    <mergeCell ref="N30:N32"/>
    <mergeCell ref="M34:M36"/>
    <mergeCell ref="N34:N36"/>
    <mergeCell ref="M38:M40"/>
    <mergeCell ref="N38:N40"/>
    <mergeCell ref="E22:E24"/>
    <mergeCell ref="E26:E28"/>
    <mergeCell ref="E7:E8"/>
    <mergeCell ref="M7:N8"/>
    <mergeCell ref="M10:M12"/>
    <mergeCell ref="N10:N12"/>
    <mergeCell ref="N14:N16"/>
    <mergeCell ref="M18:M20"/>
    <mergeCell ref="N18:N20"/>
    <mergeCell ref="M22:M24"/>
    <mergeCell ref="N22:N24"/>
    <mergeCell ref="M14:M16"/>
    <mergeCell ref="M26:M28"/>
    <mergeCell ref="N26:N28"/>
    <mergeCell ref="D34:D36"/>
    <mergeCell ref="C22:C24"/>
    <mergeCell ref="D22:D24"/>
    <mergeCell ref="C26:C28"/>
    <mergeCell ref="D26:D28"/>
    <mergeCell ref="C7:C8"/>
    <mergeCell ref="D7:D8"/>
    <mergeCell ref="E30:E32"/>
    <mergeCell ref="E34:E36"/>
    <mergeCell ref="C46:C48"/>
    <mergeCell ref="D46:D48"/>
    <mergeCell ref="C38:C40"/>
    <mergeCell ref="D38:D40"/>
    <mergeCell ref="C42:C44"/>
    <mergeCell ref="D42:D44"/>
    <mergeCell ref="E38:E40"/>
    <mergeCell ref="E42:E44"/>
    <mergeCell ref="E46:E48"/>
    <mergeCell ref="C30:C32"/>
    <mergeCell ref="D30:D32"/>
    <mergeCell ref="C34:C36"/>
    <mergeCell ref="C14:C16"/>
    <mergeCell ref="D14:D16"/>
    <mergeCell ref="C18:C20"/>
    <mergeCell ref="D18:D20"/>
    <mergeCell ref="C10:C12"/>
    <mergeCell ref="D10:D12"/>
    <mergeCell ref="F2:O2"/>
    <mergeCell ref="O7:O8"/>
    <mergeCell ref="E14:E16"/>
    <mergeCell ref="E18:E20"/>
    <mergeCell ref="F8:G8"/>
    <mergeCell ref="L7:L8"/>
    <mergeCell ref="F7:K7"/>
    <mergeCell ref="E10:E12"/>
  </mergeCells>
  <phoneticPr fontId="4" type="noConversion"/>
  <conditionalFormatting sqref="E10:E12">
    <cfRule type="expression" dxfId="61" priority="30">
      <formula>M10="CUMPLIMENTAR EL IMPORTE DEL GASTO O INVERSIÓN REALIZADO"</formula>
    </cfRule>
  </conditionalFormatting>
  <conditionalFormatting sqref="E14:E16">
    <cfRule type="expression" dxfId="60" priority="19">
      <formula>M14="CUMPLIMENTAR EL IMPORTE DEL GASTO O INVERSIÓN REALIZADO"</formula>
    </cfRule>
  </conditionalFormatting>
  <conditionalFormatting sqref="E18:E20">
    <cfRule type="expression" dxfId="59" priority="8">
      <formula>M18="CUMPLIMENTAR EL IMPORTE DEL GASTO O INVERSIÓN REALIZADO"</formula>
    </cfRule>
  </conditionalFormatting>
  <conditionalFormatting sqref="E22:E24">
    <cfRule type="expression" dxfId="58" priority="7">
      <formula>M22="CUMPLIMENTAR EL IMPORTE DEL GASTO O INVERSIÓN REALIZADO"</formula>
    </cfRule>
  </conditionalFormatting>
  <conditionalFormatting sqref="E26:E28">
    <cfRule type="expression" dxfId="57" priority="6">
      <formula>M26="CUMPLIMENTAR EL IMPORTE DEL GASTO O INVERSIÓN REALIZADO"</formula>
    </cfRule>
  </conditionalFormatting>
  <conditionalFormatting sqref="E30:E32">
    <cfRule type="expression" dxfId="56" priority="5">
      <formula>M30="CUMPLIMENTAR EL IMPORTE DEL GASTO O INVERSIÓN REALIZADO"</formula>
    </cfRule>
  </conditionalFormatting>
  <conditionalFormatting sqref="E34:E36">
    <cfRule type="expression" dxfId="55" priority="4">
      <formula>M34="CUMPLIMENTAR EL IMPORTE DEL GASTO O INVERSIÓN REALIZADO"</formula>
    </cfRule>
  </conditionalFormatting>
  <conditionalFormatting sqref="E38:E40">
    <cfRule type="expression" dxfId="54" priority="3">
      <formula>M38="CUMPLIMENTAR EL IMPORTE DEL GASTO O INVERSIÓN REALIZADO"</formula>
    </cfRule>
  </conditionalFormatting>
  <conditionalFormatting sqref="E42:E44">
    <cfRule type="expression" dxfId="53" priority="2">
      <formula>M42="CUMPLIMENTAR EL IMPORTE DEL GASTO O INVERSIÓN REALIZADO"</formula>
    </cfRule>
  </conditionalFormatting>
  <conditionalFormatting sqref="E46:E48">
    <cfRule type="expression" dxfId="52" priority="1">
      <formula>M46="CUMPLIMENTAR EL IMPORTE DEL GASTO O INVERSIÓN REALIZADO"</formula>
    </cfRule>
  </conditionalFormatting>
  <conditionalFormatting sqref="M10:M12">
    <cfRule type="cellIs" dxfId="51" priority="18" operator="notEqual">
      <formula>""</formula>
    </cfRule>
  </conditionalFormatting>
  <conditionalFormatting sqref="M14:M16">
    <cfRule type="cellIs" dxfId="50" priority="17" operator="notEqual">
      <formula>""</formula>
    </cfRule>
  </conditionalFormatting>
  <conditionalFormatting sqref="M18:M20">
    <cfRule type="cellIs" dxfId="49" priority="16" operator="notEqual">
      <formula>""</formula>
    </cfRule>
  </conditionalFormatting>
  <conditionalFormatting sqref="M22:M24">
    <cfRule type="cellIs" dxfId="48" priority="15" operator="notEqual">
      <formula>""</formula>
    </cfRule>
  </conditionalFormatting>
  <conditionalFormatting sqref="M26:M28">
    <cfRule type="cellIs" dxfId="47" priority="14" operator="notEqual">
      <formula>""</formula>
    </cfRule>
  </conditionalFormatting>
  <conditionalFormatting sqref="M30:M32">
    <cfRule type="cellIs" dxfId="46" priority="13" operator="notEqual">
      <formula>""</formula>
    </cfRule>
  </conditionalFormatting>
  <conditionalFormatting sqref="M34:M36">
    <cfRule type="cellIs" dxfId="45" priority="12" operator="notEqual">
      <formula>""</formula>
    </cfRule>
  </conditionalFormatting>
  <conditionalFormatting sqref="M38:M40">
    <cfRule type="cellIs" dxfId="44" priority="11" operator="notEqual">
      <formula>""</formula>
    </cfRule>
  </conditionalFormatting>
  <conditionalFormatting sqref="M42:M44">
    <cfRule type="cellIs" dxfId="43" priority="10" operator="notEqual">
      <formula>""</formula>
    </cfRule>
  </conditionalFormatting>
  <conditionalFormatting sqref="M46:M48">
    <cfRule type="cellIs" dxfId="42" priority="9" operator="notEqual">
      <formula>""</formula>
    </cfRule>
  </conditionalFormatting>
  <conditionalFormatting sqref="N10">
    <cfRule type="cellIs" dxfId="41" priority="82" operator="equal">
      <formula>"INSERTAR INFORME JUSTIFICATIVO"</formula>
    </cfRule>
  </conditionalFormatting>
  <conditionalFormatting sqref="N14">
    <cfRule type="cellIs" dxfId="40" priority="63" operator="equal">
      <formula>"INSERTAR INFORME JUSTIFICATIVO"</formula>
    </cfRule>
  </conditionalFormatting>
  <conditionalFormatting sqref="N18">
    <cfRule type="cellIs" dxfId="39" priority="62" operator="equal">
      <formula>"INSERTAR INFORME JUSTIFICATIVO"</formula>
    </cfRule>
  </conditionalFormatting>
  <conditionalFormatting sqref="N22">
    <cfRule type="cellIs" dxfId="38" priority="44" operator="equal">
      <formula>"INSERTAR INFORME JUSTIFICATIVO"</formula>
    </cfRule>
  </conditionalFormatting>
  <conditionalFormatting sqref="N26">
    <cfRule type="cellIs" dxfId="37" priority="42" operator="equal">
      <formula>"INSERTAR INFORME JUSTIFICATIVO"</formula>
    </cfRule>
  </conditionalFormatting>
  <conditionalFormatting sqref="N30">
    <cfRule type="cellIs" dxfId="36" priority="40" operator="equal">
      <formula>"INSERTAR INFORME JUSTIFICATIVO"</formula>
    </cfRule>
  </conditionalFormatting>
  <conditionalFormatting sqref="N34">
    <cfRule type="cellIs" dxfId="35" priority="38" operator="equal">
      <formula>"INSERTAR INFORME JUSTIFICATIVO"</formula>
    </cfRule>
  </conditionalFormatting>
  <conditionalFormatting sqref="N38">
    <cfRule type="cellIs" dxfId="34" priority="36" operator="equal">
      <formula>"INSERTAR INFORME JUSTIFICATIVO"</formula>
    </cfRule>
  </conditionalFormatting>
  <conditionalFormatting sqref="N42">
    <cfRule type="cellIs" dxfId="33" priority="34" operator="equal">
      <formula>"INSERTAR INFORME JUSTIFICATIVO"</formula>
    </cfRule>
  </conditionalFormatting>
  <conditionalFormatting sqref="N46">
    <cfRule type="cellIs" dxfId="32" priority="32" operator="equal">
      <formula>"INSERTAR INFORME JUSTIFICATIVO"</formula>
    </cfRule>
  </conditionalFormatting>
  <printOptions horizontalCentered="1"/>
  <pageMargins left="0.19685039370078741" right="0.19685039370078741" top="0.19685039370078741" bottom="0.19685039370078741" header="0.19685039370078741" footer="0.19685039370078741"/>
  <pageSetup paperSize="9" scale="43" firstPageNumber="0" orientation="landscape" r:id="rId1"/>
  <colBreaks count="1" manualBreakCount="1">
    <brk id="11"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Y81"/>
  <sheetViews>
    <sheetView showGridLines="0" zoomScaleNormal="100" workbookViewId="0"/>
  </sheetViews>
  <sheetFormatPr baseColWidth="10" defaultColWidth="11.42578125" defaultRowHeight="15" x14ac:dyDescent="0.2"/>
  <cols>
    <col min="1" max="1" width="1.7109375" style="120" customWidth="1"/>
    <col min="2" max="2" width="5.7109375" style="120" hidden="1" customWidth="1"/>
    <col min="3" max="3" width="5.7109375" style="122" hidden="1" customWidth="1"/>
    <col min="4" max="4" width="16.5703125" style="120" bestFit="1" customWidth="1"/>
    <col min="5" max="5" width="15.7109375" style="120" customWidth="1"/>
    <col min="6" max="6" width="30.7109375" style="120" customWidth="1"/>
    <col min="7" max="8" width="10.7109375" style="122" customWidth="1"/>
    <col min="9" max="9" width="9.7109375" style="122" customWidth="1"/>
    <col min="10" max="10" width="10.7109375" style="122" hidden="1" customWidth="1"/>
    <col min="11" max="12" width="10.7109375" style="122" customWidth="1"/>
    <col min="13" max="13" width="9.7109375" style="122" customWidth="1"/>
    <col min="14" max="15" width="10.7109375" style="122" hidden="1" customWidth="1"/>
    <col min="16" max="16" width="11.42578125" style="122"/>
    <col min="17" max="17" width="11.42578125" style="124"/>
    <col min="18" max="18" width="12.7109375" style="124" customWidth="1"/>
    <col min="19" max="19" width="11.42578125" style="124"/>
    <col min="20" max="20" width="11.42578125" style="122"/>
    <col min="21" max="22" width="12.7109375" style="122" customWidth="1"/>
    <col min="23" max="23" width="11.42578125" style="122"/>
    <col min="24" max="24" width="12.7109375" style="122" customWidth="1"/>
    <col min="25" max="25" width="85.140625" style="120" customWidth="1"/>
    <col min="26" max="26" width="11.5703125" style="120" customWidth="1"/>
    <col min="27" max="16384" width="11.42578125" style="120"/>
  </cols>
  <sheetData>
    <row r="1" spans="2:25" ht="15.75" thickBot="1" x14ac:dyDescent="0.25"/>
    <row r="2" spans="2:25" ht="20.100000000000001" customHeight="1" x14ac:dyDescent="0.2">
      <c r="D2" s="432" t="s">
        <v>58</v>
      </c>
      <c r="E2" s="433"/>
      <c r="F2" s="434"/>
      <c r="G2" s="438" t="s">
        <v>63</v>
      </c>
      <c r="H2" s="439"/>
      <c r="I2" s="440"/>
      <c r="J2" s="441" t="s">
        <v>61</v>
      </c>
      <c r="K2" s="438" t="s">
        <v>64</v>
      </c>
      <c r="L2" s="439"/>
      <c r="M2" s="440"/>
      <c r="N2" s="419" t="s">
        <v>62</v>
      </c>
      <c r="O2" s="422" t="s">
        <v>91</v>
      </c>
      <c r="P2" s="429" t="s">
        <v>155</v>
      </c>
      <c r="Q2" s="430"/>
      <c r="R2" s="430"/>
      <c r="S2" s="430"/>
      <c r="T2" s="431"/>
      <c r="U2" s="407" t="s">
        <v>57</v>
      </c>
      <c r="V2" s="408"/>
      <c r="W2" s="398" t="s">
        <v>202</v>
      </c>
      <c r="X2" s="401" t="s">
        <v>54</v>
      </c>
      <c r="Y2" s="404" t="s">
        <v>53</v>
      </c>
    </row>
    <row r="3" spans="2:25" ht="20.100000000000001" customHeight="1" x14ac:dyDescent="0.2">
      <c r="D3" s="435"/>
      <c r="E3" s="436"/>
      <c r="F3" s="437"/>
      <c r="G3" s="217" t="s">
        <v>59</v>
      </c>
      <c r="H3" s="218" t="s">
        <v>60</v>
      </c>
      <c r="I3" s="423" t="s">
        <v>51</v>
      </c>
      <c r="J3" s="442"/>
      <c r="K3" s="217" t="s">
        <v>59</v>
      </c>
      <c r="L3" s="218" t="s">
        <v>60</v>
      </c>
      <c r="M3" s="423" t="s">
        <v>52</v>
      </c>
      <c r="N3" s="420"/>
      <c r="O3" s="423"/>
      <c r="P3" s="427" t="s">
        <v>195</v>
      </c>
      <c r="Q3" s="413" t="s">
        <v>200</v>
      </c>
      <c r="R3" s="425" t="s">
        <v>201</v>
      </c>
      <c r="S3" s="415" t="s">
        <v>156</v>
      </c>
      <c r="T3" s="417" t="s">
        <v>196</v>
      </c>
      <c r="U3" s="409" t="s">
        <v>55</v>
      </c>
      <c r="V3" s="411" t="s">
        <v>56</v>
      </c>
      <c r="W3" s="399"/>
      <c r="X3" s="402"/>
      <c r="Y3" s="405"/>
    </row>
    <row r="4" spans="2:25" s="122" customFormat="1" ht="45" customHeight="1" thickBot="1" x14ac:dyDescent="0.25">
      <c r="D4" s="219" t="s">
        <v>50</v>
      </c>
      <c r="E4" s="220" t="s">
        <v>47</v>
      </c>
      <c r="F4" s="221" t="s">
        <v>1</v>
      </c>
      <c r="G4" s="222" t="s">
        <v>48</v>
      </c>
      <c r="H4" s="223" t="s">
        <v>198</v>
      </c>
      <c r="I4" s="424"/>
      <c r="J4" s="443"/>
      <c r="K4" s="222" t="s">
        <v>49</v>
      </c>
      <c r="L4" s="223" t="s">
        <v>199</v>
      </c>
      <c r="M4" s="424"/>
      <c r="N4" s="421"/>
      <c r="O4" s="424"/>
      <c r="P4" s="428"/>
      <c r="Q4" s="414"/>
      <c r="R4" s="426"/>
      <c r="S4" s="416"/>
      <c r="T4" s="418"/>
      <c r="U4" s="410"/>
      <c r="V4" s="412"/>
      <c r="W4" s="400"/>
      <c r="X4" s="403"/>
      <c r="Y4" s="406"/>
    </row>
    <row r="5" spans="2:25" ht="39.950000000000003" customHeight="1" x14ac:dyDescent="0.2">
      <c r="B5" s="120">
        <f>IF(Y5&lt;&gt;"",1,0)</f>
        <v>0</v>
      </c>
      <c r="C5" s="122">
        <v>1</v>
      </c>
      <c r="D5" s="224" t="str">
        <f>IF('RELACIÓN DE FACTURAS'!O9="","",'RELACIÓN DE FACTURAS'!O9)</f>
        <v/>
      </c>
      <c r="E5" s="225" t="str">
        <f>IF('RELACIÓN DE FACTURAS'!P9="","",'RELACIÓN DE FACTURAS'!P9)</f>
        <v/>
      </c>
      <c r="F5" s="226" t="str">
        <f>IF('RELACIÓN DE FACTURAS'!R9="","",'RELACIÓN DE FACTURAS'!R9)</f>
        <v/>
      </c>
      <c r="G5" s="227" t="str">
        <f>IF(D5="","",IF(AND(D5="NUEVA FACTURA",'RELACIÓN DE FACTURAS'!Q9=""),"",IF(AND(D5="NUEVA FACTURA",'RELACIÓN DE FACTURAS'!Q9&lt;&gt;""),'RELACIÓN DE FACTURAS'!Q9,IF(D5="SEGUNDO PAGO O POSTERIORES",G4,""))))</f>
        <v/>
      </c>
      <c r="H5" s="228"/>
      <c r="I5" s="229" t="str">
        <f>IF(D5="","",IF(J5="","REVISAR",IF(OR(J5&lt;EXPEDIENTE!$I$25,J5&gt;EXPEDIENTE!$I$27),"SI","NO")))</f>
        <v/>
      </c>
      <c r="J5" s="230" t="str">
        <f t="shared" ref="J5:J32" si="0">IF(D5="","",IF(H5&lt;&gt;"",H5,G5))</f>
        <v/>
      </c>
      <c r="K5" s="231" t="str">
        <f>IF(D5="","",IF('RELACIÓN DE FACTURAS'!AF9="","",'RELACIÓN DE FACTURAS'!AF9))</f>
        <v/>
      </c>
      <c r="L5" s="228"/>
      <c r="M5" s="229" t="str">
        <f>IF(D5="","",IF(N5="","REVISAR",IF(OR(N5&lt;EXPEDIENTE!$I$25,N5&gt;EXPEDIENTE!$I$29),"SI","NO")))</f>
        <v/>
      </c>
      <c r="N5" s="232" t="str">
        <f t="shared" ref="N5:N32" si="1">IF(D5="","",IF(L5&lt;&gt;"",L5,K5))</f>
        <v/>
      </c>
      <c r="O5" s="233">
        <f>IF(N5&lt;EXPEDIENTE!$I$25,-1,IF(N5&gt;EXPEDIENTE!$I$29,1,0))</f>
        <v>0</v>
      </c>
      <c r="P5" s="234" t="str">
        <f t="shared" ref="P5:P32" si="2">IF(D5="","",IF(OR(J5="",N5=""),"PDTE",IF(N5-J5&gt;30,"SI","NO")))</f>
        <v/>
      </c>
      <c r="Q5" s="228"/>
      <c r="R5" s="235"/>
      <c r="S5" s="236" t="str">
        <f>IF(OR(Q5="",R5=""),"",IF(Q5&gt;EXPEDIENTE!$I$27,"",MIN(DATE(YEAR(Q5),MONTH(Q5),DAY(Q5)+R5),EXPEDIENTE!$I$29)))</f>
        <v/>
      </c>
      <c r="T5" s="299" t="str">
        <f>IF(D5="","",IF(AND(P5="NO",Q5="",S5=""),"NO",IF(Q5&gt;EXPEDIENTE!$I$27,"ENTREGA FUERA PLAZO",IF(OR(Q5="",R5=""),"PDTE",IF(S5&lt;N5,"SI","NO")))))</f>
        <v/>
      </c>
      <c r="U5" s="237" t="str">
        <f>IF('RELACIÓN DE FACTURAS'!X9="","",'RELACIÓN DE FACTURAS'!X9)</f>
        <v/>
      </c>
      <c r="V5" s="238" t="str">
        <f>IF('RELACIÓN DE FACTURAS'!Y9="","",'RELACIÓN DE FACTURAS'!Y9)</f>
        <v/>
      </c>
      <c r="W5" s="239"/>
      <c r="X5" s="276" t="str">
        <f t="shared" ref="X5:X32" si="3">IF(D5="","",IF(AND(I5="NO",M5="NO",T5="NO",W5="NO"),"OK","NO OK"))</f>
        <v/>
      </c>
      <c r="Y5" s="240"/>
    </row>
    <row r="6" spans="2:25" ht="39.950000000000003" customHeight="1" x14ac:dyDescent="0.2">
      <c r="B6" s="120">
        <f>IF(Y6&lt;&gt;"",MAX($B$5:B5)+1,0)</f>
        <v>0</v>
      </c>
      <c r="C6" s="122">
        <v>2</v>
      </c>
      <c r="D6" s="241" t="str">
        <f>IF('RELACIÓN DE FACTURAS'!O10="","",'RELACIÓN DE FACTURAS'!O10)</f>
        <v/>
      </c>
      <c r="E6" s="242" t="str">
        <f>IF(D6="SEGUNDO PAGO O POSTERIORES",E5,IF('RELACIÓN DE FACTURAS'!P10="","",'RELACIÓN DE FACTURAS'!P10))</f>
        <v/>
      </c>
      <c r="F6" s="243" t="str">
        <f>IF(D6="SEGUNDO PAGO O POSTERIORES",F5,IF('RELACIÓN DE FACTURAS'!R10="","",'RELACIÓN DE FACTURAS'!R10))</f>
        <v/>
      </c>
      <c r="G6" s="244" t="str">
        <f>IF(D6="","",IF(AND(D6="NUEVA FACTURA",'RELACIÓN DE FACTURAS'!Q10=""),"",IF(AND(D6="NUEVA FACTURA",'RELACIÓN DE FACTURAS'!Q10&lt;&gt;""),'RELACIÓN DE FACTURAS'!Q10,IF(D6="SEGUNDO PAGO O POSTERIORES",G5,""))))</f>
        <v/>
      </c>
      <c r="H6" s="245"/>
      <c r="I6" s="246" t="str">
        <f>IF(D6="","",IF(J6="","REVISAR",IF(OR(J6&lt;EXPEDIENTE!$I$25,J6&gt;EXPEDIENTE!$I$27),"SI","NO")))</f>
        <v/>
      </c>
      <c r="J6" s="247" t="str">
        <f t="shared" si="0"/>
        <v/>
      </c>
      <c r="K6" s="244" t="str">
        <f>IF(D6="","",IF('RELACIÓN DE FACTURAS'!AF10="","",'RELACIÓN DE FACTURAS'!AF10))</f>
        <v/>
      </c>
      <c r="L6" s="245"/>
      <c r="M6" s="246" t="str">
        <f>IF(D6="","",IF(N6="","REVISAR",IF(OR(N6&lt;EXPEDIENTE!$I$25,N6&gt;EXPEDIENTE!$I$29),"SI","NO")))</f>
        <v/>
      </c>
      <c r="N6" s="248" t="str">
        <f t="shared" si="1"/>
        <v/>
      </c>
      <c r="O6" s="249">
        <f>IF(N6&lt;EXPEDIENTE!$I$25,-1,IF(N6&gt;EXPEDIENTE!$I$29,1,0))</f>
        <v>0</v>
      </c>
      <c r="P6" s="250" t="str">
        <f t="shared" si="2"/>
        <v/>
      </c>
      <c r="Q6" s="245"/>
      <c r="R6" s="251"/>
      <c r="S6" s="252" t="str">
        <f>IF(OR(Q6="",R6=""),"",IF(Q6&gt;EXPEDIENTE!$I$27,"",MIN(DATE(YEAR(Q6),MONTH(Q6),DAY(Q6)+R6),EXPEDIENTE!$I$29)))</f>
        <v/>
      </c>
      <c r="T6" s="253" t="str">
        <f>IF(D6="","",IF(AND(P6="NO",Q6="",S6=""),"NO",IF(Q6&gt;EXPEDIENTE!$I$27,"ENTREGA FUERA PLAZO",IF(OR(Q6="",R6=""),"PDTE",IF(S6&lt;N6,"SI","NO")))))</f>
        <v/>
      </c>
      <c r="U6" s="254" t="str">
        <f>IF('RELACIÓN DE FACTURAS'!X10="","",'RELACIÓN DE FACTURAS'!X10)</f>
        <v/>
      </c>
      <c r="V6" s="255" t="str">
        <f>IF('RELACIÓN DE FACTURAS'!Y10="","",'RELACIÓN DE FACTURAS'!Y10)</f>
        <v/>
      </c>
      <c r="W6" s="256"/>
      <c r="X6" s="277" t="str">
        <f t="shared" si="3"/>
        <v/>
      </c>
      <c r="Y6" s="257"/>
    </row>
    <row r="7" spans="2:25" ht="39.950000000000003" customHeight="1" x14ac:dyDescent="0.2">
      <c r="B7" s="120">
        <f>IF(Y7&lt;&gt;"",MAX($B$5:B6)+1,0)</f>
        <v>0</v>
      </c>
      <c r="C7" s="122">
        <v>3</v>
      </c>
      <c r="D7" s="241" t="str">
        <f>IF('RELACIÓN DE FACTURAS'!O11="","",'RELACIÓN DE FACTURAS'!O11)</f>
        <v/>
      </c>
      <c r="E7" s="242" t="str">
        <f>IF(D7="SEGUNDO PAGO O POSTERIORES",E6,IF('RELACIÓN DE FACTURAS'!P11="","",'RELACIÓN DE FACTURAS'!P11))</f>
        <v/>
      </c>
      <c r="F7" s="243" t="str">
        <f>IF(D7="SEGUNDO PAGO O POSTERIORES",F6,IF('RELACIÓN DE FACTURAS'!R11="","",'RELACIÓN DE FACTURAS'!R11))</f>
        <v/>
      </c>
      <c r="G7" s="244" t="str">
        <f>IF(D7="","",IF(AND(D7="NUEVA FACTURA",'RELACIÓN DE FACTURAS'!Q11=""),"",IF(AND(D7="NUEVA FACTURA",'RELACIÓN DE FACTURAS'!Q11&lt;&gt;""),'RELACIÓN DE FACTURAS'!Q11,IF(D7="SEGUNDO PAGO O POSTERIORES",G6,""))))</f>
        <v/>
      </c>
      <c r="H7" s="245"/>
      <c r="I7" s="246" t="str">
        <f>IF(D7="","",IF(J7="","REVISAR",IF(OR(J7&lt;EXPEDIENTE!$I$25,J7&gt;EXPEDIENTE!$I$27),"SI","NO")))</f>
        <v/>
      </c>
      <c r="J7" s="247" t="str">
        <f t="shared" si="0"/>
        <v/>
      </c>
      <c r="K7" s="244" t="str">
        <f>IF(D7="","",IF('RELACIÓN DE FACTURAS'!AF11="","",'RELACIÓN DE FACTURAS'!AF11))</f>
        <v/>
      </c>
      <c r="L7" s="245"/>
      <c r="M7" s="246" t="str">
        <f>IF(D7="","",IF(N7="","REVISAR",IF(OR(N7&lt;EXPEDIENTE!$I$25,N7&gt;EXPEDIENTE!$I$29),"SI","NO")))</f>
        <v/>
      </c>
      <c r="N7" s="248" t="str">
        <f t="shared" si="1"/>
        <v/>
      </c>
      <c r="O7" s="249">
        <f>IF(N7&lt;EXPEDIENTE!$I$25,-1,IF(N7&gt;EXPEDIENTE!$I$29,1,0))</f>
        <v>0</v>
      </c>
      <c r="P7" s="250" t="str">
        <f t="shared" si="2"/>
        <v/>
      </c>
      <c r="Q7" s="245"/>
      <c r="R7" s="251"/>
      <c r="S7" s="252" t="str">
        <f>IF(OR(Q7="",R7=""),"",IF(Q7&gt;EXPEDIENTE!$I$27,"",MIN(DATE(YEAR(Q7),MONTH(Q7),DAY(Q7)+R7),EXPEDIENTE!$I$29)))</f>
        <v/>
      </c>
      <c r="T7" s="253" t="str">
        <f>IF(D7="","",IF(AND(P7="NO",Q7="",S7=""),"NO",IF(Q7&gt;EXPEDIENTE!$I$27,"ENTREGA FUERA PLAZO",IF(OR(Q7="",R7=""),"PDTE",IF(S7&lt;N7,"SI","NO")))))</f>
        <v/>
      </c>
      <c r="U7" s="254" t="str">
        <f>IF('RELACIÓN DE FACTURAS'!X11="","",'RELACIÓN DE FACTURAS'!X11)</f>
        <v/>
      </c>
      <c r="V7" s="255" t="str">
        <f>IF('RELACIÓN DE FACTURAS'!Y11="","",'RELACIÓN DE FACTURAS'!Y11)</f>
        <v/>
      </c>
      <c r="W7" s="256"/>
      <c r="X7" s="277" t="str">
        <f t="shared" si="3"/>
        <v/>
      </c>
      <c r="Y7" s="257"/>
    </row>
    <row r="8" spans="2:25" ht="39.950000000000003" customHeight="1" x14ac:dyDescent="0.2">
      <c r="B8" s="120">
        <f>IF(Y8&lt;&gt;"",MAX($B$5:B7)+1,0)</f>
        <v>0</v>
      </c>
      <c r="C8" s="122">
        <v>4</v>
      </c>
      <c r="D8" s="241" t="str">
        <f>IF('RELACIÓN DE FACTURAS'!O12="","",'RELACIÓN DE FACTURAS'!O12)</f>
        <v/>
      </c>
      <c r="E8" s="242" t="str">
        <f>IF(D8="SEGUNDO PAGO O POSTERIORES",E7,IF('RELACIÓN DE FACTURAS'!P12="","",'RELACIÓN DE FACTURAS'!P12))</f>
        <v/>
      </c>
      <c r="F8" s="243" t="str">
        <f>IF(D8="SEGUNDO PAGO O POSTERIORES",F7,IF('RELACIÓN DE FACTURAS'!R12="","",'RELACIÓN DE FACTURAS'!R12))</f>
        <v/>
      </c>
      <c r="G8" s="244" t="str">
        <f>IF(D8="","",IF(AND(D8="NUEVA FACTURA",'RELACIÓN DE FACTURAS'!Q12=""),"",IF(AND(D8="NUEVA FACTURA",'RELACIÓN DE FACTURAS'!Q12&lt;&gt;""),'RELACIÓN DE FACTURAS'!Q12,IF(D8="SEGUNDO PAGO O POSTERIORES",G7,""))))</f>
        <v/>
      </c>
      <c r="H8" s="245"/>
      <c r="I8" s="246" t="str">
        <f>IF(D8="","",IF(J8="","REVISAR",IF(OR(J8&lt;EXPEDIENTE!$I$25,J8&gt;EXPEDIENTE!$I$27),"SI","NO")))</f>
        <v/>
      </c>
      <c r="J8" s="247" t="str">
        <f t="shared" si="0"/>
        <v/>
      </c>
      <c r="K8" s="244" t="str">
        <f>IF(D8="","",IF('RELACIÓN DE FACTURAS'!AF12="","",'RELACIÓN DE FACTURAS'!AF12))</f>
        <v/>
      </c>
      <c r="L8" s="245"/>
      <c r="M8" s="246" t="str">
        <f>IF(D8="","",IF(N8="","REVISAR",IF(OR(N8&lt;EXPEDIENTE!$I$25,N8&gt;EXPEDIENTE!$I$29),"SI","NO")))</f>
        <v/>
      </c>
      <c r="N8" s="248" t="str">
        <f t="shared" si="1"/>
        <v/>
      </c>
      <c r="O8" s="249">
        <f>IF(N8&lt;EXPEDIENTE!$I$25,-1,IF(N8&gt;EXPEDIENTE!$I$29,1,0))</f>
        <v>0</v>
      </c>
      <c r="P8" s="250" t="str">
        <f t="shared" si="2"/>
        <v/>
      </c>
      <c r="Q8" s="245"/>
      <c r="R8" s="251"/>
      <c r="S8" s="252" t="str">
        <f>IF(OR(Q8="",R8=""),"",IF(Q8&gt;EXPEDIENTE!$I$27,"",MIN(DATE(YEAR(Q8),MONTH(Q8),DAY(Q8)+R8),EXPEDIENTE!$I$29)))</f>
        <v/>
      </c>
      <c r="T8" s="253" t="str">
        <f>IF(D8="","",IF(AND(P8="NO",Q8="",S8=""),"NO",IF(Q8&gt;EXPEDIENTE!$I$27,"ENTREGA FUERA PLAZO",IF(OR(Q8="",R8=""),"PDTE",IF(S8&lt;N8,"SI","NO")))))</f>
        <v/>
      </c>
      <c r="U8" s="254" t="str">
        <f>IF('RELACIÓN DE FACTURAS'!X12="","",'RELACIÓN DE FACTURAS'!X12)</f>
        <v/>
      </c>
      <c r="V8" s="255" t="str">
        <f>IF('RELACIÓN DE FACTURAS'!Y12="","",'RELACIÓN DE FACTURAS'!Y12)</f>
        <v/>
      </c>
      <c r="W8" s="256"/>
      <c r="X8" s="277" t="str">
        <f t="shared" si="3"/>
        <v/>
      </c>
      <c r="Y8" s="257"/>
    </row>
    <row r="9" spans="2:25" ht="39.950000000000003" customHeight="1" x14ac:dyDescent="0.2">
      <c r="B9" s="120">
        <f>IF(Y9&lt;&gt;"",MAX($B$5:B8)+1,0)</f>
        <v>0</v>
      </c>
      <c r="C9" s="122">
        <v>5</v>
      </c>
      <c r="D9" s="241" t="str">
        <f>IF('RELACIÓN DE FACTURAS'!O13="","",'RELACIÓN DE FACTURAS'!O13)</f>
        <v/>
      </c>
      <c r="E9" s="242" t="str">
        <f>IF(D9="SEGUNDO PAGO O POSTERIORES",E8,IF('RELACIÓN DE FACTURAS'!P13="","",'RELACIÓN DE FACTURAS'!P13))</f>
        <v/>
      </c>
      <c r="F9" s="243" t="str">
        <f>IF(D9="SEGUNDO PAGO O POSTERIORES",F8,IF('RELACIÓN DE FACTURAS'!R13="","",'RELACIÓN DE FACTURAS'!R13))</f>
        <v/>
      </c>
      <c r="G9" s="244" t="str">
        <f>IF(D9="","",IF(AND(D9="NUEVA FACTURA",'RELACIÓN DE FACTURAS'!Q13=""),"",IF(AND(D9="NUEVA FACTURA",'RELACIÓN DE FACTURAS'!Q13&lt;&gt;""),'RELACIÓN DE FACTURAS'!Q13,IF(D9="SEGUNDO PAGO O POSTERIORES",G8,""))))</f>
        <v/>
      </c>
      <c r="H9" s="245"/>
      <c r="I9" s="246" t="str">
        <f>IF(D9="","",IF(J9="","REVISAR",IF(OR(J9&lt;EXPEDIENTE!$I$25,J9&gt;EXPEDIENTE!$I$27),"SI","NO")))</f>
        <v/>
      </c>
      <c r="J9" s="247" t="str">
        <f t="shared" si="0"/>
        <v/>
      </c>
      <c r="K9" s="244" t="str">
        <f>IF(D9="","",IF('RELACIÓN DE FACTURAS'!AF13="","",'RELACIÓN DE FACTURAS'!AF13))</f>
        <v/>
      </c>
      <c r="L9" s="245"/>
      <c r="M9" s="246" t="str">
        <f>IF(D9="","",IF(N9="","REVISAR",IF(OR(N9&lt;EXPEDIENTE!$I$25,N9&gt;EXPEDIENTE!$I$29),"SI","NO")))</f>
        <v/>
      </c>
      <c r="N9" s="248" t="str">
        <f t="shared" si="1"/>
        <v/>
      </c>
      <c r="O9" s="249">
        <f>IF(N9&lt;EXPEDIENTE!$I$25,-1,IF(N9&gt;EXPEDIENTE!$I$29,1,0))</f>
        <v>0</v>
      </c>
      <c r="P9" s="250" t="str">
        <f t="shared" si="2"/>
        <v/>
      </c>
      <c r="Q9" s="245"/>
      <c r="R9" s="251"/>
      <c r="S9" s="252" t="str">
        <f>IF(OR(Q9="",R9=""),"",IF(Q9&gt;EXPEDIENTE!$I$27,"",MIN(DATE(YEAR(Q9),MONTH(Q9),DAY(Q9)+R9),EXPEDIENTE!$I$29)))</f>
        <v/>
      </c>
      <c r="T9" s="253" t="str">
        <f>IF(D9="","",IF(AND(P9="NO",Q9="",S9=""),"NO",IF(Q9&gt;EXPEDIENTE!$I$27,"ENTREGA FUERA PLAZO",IF(OR(Q9="",R9=""),"PDTE",IF(S9&lt;N9,"SI","NO")))))</f>
        <v/>
      </c>
      <c r="U9" s="254" t="str">
        <f>IF('RELACIÓN DE FACTURAS'!X13="","",'RELACIÓN DE FACTURAS'!X13)</f>
        <v/>
      </c>
      <c r="V9" s="255" t="str">
        <f>IF('RELACIÓN DE FACTURAS'!Y13="","",'RELACIÓN DE FACTURAS'!Y13)</f>
        <v/>
      </c>
      <c r="W9" s="256"/>
      <c r="X9" s="277" t="str">
        <f t="shared" si="3"/>
        <v/>
      </c>
      <c r="Y9" s="257"/>
    </row>
    <row r="10" spans="2:25" ht="39.950000000000003" customHeight="1" x14ac:dyDescent="0.2">
      <c r="B10" s="120">
        <f>IF(Y10&lt;&gt;"",MAX($B$5:B9)+1,0)</f>
        <v>0</v>
      </c>
      <c r="C10" s="122">
        <v>6</v>
      </c>
      <c r="D10" s="241" t="str">
        <f>IF('RELACIÓN DE FACTURAS'!O14="","",'RELACIÓN DE FACTURAS'!O14)</f>
        <v/>
      </c>
      <c r="E10" s="242" t="str">
        <f>IF(D10="SEGUNDO PAGO O POSTERIORES",E9,IF('RELACIÓN DE FACTURAS'!P14="","",'RELACIÓN DE FACTURAS'!P14))</f>
        <v/>
      </c>
      <c r="F10" s="243" t="str">
        <f>IF(D10="SEGUNDO PAGO O POSTERIORES",F9,IF('RELACIÓN DE FACTURAS'!R14="","",'RELACIÓN DE FACTURAS'!R14))</f>
        <v/>
      </c>
      <c r="G10" s="244" t="str">
        <f>IF(D10="","",IF(AND(D10="NUEVA FACTURA",'RELACIÓN DE FACTURAS'!Q14=""),"",IF(AND(D10="NUEVA FACTURA",'RELACIÓN DE FACTURAS'!Q14&lt;&gt;""),'RELACIÓN DE FACTURAS'!Q14,IF(D10="SEGUNDO PAGO O POSTERIORES",G9,""))))</f>
        <v/>
      </c>
      <c r="H10" s="245"/>
      <c r="I10" s="246" t="str">
        <f>IF(D10="","",IF(J10="","REVISAR",IF(OR(J10&lt;EXPEDIENTE!$I$25,J10&gt;EXPEDIENTE!$I$27),"SI","NO")))</f>
        <v/>
      </c>
      <c r="J10" s="247" t="str">
        <f t="shared" si="0"/>
        <v/>
      </c>
      <c r="K10" s="244" t="str">
        <f>IF(D10="","",IF('RELACIÓN DE FACTURAS'!AF14="","",'RELACIÓN DE FACTURAS'!AF14))</f>
        <v/>
      </c>
      <c r="L10" s="245"/>
      <c r="M10" s="246" t="str">
        <f>IF(D10="","",IF(N10="","REVISAR",IF(OR(N10&lt;EXPEDIENTE!$I$25,N10&gt;EXPEDIENTE!$I$29),"SI","NO")))</f>
        <v/>
      </c>
      <c r="N10" s="248" t="str">
        <f t="shared" si="1"/>
        <v/>
      </c>
      <c r="O10" s="249">
        <f>IF(N10&lt;EXPEDIENTE!$I$25,-1,IF(N10&gt;EXPEDIENTE!$I$29,1,0))</f>
        <v>0</v>
      </c>
      <c r="P10" s="250" t="str">
        <f t="shared" si="2"/>
        <v/>
      </c>
      <c r="Q10" s="245"/>
      <c r="R10" s="251"/>
      <c r="S10" s="252" t="str">
        <f>IF(OR(Q10="",R10=""),"",IF(Q10&gt;EXPEDIENTE!$I$27,"",MIN(DATE(YEAR(Q10),MONTH(Q10),DAY(Q10)+R10),EXPEDIENTE!$I$29)))</f>
        <v/>
      </c>
      <c r="T10" s="253" t="str">
        <f>IF(D10="","",IF(AND(P10="NO",Q10="",S10=""),"NO",IF(Q10&gt;EXPEDIENTE!$I$27,"ENTREGA FUERA PLAZO",IF(OR(Q10="",R10=""),"PDTE",IF(S10&lt;N10,"SI","NO")))))</f>
        <v/>
      </c>
      <c r="U10" s="254" t="str">
        <f>IF('RELACIÓN DE FACTURAS'!X14="","",'RELACIÓN DE FACTURAS'!X14)</f>
        <v/>
      </c>
      <c r="V10" s="255" t="str">
        <f>IF('RELACIÓN DE FACTURAS'!Y14="","",'RELACIÓN DE FACTURAS'!Y14)</f>
        <v/>
      </c>
      <c r="W10" s="256"/>
      <c r="X10" s="277" t="str">
        <f t="shared" si="3"/>
        <v/>
      </c>
      <c r="Y10" s="257"/>
    </row>
    <row r="11" spans="2:25" ht="39.950000000000003" customHeight="1" x14ac:dyDescent="0.2">
      <c r="B11" s="120">
        <f>IF(Y11&lt;&gt;"",MAX($B$5:B10)+1,0)</f>
        <v>0</v>
      </c>
      <c r="C11" s="122">
        <v>7</v>
      </c>
      <c r="D11" s="241" t="str">
        <f>IF('RELACIÓN DE FACTURAS'!O15="","",'RELACIÓN DE FACTURAS'!O15)</f>
        <v/>
      </c>
      <c r="E11" s="242" t="str">
        <f>IF(D11="SEGUNDO PAGO O POSTERIORES",E10,IF('RELACIÓN DE FACTURAS'!P15="","",'RELACIÓN DE FACTURAS'!P15))</f>
        <v/>
      </c>
      <c r="F11" s="243" t="str">
        <f>IF(D11="SEGUNDO PAGO O POSTERIORES",F10,IF('RELACIÓN DE FACTURAS'!R15="","",'RELACIÓN DE FACTURAS'!R15))</f>
        <v/>
      </c>
      <c r="G11" s="244" t="str">
        <f>IF(D11="","",IF(AND(D11="NUEVA FACTURA",'RELACIÓN DE FACTURAS'!Q15=""),"",IF(AND(D11="NUEVA FACTURA",'RELACIÓN DE FACTURAS'!Q15&lt;&gt;""),'RELACIÓN DE FACTURAS'!Q15,IF(D11="SEGUNDO PAGO O POSTERIORES",G10,""))))</f>
        <v/>
      </c>
      <c r="H11" s="245"/>
      <c r="I11" s="246" t="str">
        <f>IF(D11="","",IF(J11="","REVISAR",IF(OR(J11&lt;EXPEDIENTE!$I$25,J11&gt;EXPEDIENTE!$I$27),"SI","NO")))</f>
        <v/>
      </c>
      <c r="J11" s="247" t="str">
        <f t="shared" si="0"/>
        <v/>
      </c>
      <c r="K11" s="244" t="str">
        <f>IF(D11="","",IF('RELACIÓN DE FACTURAS'!AF15="","",'RELACIÓN DE FACTURAS'!AF15))</f>
        <v/>
      </c>
      <c r="L11" s="245"/>
      <c r="M11" s="246" t="str">
        <f>IF(D11="","",IF(N11="","REVISAR",IF(OR(N11&lt;EXPEDIENTE!$I$25,N11&gt;EXPEDIENTE!$I$29),"SI","NO")))</f>
        <v/>
      </c>
      <c r="N11" s="248" t="str">
        <f t="shared" si="1"/>
        <v/>
      </c>
      <c r="O11" s="249">
        <f>IF(N11&lt;EXPEDIENTE!$I$25,-1,IF(N11&gt;EXPEDIENTE!$I$29,1,0))</f>
        <v>0</v>
      </c>
      <c r="P11" s="250" t="str">
        <f t="shared" si="2"/>
        <v/>
      </c>
      <c r="Q11" s="245"/>
      <c r="R11" s="251"/>
      <c r="S11" s="252" t="str">
        <f>IF(OR(Q11="",R11=""),"",IF(Q11&gt;EXPEDIENTE!$I$27,"",MIN(DATE(YEAR(Q11),MONTH(Q11),DAY(Q11)+R11),EXPEDIENTE!$I$29)))</f>
        <v/>
      </c>
      <c r="T11" s="253" t="str">
        <f>IF(D11="","",IF(AND(P11="NO",Q11="",S11=""),"NO",IF(Q11&gt;EXPEDIENTE!$I$27,"ENTREGA FUERA PLAZO",IF(OR(Q11="",R11=""),"PDTE",IF(S11&lt;N11,"SI","NO")))))</f>
        <v/>
      </c>
      <c r="U11" s="254" t="str">
        <f>IF('RELACIÓN DE FACTURAS'!X15="","",'RELACIÓN DE FACTURAS'!X15)</f>
        <v/>
      </c>
      <c r="V11" s="255" t="str">
        <f>IF('RELACIÓN DE FACTURAS'!Y15="","",'RELACIÓN DE FACTURAS'!Y15)</f>
        <v/>
      </c>
      <c r="W11" s="256"/>
      <c r="X11" s="277" t="str">
        <f t="shared" si="3"/>
        <v/>
      </c>
      <c r="Y11" s="257"/>
    </row>
    <row r="12" spans="2:25" ht="39.950000000000003" customHeight="1" x14ac:dyDescent="0.2">
      <c r="B12" s="120">
        <f>IF(Y12&lt;&gt;"",MAX($B$5:B11)+1,0)</f>
        <v>0</v>
      </c>
      <c r="C12" s="122">
        <v>8</v>
      </c>
      <c r="D12" s="241" t="str">
        <f>IF('RELACIÓN DE FACTURAS'!O16="","",'RELACIÓN DE FACTURAS'!O16)</f>
        <v/>
      </c>
      <c r="E12" s="242" t="str">
        <f>IF(D12="SEGUNDO PAGO O POSTERIORES",E11,IF('RELACIÓN DE FACTURAS'!P16="","",'RELACIÓN DE FACTURAS'!P16))</f>
        <v/>
      </c>
      <c r="F12" s="243" t="str">
        <f>IF(D12="SEGUNDO PAGO O POSTERIORES",F11,IF('RELACIÓN DE FACTURAS'!R16="","",'RELACIÓN DE FACTURAS'!R16))</f>
        <v/>
      </c>
      <c r="G12" s="244" t="str">
        <f>IF(D12="","",IF(AND(D12="NUEVA FACTURA",'RELACIÓN DE FACTURAS'!Q16=""),"",IF(AND(D12="NUEVA FACTURA",'RELACIÓN DE FACTURAS'!Q16&lt;&gt;""),'RELACIÓN DE FACTURAS'!Q16,IF(D12="SEGUNDO PAGO O POSTERIORES",G11,""))))</f>
        <v/>
      </c>
      <c r="H12" s="245"/>
      <c r="I12" s="246" t="str">
        <f>IF(D12="","",IF(J12="","REVISAR",IF(OR(J12&lt;EXPEDIENTE!$I$25,J12&gt;EXPEDIENTE!$I$27),"SI","NO")))</f>
        <v/>
      </c>
      <c r="J12" s="247" t="str">
        <f t="shared" si="0"/>
        <v/>
      </c>
      <c r="K12" s="244" t="str">
        <f>IF(D12="","",IF('RELACIÓN DE FACTURAS'!AF16="","",'RELACIÓN DE FACTURAS'!AF16))</f>
        <v/>
      </c>
      <c r="L12" s="245"/>
      <c r="M12" s="246" t="str">
        <f>IF(D12="","",IF(N12="","REVISAR",IF(OR(N12&lt;EXPEDIENTE!$I$25,N12&gt;EXPEDIENTE!$I$29),"SI","NO")))</f>
        <v/>
      </c>
      <c r="N12" s="248" t="str">
        <f t="shared" si="1"/>
        <v/>
      </c>
      <c r="O12" s="249">
        <f>IF(N12&lt;EXPEDIENTE!$I$25,-1,IF(N12&gt;EXPEDIENTE!$I$29,1,0))</f>
        <v>0</v>
      </c>
      <c r="P12" s="250" t="str">
        <f t="shared" si="2"/>
        <v/>
      </c>
      <c r="Q12" s="245"/>
      <c r="R12" s="251"/>
      <c r="S12" s="252" t="str">
        <f>IF(OR(Q12="",R12=""),"",IF(Q12&gt;EXPEDIENTE!$I$27,"",MIN(DATE(YEAR(Q12),MONTH(Q12),DAY(Q12)+R12),EXPEDIENTE!$I$29)))</f>
        <v/>
      </c>
      <c r="T12" s="253" t="str">
        <f>IF(D12="","",IF(AND(P12="NO",Q12="",S12=""),"NO",IF(Q12&gt;EXPEDIENTE!$I$27,"ENTREGA FUERA PLAZO",IF(OR(Q12="",R12=""),"PDTE",IF(S12&lt;N12,"SI","NO")))))</f>
        <v/>
      </c>
      <c r="U12" s="254" t="str">
        <f>IF('RELACIÓN DE FACTURAS'!X16="","",'RELACIÓN DE FACTURAS'!X16)</f>
        <v/>
      </c>
      <c r="V12" s="255" t="str">
        <f>IF('RELACIÓN DE FACTURAS'!Y16="","",'RELACIÓN DE FACTURAS'!Y16)</f>
        <v/>
      </c>
      <c r="W12" s="256"/>
      <c r="X12" s="277" t="str">
        <f t="shared" si="3"/>
        <v/>
      </c>
      <c r="Y12" s="257"/>
    </row>
    <row r="13" spans="2:25" ht="39.950000000000003" customHeight="1" x14ac:dyDescent="0.2">
      <c r="B13" s="120">
        <f>IF(Y13&lt;&gt;"",MAX($B$5:B12)+1,0)</f>
        <v>0</v>
      </c>
      <c r="C13" s="122">
        <v>9</v>
      </c>
      <c r="D13" s="241" t="str">
        <f>IF('RELACIÓN DE FACTURAS'!O17="","",'RELACIÓN DE FACTURAS'!O17)</f>
        <v/>
      </c>
      <c r="E13" s="242" t="str">
        <f>IF(D13="SEGUNDO PAGO O POSTERIORES",E12,IF('RELACIÓN DE FACTURAS'!P17="","",'RELACIÓN DE FACTURAS'!P17))</f>
        <v/>
      </c>
      <c r="F13" s="243" t="str">
        <f>IF(D13="SEGUNDO PAGO O POSTERIORES",F12,IF('RELACIÓN DE FACTURAS'!R17="","",'RELACIÓN DE FACTURAS'!R17))</f>
        <v/>
      </c>
      <c r="G13" s="244" t="str">
        <f>IF(D13="","",IF(AND(D13="NUEVA FACTURA",'RELACIÓN DE FACTURAS'!Q17=""),"",IF(AND(D13="NUEVA FACTURA",'RELACIÓN DE FACTURAS'!Q17&lt;&gt;""),'RELACIÓN DE FACTURAS'!Q17,IF(D13="SEGUNDO PAGO O POSTERIORES",G12,""))))</f>
        <v/>
      </c>
      <c r="H13" s="245"/>
      <c r="I13" s="246" t="str">
        <f>IF(D13="","",IF(J13="","REVISAR",IF(OR(J13&lt;EXPEDIENTE!$I$25,J13&gt;EXPEDIENTE!$I$27),"SI","NO")))</f>
        <v/>
      </c>
      <c r="J13" s="247" t="str">
        <f t="shared" si="0"/>
        <v/>
      </c>
      <c r="K13" s="244" t="str">
        <f>IF(D13="","",IF('RELACIÓN DE FACTURAS'!AF17="","",'RELACIÓN DE FACTURAS'!AF17))</f>
        <v/>
      </c>
      <c r="L13" s="245"/>
      <c r="M13" s="246" t="str">
        <f>IF(D13="","",IF(N13="","REVISAR",IF(OR(N13&lt;EXPEDIENTE!$I$25,N13&gt;EXPEDIENTE!$I$29),"SI","NO")))</f>
        <v/>
      </c>
      <c r="N13" s="248" t="str">
        <f t="shared" si="1"/>
        <v/>
      </c>
      <c r="O13" s="249">
        <f>IF(N13&lt;EXPEDIENTE!$I$25,-1,IF(N13&gt;EXPEDIENTE!$I$29,1,0))</f>
        <v>0</v>
      </c>
      <c r="P13" s="250" t="str">
        <f t="shared" si="2"/>
        <v/>
      </c>
      <c r="Q13" s="245"/>
      <c r="R13" s="251"/>
      <c r="S13" s="252" t="str">
        <f>IF(OR(Q13="",R13=""),"",IF(Q13&gt;EXPEDIENTE!$I$27,"",MIN(DATE(YEAR(Q13),MONTH(Q13),DAY(Q13)+R13),EXPEDIENTE!$I$29)))</f>
        <v/>
      </c>
      <c r="T13" s="253" t="str">
        <f>IF(D13="","",IF(AND(P13="NO",Q13="",S13=""),"NO",IF(Q13&gt;EXPEDIENTE!$I$27,"ENTREGA FUERA PLAZO",IF(OR(Q13="",R13=""),"PDTE",IF(S13&lt;N13,"SI","NO")))))</f>
        <v/>
      </c>
      <c r="U13" s="254" t="str">
        <f>IF('RELACIÓN DE FACTURAS'!X17="","",'RELACIÓN DE FACTURAS'!X17)</f>
        <v/>
      </c>
      <c r="V13" s="255" t="str">
        <f>IF('RELACIÓN DE FACTURAS'!Y17="","",'RELACIÓN DE FACTURAS'!Y17)</f>
        <v/>
      </c>
      <c r="W13" s="256"/>
      <c r="X13" s="277" t="str">
        <f t="shared" si="3"/>
        <v/>
      </c>
      <c r="Y13" s="257"/>
    </row>
    <row r="14" spans="2:25" ht="39.950000000000003" customHeight="1" x14ac:dyDescent="0.2">
      <c r="B14" s="120">
        <f>IF(Y14&lt;&gt;"",MAX($B$5:B13)+1,0)</f>
        <v>0</v>
      </c>
      <c r="C14" s="122">
        <v>10</v>
      </c>
      <c r="D14" s="241" t="str">
        <f>IF('RELACIÓN DE FACTURAS'!O18="","",'RELACIÓN DE FACTURAS'!O18)</f>
        <v/>
      </c>
      <c r="E14" s="242" t="str">
        <f>IF(D14="SEGUNDO PAGO O POSTERIORES",E13,IF('RELACIÓN DE FACTURAS'!P18="","",'RELACIÓN DE FACTURAS'!P18))</f>
        <v/>
      </c>
      <c r="F14" s="243" t="str">
        <f>IF(D14="SEGUNDO PAGO O POSTERIORES",F13,IF('RELACIÓN DE FACTURAS'!R18="","",'RELACIÓN DE FACTURAS'!R18))</f>
        <v/>
      </c>
      <c r="G14" s="244" t="str">
        <f>IF(D14="","",IF(AND(D14="NUEVA FACTURA",'RELACIÓN DE FACTURAS'!Q18=""),"",IF(AND(D14="NUEVA FACTURA",'RELACIÓN DE FACTURAS'!Q18&lt;&gt;""),'RELACIÓN DE FACTURAS'!Q18,IF(D14="SEGUNDO PAGO O POSTERIORES",G13,""))))</f>
        <v/>
      </c>
      <c r="H14" s="245"/>
      <c r="I14" s="246" t="str">
        <f>IF(D14="","",IF(J14="","REVISAR",IF(OR(J14&lt;EXPEDIENTE!$I$25,J14&gt;EXPEDIENTE!$I$27),"SI","NO")))</f>
        <v/>
      </c>
      <c r="J14" s="247" t="str">
        <f t="shared" si="0"/>
        <v/>
      </c>
      <c r="K14" s="244" t="str">
        <f>IF(D14="","",IF('RELACIÓN DE FACTURAS'!AF18="","",'RELACIÓN DE FACTURAS'!AF18))</f>
        <v/>
      </c>
      <c r="L14" s="245"/>
      <c r="M14" s="246" t="str">
        <f>IF(D14="","",IF(N14="","REVISAR",IF(OR(N14&lt;EXPEDIENTE!$I$25,N14&gt;EXPEDIENTE!$I$29),"SI","NO")))</f>
        <v/>
      </c>
      <c r="N14" s="248" t="str">
        <f t="shared" si="1"/>
        <v/>
      </c>
      <c r="O14" s="249">
        <f>IF(N14&lt;EXPEDIENTE!$I$25,-1,IF(N14&gt;EXPEDIENTE!$I$29,1,0))</f>
        <v>0</v>
      </c>
      <c r="P14" s="250" t="str">
        <f t="shared" si="2"/>
        <v/>
      </c>
      <c r="Q14" s="245"/>
      <c r="R14" s="251"/>
      <c r="S14" s="252" t="str">
        <f>IF(OR(Q14="",R14=""),"",IF(Q14&gt;EXPEDIENTE!$I$27,"",MIN(DATE(YEAR(Q14),MONTH(Q14),DAY(Q14)+R14),EXPEDIENTE!$I$29)))</f>
        <v/>
      </c>
      <c r="T14" s="253" t="str">
        <f>IF(D14="","",IF(AND(P14="NO",Q14="",S14=""),"NO",IF(Q14&gt;EXPEDIENTE!$I$27,"ENTREGA FUERA PLAZO",IF(OR(Q14="",R14=""),"PDTE",IF(S14&lt;N14,"SI","NO")))))</f>
        <v/>
      </c>
      <c r="U14" s="254" t="str">
        <f>IF('RELACIÓN DE FACTURAS'!X18="","",'RELACIÓN DE FACTURAS'!X18)</f>
        <v/>
      </c>
      <c r="V14" s="255" t="str">
        <f>IF('RELACIÓN DE FACTURAS'!Y18="","",'RELACIÓN DE FACTURAS'!Y18)</f>
        <v/>
      </c>
      <c r="W14" s="256"/>
      <c r="X14" s="277" t="str">
        <f t="shared" si="3"/>
        <v/>
      </c>
      <c r="Y14" s="257"/>
    </row>
    <row r="15" spans="2:25" ht="39.950000000000003" customHeight="1" x14ac:dyDescent="0.2">
      <c r="B15" s="120">
        <f>IF(Y15&lt;&gt;"",MAX($B$5:B14)+1,0)</f>
        <v>0</v>
      </c>
      <c r="C15" s="122">
        <v>11</v>
      </c>
      <c r="D15" s="241" t="str">
        <f>IF('RELACIÓN DE FACTURAS'!O19="","",'RELACIÓN DE FACTURAS'!O19)</f>
        <v/>
      </c>
      <c r="E15" s="242" t="str">
        <f>IF(D15="SEGUNDO PAGO O POSTERIORES",E14,IF('RELACIÓN DE FACTURAS'!P19="","",'RELACIÓN DE FACTURAS'!P19))</f>
        <v/>
      </c>
      <c r="F15" s="243" t="str">
        <f>IF(D15="SEGUNDO PAGO O POSTERIORES",F14,IF('RELACIÓN DE FACTURAS'!R19="","",'RELACIÓN DE FACTURAS'!R19))</f>
        <v/>
      </c>
      <c r="G15" s="244" t="str">
        <f>IF(D15="","",IF(AND(D15="NUEVA FACTURA",'RELACIÓN DE FACTURAS'!Q19=""),"",IF(AND(D15="NUEVA FACTURA",'RELACIÓN DE FACTURAS'!Q19&lt;&gt;""),'RELACIÓN DE FACTURAS'!Q19,IF(D15="SEGUNDO PAGO O POSTERIORES",G14,""))))</f>
        <v/>
      </c>
      <c r="H15" s="245"/>
      <c r="I15" s="246" t="str">
        <f>IF(D15="","",IF(J15="","REVISAR",IF(OR(J15&lt;EXPEDIENTE!$I$25,J15&gt;EXPEDIENTE!$I$27),"SI","NO")))</f>
        <v/>
      </c>
      <c r="J15" s="247" t="str">
        <f t="shared" si="0"/>
        <v/>
      </c>
      <c r="K15" s="244" t="str">
        <f>IF(D15="","",IF('RELACIÓN DE FACTURAS'!AF19="","",'RELACIÓN DE FACTURAS'!AF19))</f>
        <v/>
      </c>
      <c r="L15" s="245"/>
      <c r="M15" s="246" t="str">
        <f>IF(D15="","",IF(N15="","REVISAR",IF(OR(N15&lt;EXPEDIENTE!$I$25,N15&gt;EXPEDIENTE!$I$29),"SI","NO")))</f>
        <v/>
      </c>
      <c r="N15" s="248" t="str">
        <f t="shared" si="1"/>
        <v/>
      </c>
      <c r="O15" s="249">
        <f>IF(N15&lt;EXPEDIENTE!$I$25,-1,IF(N15&gt;EXPEDIENTE!$I$29,1,0))</f>
        <v>0</v>
      </c>
      <c r="P15" s="250" t="str">
        <f t="shared" si="2"/>
        <v/>
      </c>
      <c r="Q15" s="245"/>
      <c r="R15" s="251"/>
      <c r="S15" s="252" t="str">
        <f>IF(OR(Q15="",R15=""),"",IF(Q15&gt;EXPEDIENTE!$I$27,"",MIN(DATE(YEAR(Q15),MONTH(Q15),DAY(Q15)+R15),EXPEDIENTE!$I$29)))</f>
        <v/>
      </c>
      <c r="T15" s="253" t="str">
        <f>IF(D15="","",IF(AND(P15="NO",Q15="",S15=""),"NO",IF(Q15&gt;EXPEDIENTE!$I$27,"ENTREGA FUERA PLAZO",IF(OR(Q15="",R15=""),"PDTE",IF(S15&lt;N15,"SI","NO")))))</f>
        <v/>
      </c>
      <c r="U15" s="254" t="str">
        <f>IF('RELACIÓN DE FACTURAS'!X19="","",'RELACIÓN DE FACTURAS'!X19)</f>
        <v/>
      </c>
      <c r="V15" s="255" t="str">
        <f>IF('RELACIÓN DE FACTURAS'!Y19="","",'RELACIÓN DE FACTURAS'!Y19)</f>
        <v/>
      </c>
      <c r="W15" s="256"/>
      <c r="X15" s="277" t="str">
        <f t="shared" si="3"/>
        <v/>
      </c>
      <c r="Y15" s="257"/>
    </row>
    <row r="16" spans="2:25" ht="39.950000000000003" customHeight="1" x14ac:dyDescent="0.2">
      <c r="B16" s="120">
        <f>IF(Y16&lt;&gt;"",MAX($B$5:B15)+1,0)</f>
        <v>0</v>
      </c>
      <c r="C16" s="122">
        <v>12</v>
      </c>
      <c r="D16" s="241" t="str">
        <f>IF('RELACIÓN DE FACTURAS'!O20="","",'RELACIÓN DE FACTURAS'!O20)</f>
        <v/>
      </c>
      <c r="E16" s="242" t="str">
        <f>IF(D16="SEGUNDO PAGO O POSTERIORES",E15,IF('RELACIÓN DE FACTURAS'!P20="","",'RELACIÓN DE FACTURAS'!P20))</f>
        <v/>
      </c>
      <c r="F16" s="243" t="str">
        <f>IF(D16="SEGUNDO PAGO O POSTERIORES",F15,IF('RELACIÓN DE FACTURAS'!R20="","",'RELACIÓN DE FACTURAS'!R20))</f>
        <v/>
      </c>
      <c r="G16" s="244" t="str">
        <f>IF(D16="","",IF(AND(D16="NUEVA FACTURA",'RELACIÓN DE FACTURAS'!Q20=""),"",IF(AND(D16="NUEVA FACTURA",'RELACIÓN DE FACTURAS'!Q20&lt;&gt;""),'RELACIÓN DE FACTURAS'!Q20,IF(D16="SEGUNDO PAGO O POSTERIORES",G15,""))))</f>
        <v/>
      </c>
      <c r="H16" s="245"/>
      <c r="I16" s="246" t="str">
        <f>IF(D16="","",IF(J16="","REVISAR",IF(OR(J16&lt;EXPEDIENTE!$I$25,J16&gt;EXPEDIENTE!$I$27),"SI","NO")))</f>
        <v/>
      </c>
      <c r="J16" s="247" t="str">
        <f t="shared" si="0"/>
        <v/>
      </c>
      <c r="K16" s="244" t="str">
        <f>IF(D16="","",IF('RELACIÓN DE FACTURAS'!AF20="","",'RELACIÓN DE FACTURAS'!AF20))</f>
        <v/>
      </c>
      <c r="L16" s="245"/>
      <c r="M16" s="246" t="str">
        <f>IF(D16="","",IF(N16="","REVISAR",IF(OR(N16&lt;EXPEDIENTE!$I$25,N16&gt;EXPEDIENTE!$I$29),"SI","NO")))</f>
        <v/>
      </c>
      <c r="N16" s="248" t="str">
        <f t="shared" si="1"/>
        <v/>
      </c>
      <c r="O16" s="249">
        <f>IF(N16&lt;EXPEDIENTE!$I$25,-1,IF(N16&gt;EXPEDIENTE!$I$29,1,0))</f>
        <v>0</v>
      </c>
      <c r="P16" s="250" t="str">
        <f t="shared" si="2"/>
        <v/>
      </c>
      <c r="Q16" s="245"/>
      <c r="R16" s="251"/>
      <c r="S16" s="252" t="str">
        <f>IF(OR(Q16="",R16=""),"",IF(Q16&gt;EXPEDIENTE!$I$27,"",MIN(DATE(YEAR(Q16),MONTH(Q16),DAY(Q16)+R16),EXPEDIENTE!$I$29)))</f>
        <v/>
      </c>
      <c r="T16" s="253" t="str">
        <f>IF(D16="","",IF(AND(P16="NO",Q16="",S16=""),"NO",IF(Q16&gt;EXPEDIENTE!$I$27,"ENTREGA FUERA PLAZO",IF(OR(Q16="",R16=""),"PDTE",IF(S16&lt;N16,"SI","NO")))))</f>
        <v/>
      </c>
      <c r="U16" s="254" t="str">
        <f>IF('RELACIÓN DE FACTURAS'!X20="","",'RELACIÓN DE FACTURAS'!X20)</f>
        <v/>
      </c>
      <c r="V16" s="255" t="str">
        <f>IF('RELACIÓN DE FACTURAS'!Y20="","",'RELACIÓN DE FACTURAS'!Y20)</f>
        <v/>
      </c>
      <c r="W16" s="256"/>
      <c r="X16" s="277" t="str">
        <f t="shared" si="3"/>
        <v/>
      </c>
      <c r="Y16" s="257"/>
    </row>
    <row r="17" spans="2:25" ht="39.950000000000003" customHeight="1" x14ac:dyDescent="0.2">
      <c r="B17" s="120">
        <f>IF(Y17&lt;&gt;"",MAX($B$5:B16)+1,0)</f>
        <v>0</v>
      </c>
      <c r="C17" s="122">
        <v>13</v>
      </c>
      <c r="D17" s="241" t="str">
        <f>IF('RELACIÓN DE FACTURAS'!O21="","",'RELACIÓN DE FACTURAS'!O21)</f>
        <v/>
      </c>
      <c r="E17" s="242" t="str">
        <f>IF(D17="SEGUNDO PAGO O POSTERIORES",E16,IF('RELACIÓN DE FACTURAS'!P21="","",'RELACIÓN DE FACTURAS'!P21))</f>
        <v/>
      </c>
      <c r="F17" s="243" t="str">
        <f>IF(D17="SEGUNDO PAGO O POSTERIORES",F16,IF('RELACIÓN DE FACTURAS'!R21="","",'RELACIÓN DE FACTURAS'!R21))</f>
        <v/>
      </c>
      <c r="G17" s="244" t="str">
        <f>IF(D17="","",IF(AND(D17="NUEVA FACTURA",'RELACIÓN DE FACTURAS'!Q21=""),"",IF(AND(D17="NUEVA FACTURA",'RELACIÓN DE FACTURAS'!Q21&lt;&gt;""),'RELACIÓN DE FACTURAS'!Q21,IF(D17="SEGUNDO PAGO O POSTERIORES",G16,""))))</f>
        <v/>
      </c>
      <c r="H17" s="245"/>
      <c r="I17" s="246" t="str">
        <f>IF(D17="","",IF(J17="","REVISAR",IF(OR(J17&lt;EXPEDIENTE!$I$25,J17&gt;EXPEDIENTE!$I$27),"SI","NO")))</f>
        <v/>
      </c>
      <c r="J17" s="247" t="str">
        <f t="shared" si="0"/>
        <v/>
      </c>
      <c r="K17" s="244" t="str">
        <f>IF(D17="","",IF('RELACIÓN DE FACTURAS'!AF21="","",'RELACIÓN DE FACTURAS'!AF21))</f>
        <v/>
      </c>
      <c r="L17" s="245"/>
      <c r="M17" s="246" t="str">
        <f>IF(D17="","",IF(N17="","REVISAR",IF(OR(N17&lt;EXPEDIENTE!$I$25,N17&gt;EXPEDIENTE!$I$29),"SI","NO")))</f>
        <v/>
      </c>
      <c r="N17" s="248" t="str">
        <f t="shared" si="1"/>
        <v/>
      </c>
      <c r="O17" s="249">
        <f>IF(N17&lt;EXPEDIENTE!$I$25,-1,IF(N17&gt;EXPEDIENTE!$I$29,1,0))</f>
        <v>0</v>
      </c>
      <c r="P17" s="250" t="str">
        <f t="shared" si="2"/>
        <v/>
      </c>
      <c r="Q17" s="245"/>
      <c r="R17" s="251"/>
      <c r="S17" s="252" t="str">
        <f>IF(OR(Q17="",R17=""),"",IF(Q17&gt;EXPEDIENTE!$I$27,"",MIN(DATE(YEAR(Q17),MONTH(Q17),DAY(Q17)+R17),EXPEDIENTE!$I$29)))</f>
        <v/>
      </c>
      <c r="T17" s="253" t="str">
        <f>IF(D17="","",IF(AND(P17="NO",Q17="",S17=""),"NO",IF(Q17&gt;EXPEDIENTE!$I$27,"ENTREGA FUERA PLAZO",IF(OR(Q17="",R17=""),"PDTE",IF(S17&lt;N17,"SI","NO")))))</f>
        <v/>
      </c>
      <c r="U17" s="254" t="str">
        <f>IF('RELACIÓN DE FACTURAS'!X21="","",'RELACIÓN DE FACTURAS'!X21)</f>
        <v/>
      </c>
      <c r="V17" s="255" t="str">
        <f>IF('RELACIÓN DE FACTURAS'!Y21="","",'RELACIÓN DE FACTURAS'!Y21)</f>
        <v/>
      </c>
      <c r="W17" s="256"/>
      <c r="X17" s="277" t="str">
        <f t="shared" si="3"/>
        <v/>
      </c>
      <c r="Y17" s="257"/>
    </row>
    <row r="18" spans="2:25" ht="39.950000000000003" customHeight="1" x14ac:dyDescent="0.2">
      <c r="B18" s="120">
        <f>IF(Y18&lt;&gt;"",MAX($B$5:B17)+1,0)</f>
        <v>0</v>
      </c>
      <c r="C18" s="122">
        <v>14</v>
      </c>
      <c r="D18" s="241" t="str">
        <f>IF('RELACIÓN DE FACTURAS'!O22="","",'RELACIÓN DE FACTURAS'!O22)</f>
        <v/>
      </c>
      <c r="E18" s="242" t="str">
        <f>IF(D18="SEGUNDO PAGO O POSTERIORES",E17,IF('RELACIÓN DE FACTURAS'!P22="","",'RELACIÓN DE FACTURAS'!P22))</f>
        <v/>
      </c>
      <c r="F18" s="243" t="str">
        <f>IF(D18="SEGUNDO PAGO O POSTERIORES",F17,IF('RELACIÓN DE FACTURAS'!R22="","",'RELACIÓN DE FACTURAS'!R22))</f>
        <v/>
      </c>
      <c r="G18" s="244" t="str">
        <f>IF(D18="","",IF(AND(D18="NUEVA FACTURA",'RELACIÓN DE FACTURAS'!Q22=""),"",IF(AND(D18="NUEVA FACTURA",'RELACIÓN DE FACTURAS'!Q22&lt;&gt;""),'RELACIÓN DE FACTURAS'!Q22,IF(D18="SEGUNDO PAGO O POSTERIORES",G17,""))))</f>
        <v/>
      </c>
      <c r="H18" s="245"/>
      <c r="I18" s="246" t="str">
        <f>IF(D18="","",IF(J18="","REVISAR",IF(OR(J18&lt;EXPEDIENTE!$I$25,J18&gt;EXPEDIENTE!$I$27),"SI","NO")))</f>
        <v/>
      </c>
      <c r="J18" s="247" t="str">
        <f t="shared" si="0"/>
        <v/>
      </c>
      <c r="K18" s="244" t="str">
        <f>IF(D18="","",IF('RELACIÓN DE FACTURAS'!AF22="","",'RELACIÓN DE FACTURAS'!AF22))</f>
        <v/>
      </c>
      <c r="L18" s="245"/>
      <c r="M18" s="246" t="str">
        <f>IF(D18="","",IF(N18="","REVISAR",IF(OR(N18&lt;EXPEDIENTE!$I$25,N18&gt;EXPEDIENTE!$I$29),"SI","NO")))</f>
        <v/>
      </c>
      <c r="N18" s="248" t="str">
        <f t="shared" si="1"/>
        <v/>
      </c>
      <c r="O18" s="249">
        <f>IF(N18&lt;EXPEDIENTE!$I$25,-1,IF(N18&gt;EXPEDIENTE!$I$29,1,0))</f>
        <v>0</v>
      </c>
      <c r="P18" s="250" t="str">
        <f t="shared" si="2"/>
        <v/>
      </c>
      <c r="Q18" s="245"/>
      <c r="R18" s="251"/>
      <c r="S18" s="252" t="str">
        <f>IF(OR(Q18="",R18=""),"",IF(Q18&gt;EXPEDIENTE!$I$27,"",MIN(DATE(YEAR(Q18),MONTH(Q18),DAY(Q18)+R18),EXPEDIENTE!$I$29)))</f>
        <v/>
      </c>
      <c r="T18" s="253" t="str">
        <f>IF(D18="","",IF(AND(P18="NO",Q18="",S18=""),"NO",IF(Q18&gt;EXPEDIENTE!$I$27,"ENTREGA FUERA PLAZO",IF(OR(Q18="",R18=""),"PDTE",IF(S18&lt;N18,"SI","NO")))))</f>
        <v/>
      </c>
      <c r="U18" s="254" t="str">
        <f>IF('RELACIÓN DE FACTURAS'!X22="","",'RELACIÓN DE FACTURAS'!X22)</f>
        <v/>
      </c>
      <c r="V18" s="255" t="str">
        <f>IF('RELACIÓN DE FACTURAS'!Y22="","",'RELACIÓN DE FACTURAS'!Y22)</f>
        <v/>
      </c>
      <c r="W18" s="256"/>
      <c r="X18" s="277" t="str">
        <f t="shared" si="3"/>
        <v/>
      </c>
      <c r="Y18" s="257"/>
    </row>
    <row r="19" spans="2:25" ht="39.950000000000003" customHeight="1" x14ac:dyDescent="0.2">
      <c r="B19" s="120">
        <f>IF(Y19&lt;&gt;"",MAX($B$5:B18)+1,0)</f>
        <v>0</v>
      </c>
      <c r="C19" s="122">
        <v>15</v>
      </c>
      <c r="D19" s="241" t="str">
        <f>IF('RELACIÓN DE FACTURAS'!O23="","",'RELACIÓN DE FACTURAS'!O23)</f>
        <v/>
      </c>
      <c r="E19" s="242" t="str">
        <f>IF(D19="SEGUNDO PAGO O POSTERIORES",E18,IF('RELACIÓN DE FACTURAS'!P23="","",'RELACIÓN DE FACTURAS'!P23))</f>
        <v/>
      </c>
      <c r="F19" s="243" t="str">
        <f>IF(D19="SEGUNDO PAGO O POSTERIORES",F18,IF('RELACIÓN DE FACTURAS'!R23="","",'RELACIÓN DE FACTURAS'!R23))</f>
        <v/>
      </c>
      <c r="G19" s="244" t="str">
        <f>IF(D19="","",IF(AND(D19="NUEVA FACTURA",'RELACIÓN DE FACTURAS'!Q23=""),"",IF(AND(D19="NUEVA FACTURA",'RELACIÓN DE FACTURAS'!Q23&lt;&gt;""),'RELACIÓN DE FACTURAS'!Q23,IF(D19="SEGUNDO PAGO O POSTERIORES",G18,""))))</f>
        <v/>
      </c>
      <c r="H19" s="245"/>
      <c r="I19" s="246" t="str">
        <f>IF(D19="","",IF(J19="","REVISAR",IF(OR(J19&lt;EXPEDIENTE!$I$25,J19&gt;EXPEDIENTE!$I$27),"SI","NO")))</f>
        <v/>
      </c>
      <c r="J19" s="247" t="str">
        <f t="shared" si="0"/>
        <v/>
      </c>
      <c r="K19" s="244" t="str">
        <f>IF(D19="","",IF('RELACIÓN DE FACTURAS'!AF23="","",'RELACIÓN DE FACTURAS'!AF23))</f>
        <v/>
      </c>
      <c r="L19" s="245"/>
      <c r="M19" s="246" t="str">
        <f>IF(D19="","",IF(N19="","REVISAR",IF(OR(N19&lt;EXPEDIENTE!$I$25,N19&gt;EXPEDIENTE!$I$29),"SI","NO")))</f>
        <v/>
      </c>
      <c r="N19" s="248" t="str">
        <f t="shared" si="1"/>
        <v/>
      </c>
      <c r="O19" s="249">
        <f>IF(N19&lt;EXPEDIENTE!$I$25,-1,IF(N19&gt;EXPEDIENTE!$I$29,1,0))</f>
        <v>0</v>
      </c>
      <c r="P19" s="250" t="str">
        <f t="shared" si="2"/>
        <v/>
      </c>
      <c r="Q19" s="245"/>
      <c r="R19" s="251"/>
      <c r="S19" s="252" t="str">
        <f>IF(OR(Q19="",R19=""),"",IF(Q19&gt;EXPEDIENTE!$I$27,"",MIN(DATE(YEAR(Q19),MONTH(Q19),DAY(Q19)+R19),EXPEDIENTE!$I$29)))</f>
        <v/>
      </c>
      <c r="T19" s="253" t="str">
        <f>IF(D19="","",IF(AND(P19="NO",Q19="",S19=""),"NO",IF(Q19&gt;EXPEDIENTE!$I$27,"ENTREGA FUERA PLAZO",IF(OR(Q19="",R19=""),"PDTE",IF(S19&lt;N19,"SI","NO")))))</f>
        <v/>
      </c>
      <c r="U19" s="254" t="str">
        <f>IF('RELACIÓN DE FACTURAS'!X23="","",'RELACIÓN DE FACTURAS'!X23)</f>
        <v/>
      </c>
      <c r="V19" s="255" t="str">
        <f>IF('RELACIÓN DE FACTURAS'!Y23="","",'RELACIÓN DE FACTURAS'!Y23)</f>
        <v/>
      </c>
      <c r="W19" s="256"/>
      <c r="X19" s="277" t="str">
        <f t="shared" si="3"/>
        <v/>
      </c>
      <c r="Y19" s="257"/>
    </row>
    <row r="20" spans="2:25" ht="39.950000000000003" customHeight="1" x14ac:dyDescent="0.2">
      <c r="B20" s="120">
        <f>IF(Y20&lt;&gt;"",MAX($B$5:B19)+1,0)</f>
        <v>0</v>
      </c>
      <c r="C20" s="122">
        <v>16</v>
      </c>
      <c r="D20" s="241" t="str">
        <f>IF('RELACIÓN DE FACTURAS'!O24="","",'RELACIÓN DE FACTURAS'!O24)</f>
        <v/>
      </c>
      <c r="E20" s="242" t="str">
        <f>IF(D20="SEGUNDO PAGO O POSTERIORES",E19,IF('RELACIÓN DE FACTURAS'!P24="","",'RELACIÓN DE FACTURAS'!P24))</f>
        <v/>
      </c>
      <c r="F20" s="243" t="str">
        <f>IF(D20="SEGUNDO PAGO O POSTERIORES",F19,IF('RELACIÓN DE FACTURAS'!R24="","",'RELACIÓN DE FACTURAS'!R24))</f>
        <v/>
      </c>
      <c r="G20" s="244" t="str">
        <f>IF(D20="","",IF(AND(D20="NUEVA FACTURA",'RELACIÓN DE FACTURAS'!Q24=""),"",IF(AND(D20="NUEVA FACTURA",'RELACIÓN DE FACTURAS'!Q24&lt;&gt;""),'RELACIÓN DE FACTURAS'!Q24,IF(D20="SEGUNDO PAGO O POSTERIORES",G19,""))))</f>
        <v/>
      </c>
      <c r="H20" s="245"/>
      <c r="I20" s="246" t="str">
        <f>IF(D20="","",IF(J20="","REVISAR",IF(OR(J20&lt;EXPEDIENTE!$I$25,J20&gt;EXPEDIENTE!$I$27),"SI","NO")))</f>
        <v/>
      </c>
      <c r="J20" s="247" t="str">
        <f t="shared" si="0"/>
        <v/>
      </c>
      <c r="K20" s="244" t="str">
        <f>IF(D20="","",IF('RELACIÓN DE FACTURAS'!AF24="","",'RELACIÓN DE FACTURAS'!AF24))</f>
        <v/>
      </c>
      <c r="L20" s="245"/>
      <c r="M20" s="246" t="str">
        <f>IF(D20="","",IF(N20="","REVISAR",IF(OR(N20&lt;EXPEDIENTE!$I$25,N20&gt;EXPEDIENTE!$I$29),"SI","NO")))</f>
        <v/>
      </c>
      <c r="N20" s="248" t="str">
        <f t="shared" si="1"/>
        <v/>
      </c>
      <c r="O20" s="249">
        <f>IF(N20&lt;EXPEDIENTE!$I$25,-1,IF(N20&gt;EXPEDIENTE!$I$29,1,0))</f>
        <v>0</v>
      </c>
      <c r="P20" s="250" t="str">
        <f t="shared" si="2"/>
        <v/>
      </c>
      <c r="Q20" s="245"/>
      <c r="R20" s="251"/>
      <c r="S20" s="252" t="str">
        <f>IF(OR(Q20="",R20=""),"",IF(Q20&gt;EXPEDIENTE!$I$27,"",MIN(DATE(YEAR(Q20),MONTH(Q20),DAY(Q20)+R20),EXPEDIENTE!$I$29)))</f>
        <v/>
      </c>
      <c r="T20" s="253" t="str">
        <f>IF(D20="","",IF(AND(P20="NO",Q20="",S20=""),"NO",IF(Q20&gt;EXPEDIENTE!$I$27,"ENTREGA FUERA PLAZO",IF(OR(Q20="",R20=""),"PDTE",IF(S20&lt;N20,"SI","NO")))))</f>
        <v/>
      </c>
      <c r="U20" s="254" t="str">
        <f>IF('RELACIÓN DE FACTURAS'!X24="","",'RELACIÓN DE FACTURAS'!X24)</f>
        <v/>
      </c>
      <c r="V20" s="255" t="str">
        <f>IF('RELACIÓN DE FACTURAS'!Y24="","",'RELACIÓN DE FACTURAS'!Y24)</f>
        <v/>
      </c>
      <c r="W20" s="256"/>
      <c r="X20" s="277" t="str">
        <f t="shared" si="3"/>
        <v/>
      </c>
      <c r="Y20" s="257"/>
    </row>
    <row r="21" spans="2:25" ht="39.950000000000003" customHeight="1" x14ac:dyDescent="0.2">
      <c r="B21" s="120">
        <f>IF(Y21&lt;&gt;"",MAX($B$5:B20)+1,0)</f>
        <v>0</v>
      </c>
      <c r="C21" s="122">
        <v>17</v>
      </c>
      <c r="D21" s="241" t="str">
        <f>IF('RELACIÓN DE FACTURAS'!O25="","",'RELACIÓN DE FACTURAS'!O25)</f>
        <v/>
      </c>
      <c r="E21" s="242" t="str">
        <f>IF(D21="SEGUNDO PAGO O POSTERIORES",E20,IF('RELACIÓN DE FACTURAS'!P25="","",'RELACIÓN DE FACTURAS'!P25))</f>
        <v/>
      </c>
      <c r="F21" s="243" t="str">
        <f>IF(D21="SEGUNDO PAGO O POSTERIORES",F20,IF('RELACIÓN DE FACTURAS'!R25="","",'RELACIÓN DE FACTURAS'!R25))</f>
        <v/>
      </c>
      <c r="G21" s="244" t="str">
        <f>IF(D21="","",IF(AND(D21="NUEVA FACTURA",'RELACIÓN DE FACTURAS'!Q25=""),"",IF(AND(D21="NUEVA FACTURA",'RELACIÓN DE FACTURAS'!Q25&lt;&gt;""),'RELACIÓN DE FACTURAS'!Q25,IF(D21="SEGUNDO PAGO O POSTERIORES",G20,""))))</f>
        <v/>
      </c>
      <c r="H21" s="245"/>
      <c r="I21" s="246" t="str">
        <f>IF(D21="","",IF(J21="","REVISAR",IF(OR(J21&lt;EXPEDIENTE!$I$25,J21&gt;EXPEDIENTE!$I$27),"SI","NO")))</f>
        <v/>
      </c>
      <c r="J21" s="247" t="str">
        <f t="shared" si="0"/>
        <v/>
      </c>
      <c r="K21" s="244" t="str">
        <f>IF(D21="","",IF('RELACIÓN DE FACTURAS'!AF25="","",'RELACIÓN DE FACTURAS'!AF25))</f>
        <v/>
      </c>
      <c r="L21" s="245"/>
      <c r="M21" s="246" t="str">
        <f>IF(D21="","",IF(N21="","REVISAR",IF(OR(N21&lt;EXPEDIENTE!$I$25,N21&gt;EXPEDIENTE!$I$29),"SI","NO")))</f>
        <v/>
      </c>
      <c r="N21" s="248" t="str">
        <f t="shared" si="1"/>
        <v/>
      </c>
      <c r="O21" s="249">
        <f>IF(N21&lt;EXPEDIENTE!$I$25,-1,IF(N21&gt;EXPEDIENTE!$I$29,1,0))</f>
        <v>0</v>
      </c>
      <c r="P21" s="250" t="str">
        <f t="shared" si="2"/>
        <v/>
      </c>
      <c r="Q21" s="245"/>
      <c r="R21" s="251"/>
      <c r="S21" s="252" t="str">
        <f>IF(OR(Q21="",R21=""),"",IF(Q21&gt;EXPEDIENTE!$I$27,"",MIN(DATE(YEAR(Q21),MONTH(Q21),DAY(Q21)+R21),EXPEDIENTE!$I$29)))</f>
        <v/>
      </c>
      <c r="T21" s="253" t="str">
        <f>IF(D21="","",IF(AND(P21="NO",Q21="",S21=""),"NO",IF(Q21&gt;EXPEDIENTE!$I$27,"ENTREGA FUERA PLAZO",IF(OR(Q21="",R21=""),"PDTE",IF(S21&lt;N21,"SI","NO")))))</f>
        <v/>
      </c>
      <c r="U21" s="254" t="str">
        <f>IF('RELACIÓN DE FACTURAS'!X25="","",'RELACIÓN DE FACTURAS'!X25)</f>
        <v/>
      </c>
      <c r="V21" s="255" t="str">
        <f>IF('RELACIÓN DE FACTURAS'!Y25="","",'RELACIÓN DE FACTURAS'!Y25)</f>
        <v/>
      </c>
      <c r="W21" s="256"/>
      <c r="X21" s="277" t="str">
        <f t="shared" si="3"/>
        <v/>
      </c>
      <c r="Y21" s="257"/>
    </row>
    <row r="22" spans="2:25" ht="39.950000000000003" customHeight="1" x14ac:dyDescent="0.2">
      <c r="B22" s="120">
        <f>IF(Y22&lt;&gt;"",MAX($B$5:B21)+1,0)</f>
        <v>0</v>
      </c>
      <c r="C22" s="122">
        <v>18</v>
      </c>
      <c r="D22" s="241" t="str">
        <f>IF('RELACIÓN DE FACTURAS'!O26="","",'RELACIÓN DE FACTURAS'!O26)</f>
        <v/>
      </c>
      <c r="E22" s="242" t="str">
        <f>IF(D22="SEGUNDO PAGO O POSTERIORES",E21,IF('RELACIÓN DE FACTURAS'!P26="","",'RELACIÓN DE FACTURAS'!P26))</f>
        <v/>
      </c>
      <c r="F22" s="243" t="str">
        <f>IF(D22="SEGUNDO PAGO O POSTERIORES",F21,IF('RELACIÓN DE FACTURAS'!R26="","",'RELACIÓN DE FACTURAS'!R26))</f>
        <v/>
      </c>
      <c r="G22" s="244" t="str">
        <f>IF(D22="","",IF(AND(D22="NUEVA FACTURA",'RELACIÓN DE FACTURAS'!Q26=""),"",IF(AND(D22="NUEVA FACTURA",'RELACIÓN DE FACTURAS'!Q26&lt;&gt;""),'RELACIÓN DE FACTURAS'!Q26,IF(D22="SEGUNDO PAGO O POSTERIORES",G21,""))))</f>
        <v/>
      </c>
      <c r="H22" s="245"/>
      <c r="I22" s="246" t="str">
        <f>IF(D22="","",IF(J22="","REVISAR",IF(OR(J22&lt;EXPEDIENTE!$I$25,J22&gt;EXPEDIENTE!$I$27),"SI","NO")))</f>
        <v/>
      </c>
      <c r="J22" s="247" t="str">
        <f t="shared" si="0"/>
        <v/>
      </c>
      <c r="K22" s="244" t="str">
        <f>IF(D22="","",IF('RELACIÓN DE FACTURAS'!AF26="","",'RELACIÓN DE FACTURAS'!AF26))</f>
        <v/>
      </c>
      <c r="L22" s="245"/>
      <c r="M22" s="246" t="str">
        <f>IF(D22="","",IF(N22="","REVISAR",IF(OR(N22&lt;EXPEDIENTE!$I$25,N22&gt;EXPEDIENTE!$I$29),"SI","NO")))</f>
        <v/>
      </c>
      <c r="N22" s="248" t="str">
        <f t="shared" si="1"/>
        <v/>
      </c>
      <c r="O22" s="249">
        <f>IF(N22&lt;EXPEDIENTE!$I$25,-1,IF(N22&gt;EXPEDIENTE!$I$29,1,0))</f>
        <v>0</v>
      </c>
      <c r="P22" s="250" t="str">
        <f t="shared" si="2"/>
        <v/>
      </c>
      <c r="Q22" s="245"/>
      <c r="R22" s="251"/>
      <c r="S22" s="252" t="str">
        <f>IF(OR(Q22="",R22=""),"",IF(Q22&gt;EXPEDIENTE!$I$27,"",MIN(DATE(YEAR(Q22),MONTH(Q22),DAY(Q22)+R22),EXPEDIENTE!$I$29)))</f>
        <v/>
      </c>
      <c r="T22" s="253" t="str">
        <f>IF(D22="","",IF(AND(P22="NO",Q22="",S22=""),"NO",IF(Q22&gt;EXPEDIENTE!$I$27,"ENTREGA FUERA PLAZO",IF(OR(Q22="",R22=""),"PDTE",IF(S22&lt;N22,"SI","NO")))))</f>
        <v/>
      </c>
      <c r="U22" s="254" t="str">
        <f>IF('RELACIÓN DE FACTURAS'!X26="","",'RELACIÓN DE FACTURAS'!X26)</f>
        <v/>
      </c>
      <c r="V22" s="255" t="str">
        <f>IF('RELACIÓN DE FACTURAS'!Y26="","",'RELACIÓN DE FACTURAS'!Y26)</f>
        <v/>
      </c>
      <c r="W22" s="256"/>
      <c r="X22" s="277" t="str">
        <f t="shared" si="3"/>
        <v/>
      </c>
      <c r="Y22" s="257"/>
    </row>
    <row r="23" spans="2:25" ht="39.950000000000003" customHeight="1" x14ac:dyDescent="0.2">
      <c r="B23" s="120">
        <f>IF(Y23&lt;&gt;"",MAX($B$5:B22)+1,0)</f>
        <v>0</v>
      </c>
      <c r="C23" s="122">
        <v>19</v>
      </c>
      <c r="D23" s="241" t="str">
        <f>IF('RELACIÓN DE FACTURAS'!O27="","",'RELACIÓN DE FACTURAS'!O27)</f>
        <v/>
      </c>
      <c r="E23" s="242" t="str">
        <f>IF(D23="SEGUNDO PAGO O POSTERIORES",E22,IF('RELACIÓN DE FACTURAS'!P27="","",'RELACIÓN DE FACTURAS'!P27))</f>
        <v/>
      </c>
      <c r="F23" s="243" t="str">
        <f>IF(D23="SEGUNDO PAGO O POSTERIORES",F22,IF('RELACIÓN DE FACTURAS'!R27="","",'RELACIÓN DE FACTURAS'!R27))</f>
        <v/>
      </c>
      <c r="G23" s="244" t="str">
        <f>IF(D23="","",IF(AND(D23="NUEVA FACTURA",'RELACIÓN DE FACTURAS'!Q27=""),"",IF(AND(D23="NUEVA FACTURA",'RELACIÓN DE FACTURAS'!Q27&lt;&gt;""),'RELACIÓN DE FACTURAS'!Q27,IF(D23="SEGUNDO PAGO O POSTERIORES",G22,""))))</f>
        <v/>
      </c>
      <c r="H23" s="245"/>
      <c r="I23" s="246" t="str">
        <f>IF(D23="","",IF(J23="","REVISAR",IF(OR(J23&lt;EXPEDIENTE!$I$25,J23&gt;EXPEDIENTE!$I$27),"SI","NO")))</f>
        <v/>
      </c>
      <c r="J23" s="247" t="str">
        <f t="shared" si="0"/>
        <v/>
      </c>
      <c r="K23" s="244" t="str">
        <f>IF(D23="","",IF('RELACIÓN DE FACTURAS'!AF27="","",'RELACIÓN DE FACTURAS'!AF27))</f>
        <v/>
      </c>
      <c r="L23" s="245"/>
      <c r="M23" s="246" t="str">
        <f>IF(D23="","",IF(N23="","REVISAR",IF(OR(N23&lt;EXPEDIENTE!$I$25,N23&gt;EXPEDIENTE!$I$29),"SI","NO")))</f>
        <v/>
      </c>
      <c r="N23" s="248" t="str">
        <f t="shared" si="1"/>
        <v/>
      </c>
      <c r="O23" s="249">
        <f>IF(N23&lt;EXPEDIENTE!$I$25,-1,IF(N23&gt;EXPEDIENTE!$I$29,1,0))</f>
        <v>0</v>
      </c>
      <c r="P23" s="250" t="str">
        <f t="shared" si="2"/>
        <v/>
      </c>
      <c r="Q23" s="245"/>
      <c r="R23" s="251"/>
      <c r="S23" s="252" t="str">
        <f>IF(OR(Q23="",R23=""),"",IF(Q23&gt;EXPEDIENTE!$I$27,"",MIN(DATE(YEAR(Q23),MONTH(Q23),DAY(Q23)+R23),EXPEDIENTE!$I$29)))</f>
        <v/>
      </c>
      <c r="T23" s="253" t="str">
        <f>IF(D23="","",IF(AND(P23="NO",Q23="",S23=""),"NO",IF(Q23&gt;EXPEDIENTE!$I$27,"ENTREGA FUERA PLAZO",IF(OR(Q23="",R23=""),"PDTE",IF(S23&lt;N23,"SI","NO")))))</f>
        <v/>
      </c>
      <c r="U23" s="254" t="str">
        <f>IF('RELACIÓN DE FACTURAS'!X27="","",'RELACIÓN DE FACTURAS'!X27)</f>
        <v/>
      </c>
      <c r="V23" s="255" t="str">
        <f>IF('RELACIÓN DE FACTURAS'!Y27="","",'RELACIÓN DE FACTURAS'!Y27)</f>
        <v/>
      </c>
      <c r="W23" s="256"/>
      <c r="X23" s="277" t="str">
        <f t="shared" si="3"/>
        <v/>
      </c>
      <c r="Y23" s="257"/>
    </row>
    <row r="24" spans="2:25" ht="39.950000000000003" customHeight="1" x14ac:dyDescent="0.2">
      <c r="B24" s="120">
        <f>IF(Y24&lt;&gt;"",MAX($B$5:B23)+1,0)</f>
        <v>0</v>
      </c>
      <c r="C24" s="122">
        <v>20</v>
      </c>
      <c r="D24" s="241" t="str">
        <f>IF('RELACIÓN DE FACTURAS'!O28="","",'RELACIÓN DE FACTURAS'!O28)</f>
        <v/>
      </c>
      <c r="E24" s="242" t="str">
        <f>IF(D24="SEGUNDO PAGO O POSTERIORES",E23,IF('RELACIÓN DE FACTURAS'!P28="","",'RELACIÓN DE FACTURAS'!P28))</f>
        <v/>
      </c>
      <c r="F24" s="243" t="str">
        <f>IF(D24="SEGUNDO PAGO O POSTERIORES",F23,IF('RELACIÓN DE FACTURAS'!R28="","",'RELACIÓN DE FACTURAS'!R28))</f>
        <v/>
      </c>
      <c r="G24" s="244" t="str">
        <f>IF(D24="","",IF(AND(D24="NUEVA FACTURA",'RELACIÓN DE FACTURAS'!Q28=""),"",IF(AND(D24="NUEVA FACTURA",'RELACIÓN DE FACTURAS'!Q28&lt;&gt;""),'RELACIÓN DE FACTURAS'!Q28,IF(D24="SEGUNDO PAGO O POSTERIORES",G23,""))))</f>
        <v/>
      </c>
      <c r="H24" s="245"/>
      <c r="I24" s="246" t="str">
        <f>IF(D24="","",IF(J24="","REVISAR",IF(OR(J24&lt;EXPEDIENTE!$I$25,J24&gt;EXPEDIENTE!$I$27),"SI","NO")))</f>
        <v/>
      </c>
      <c r="J24" s="247" t="str">
        <f t="shared" si="0"/>
        <v/>
      </c>
      <c r="K24" s="244" t="str">
        <f>IF(D24="","",IF('RELACIÓN DE FACTURAS'!AF28="","",'RELACIÓN DE FACTURAS'!AF28))</f>
        <v/>
      </c>
      <c r="L24" s="245"/>
      <c r="M24" s="246" t="str">
        <f>IF(D24="","",IF(N24="","REVISAR",IF(OR(N24&lt;EXPEDIENTE!$I$25,N24&gt;EXPEDIENTE!$I$29),"SI","NO")))</f>
        <v/>
      </c>
      <c r="N24" s="248" t="str">
        <f t="shared" si="1"/>
        <v/>
      </c>
      <c r="O24" s="249">
        <f>IF(N24&lt;EXPEDIENTE!$I$25,-1,IF(N24&gt;EXPEDIENTE!$I$29,1,0))</f>
        <v>0</v>
      </c>
      <c r="P24" s="250" t="str">
        <f t="shared" si="2"/>
        <v/>
      </c>
      <c r="Q24" s="245"/>
      <c r="R24" s="251"/>
      <c r="S24" s="252" t="str">
        <f>IF(OR(Q24="",R24=""),"",IF(Q24&gt;EXPEDIENTE!$I$27,"",MIN(DATE(YEAR(Q24),MONTH(Q24),DAY(Q24)+R24),EXPEDIENTE!$I$29)))</f>
        <v/>
      </c>
      <c r="T24" s="253" t="str">
        <f>IF(D24="","",IF(AND(P24="NO",Q24="",S24=""),"NO",IF(Q24&gt;EXPEDIENTE!$I$27,"ENTREGA FUERA PLAZO",IF(OR(Q24="",R24=""),"PDTE",IF(S24&lt;N24,"SI","NO")))))</f>
        <v/>
      </c>
      <c r="U24" s="254" t="str">
        <f>IF('RELACIÓN DE FACTURAS'!X28="","",'RELACIÓN DE FACTURAS'!X28)</f>
        <v/>
      </c>
      <c r="V24" s="255" t="str">
        <f>IF('RELACIÓN DE FACTURAS'!Y28="","",'RELACIÓN DE FACTURAS'!Y28)</f>
        <v/>
      </c>
      <c r="W24" s="256"/>
      <c r="X24" s="277" t="str">
        <f t="shared" si="3"/>
        <v/>
      </c>
      <c r="Y24" s="257"/>
    </row>
    <row r="25" spans="2:25" ht="39.950000000000003" customHeight="1" x14ac:dyDescent="0.2">
      <c r="B25" s="120">
        <f>IF(Y25&lt;&gt;"",MAX($B$5:B24)+1,0)</f>
        <v>0</v>
      </c>
      <c r="C25" s="122">
        <v>21</v>
      </c>
      <c r="D25" s="241" t="str">
        <f>IF('RELACIÓN DE FACTURAS'!O29="","",'RELACIÓN DE FACTURAS'!O29)</f>
        <v/>
      </c>
      <c r="E25" s="242" t="str">
        <f>IF(D25="SEGUNDO PAGO O POSTERIORES",E24,IF('RELACIÓN DE FACTURAS'!P29="","",'RELACIÓN DE FACTURAS'!P29))</f>
        <v/>
      </c>
      <c r="F25" s="243" t="str">
        <f>IF(D25="SEGUNDO PAGO O POSTERIORES",F24,IF('RELACIÓN DE FACTURAS'!R29="","",'RELACIÓN DE FACTURAS'!R29))</f>
        <v/>
      </c>
      <c r="G25" s="244" t="str">
        <f>IF(D25="","",IF(AND(D25="NUEVA FACTURA",'RELACIÓN DE FACTURAS'!Q29=""),"",IF(AND(D25="NUEVA FACTURA",'RELACIÓN DE FACTURAS'!Q29&lt;&gt;""),'RELACIÓN DE FACTURAS'!Q29,IF(D25="SEGUNDO PAGO O POSTERIORES",G24,""))))</f>
        <v/>
      </c>
      <c r="H25" s="245"/>
      <c r="I25" s="246" t="str">
        <f>IF(D25="","",IF(J25="","REVISAR",IF(OR(J25&lt;EXPEDIENTE!$I$25,J25&gt;EXPEDIENTE!$I$27),"SI","NO")))</f>
        <v/>
      </c>
      <c r="J25" s="247" t="str">
        <f t="shared" si="0"/>
        <v/>
      </c>
      <c r="K25" s="244" t="str">
        <f>IF(D25="","",IF('RELACIÓN DE FACTURAS'!AF29="","",'RELACIÓN DE FACTURAS'!AF29))</f>
        <v/>
      </c>
      <c r="L25" s="245"/>
      <c r="M25" s="246" t="str">
        <f>IF(D25="","",IF(N25="","REVISAR",IF(OR(N25&lt;EXPEDIENTE!$I$25,N25&gt;EXPEDIENTE!$I$29),"SI","NO")))</f>
        <v/>
      </c>
      <c r="N25" s="248" t="str">
        <f t="shared" si="1"/>
        <v/>
      </c>
      <c r="O25" s="249">
        <f>IF(N25&lt;EXPEDIENTE!$I$25,-1,IF(N25&gt;EXPEDIENTE!$I$29,1,0))</f>
        <v>0</v>
      </c>
      <c r="P25" s="250" t="str">
        <f t="shared" si="2"/>
        <v/>
      </c>
      <c r="Q25" s="245"/>
      <c r="R25" s="251"/>
      <c r="S25" s="252" t="str">
        <f>IF(OR(Q25="",R25=""),"",IF(Q25&gt;EXPEDIENTE!$I$27,"",MIN(DATE(YEAR(Q25),MONTH(Q25),DAY(Q25)+R25),EXPEDIENTE!$I$29)))</f>
        <v/>
      </c>
      <c r="T25" s="253" t="str">
        <f>IF(D25="","",IF(AND(P25="NO",Q25="",S25=""),"NO",IF(Q25&gt;EXPEDIENTE!$I$27,"ENTREGA FUERA PLAZO",IF(OR(Q25="",R25=""),"PDTE",IF(S25&lt;N25,"SI","NO")))))</f>
        <v/>
      </c>
      <c r="U25" s="254" t="str">
        <f>IF('RELACIÓN DE FACTURAS'!X29="","",'RELACIÓN DE FACTURAS'!X29)</f>
        <v/>
      </c>
      <c r="V25" s="255" t="str">
        <f>IF('RELACIÓN DE FACTURAS'!Y29="","",'RELACIÓN DE FACTURAS'!Y29)</f>
        <v/>
      </c>
      <c r="W25" s="256"/>
      <c r="X25" s="277" t="str">
        <f t="shared" si="3"/>
        <v/>
      </c>
      <c r="Y25" s="257"/>
    </row>
    <row r="26" spans="2:25" ht="39.950000000000003" customHeight="1" x14ac:dyDescent="0.2">
      <c r="B26" s="120">
        <f>IF(Y26&lt;&gt;"",MAX($B$5:B25)+1,0)</f>
        <v>0</v>
      </c>
      <c r="C26" s="122">
        <v>22</v>
      </c>
      <c r="D26" s="241" t="str">
        <f>IF('RELACIÓN DE FACTURAS'!O30="","",'RELACIÓN DE FACTURAS'!O30)</f>
        <v/>
      </c>
      <c r="E26" s="242" t="str">
        <f>IF(D26="SEGUNDO PAGO O POSTERIORES",E25,IF('RELACIÓN DE FACTURAS'!P30="","",'RELACIÓN DE FACTURAS'!P30))</f>
        <v/>
      </c>
      <c r="F26" s="243" t="str">
        <f>IF(D26="SEGUNDO PAGO O POSTERIORES",F25,IF('RELACIÓN DE FACTURAS'!R30="","",'RELACIÓN DE FACTURAS'!R30))</f>
        <v/>
      </c>
      <c r="G26" s="244" t="str">
        <f>IF(D26="","",IF(AND(D26="NUEVA FACTURA",'RELACIÓN DE FACTURAS'!Q30=""),"",IF(AND(D26="NUEVA FACTURA",'RELACIÓN DE FACTURAS'!Q30&lt;&gt;""),'RELACIÓN DE FACTURAS'!Q30,IF(D26="SEGUNDO PAGO O POSTERIORES",G25,""))))</f>
        <v/>
      </c>
      <c r="H26" s="245"/>
      <c r="I26" s="246" t="str">
        <f>IF(D26="","",IF(J26="","REVISAR",IF(OR(J26&lt;EXPEDIENTE!$I$25,J26&gt;EXPEDIENTE!$I$27),"SI","NO")))</f>
        <v/>
      </c>
      <c r="J26" s="247" t="str">
        <f t="shared" si="0"/>
        <v/>
      </c>
      <c r="K26" s="244" t="str">
        <f>IF(D26="","",IF('RELACIÓN DE FACTURAS'!AF30="","",'RELACIÓN DE FACTURAS'!AF30))</f>
        <v/>
      </c>
      <c r="L26" s="245"/>
      <c r="M26" s="246" t="str">
        <f>IF(D26="","",IF(N26="","REVISAR",IF(OR(N26&lt;EXPEDIENTE!$I$25,N26&gt;EXPEDIENTE!$I$29),"SI","NO")))</f>
        <v/>
      </c>
      <c r="N26" s="248" t="str">
        <f t="shared" si="1"/>
        <v/>
      </c>
      <c r="O26" s="249">
        <f>IF(N26&lt;EXPEDIENTE!$I$25,-1,IF(N26&gt;EXPEDIENTE!$I$29,1,0))</f>
        <v>0</v>
      </c>
      <c r="P26" s="250" t="str">
        <f t="shared" si="2"/>
        <v/>
      </c>
      <c r="Q26" s="245"/>
      <c r="R26" s="251"/>
      <c r="S26" s="252" t="str">
        <f>IF(OR(Q26="",R26=""),"",IF(Q26&gt;EXPEDIENTE!$I$27,"",MIN(DATE(YEAR(Q26),MONTH(Q26),DAY(Q26)+R26),EXPEDIENTE!$I$29)))</f>
        <v/>
      </c>
      <c r="T26" s="253" t="str">
        <f>IF(D26="","",IF(AND(P26="NO",Q26="",S26=""),"NO",IF(Q26&gt;EXPEDIENTE!$I$27,"ENTREGA FUERA PLAZO",IF(OR(Q26="",R26=""),"PDTE",IF(S26&lt;N26,"SI","NO")))))</f>
        <v/>
      </c>
      <c r="U26" s="254" t="str">
        <f>IF('RELACIÓN DE FACTURAS'!X30="","",'RELACIÓN DE FACTURAS'!X30)</f>
        <v/>
      </c>
      <c r="V26" s="255" t="str">
        <f>IF('RELACIÓN DE FACTURAS'!Y30="","",'RELACIÓN DE FACTURAS'!Y30)</f>
        <v/>
      </c>
      <c r="W26" s="256"/>
      <c r="X26" s="277" t="str">
        <f t="shared" si="3"/>
        <v/>
      </c>
      <c r="Y26" s="257"/>
    </row>
    <row r="27" spans="2:25" ht="39.950000000000003" customHeight="1" x14ac:dyDescent="0.2">
      <c r="B27" s="120">
        <f>IF(Y27&lt;&gt;"",MAX($B$5:B26)+1,0)</f>
        <v>0</v>
      </c>
      <c r="C27" s="122">
        <v>23</v>
      </c>
      <c r="D27" s="241" t="str">
        <f>IF('RELACIÓN DE FACTURAS'!O31="","",'RELACIÓN DE FACTURAS'!O31)</f>
        <v/>
      </c>
      <c r="E27" s="242" t="str">
        <f>IF(D27="SEGUNDO PAGO O POSTERIORES",E26,IF('RELACIÓN DE FACTURAS'!P31="","",'RELACIÓN DE FACTURAS'!P31))</f>
        <v/>
      </c>
      <c r="F27" s="243" t="str">
        <f>IF(D27="SEGUNDO PAGO O POSTERIORES",F26,IF('RELACIÓN DE FACTURAS'!R31="","",'RELACIÓN DE FACTURAS'!R31))</f>
        <v/>
      </c>
      <c r="G27" s="244" t="str">
        <f>IF(D27="","",IF(AND(D27="NUEVA FACTURA",'RELACIÓN DE FACTURAS'!Q31=""),"",IF(AND(D27="NUEVA FACTURA",'RELACIÓN DE FACTURAS'!Q31&lt;&gt;""),'RELACIÓN DE FACTURAS'!Q31,IF(D27="SEGUNDO PAGO O POSTERIORES",G26,""))))</f>
        <v/>
      </c>
      <c r="H27" s="245"/>
      <c r="I27" s="246" t="str">
        <f>IF(D27="","",IF(J27="","REVISAR",IF(OR(J27&lt;EXPEDIENTE!$I$25,J27&gt;EXPEDIENTE!$I$27),"SI","NO")))</f>
        <v/>
      </c>
      <c r="J27" s="247" t="str">
        <f t="shared" si="0"/>
        <v/>
      </c>
      <c r="K27" s="244" t="str">
        <f>IF(D27="","",IF('RELACIÓN DE FACTURAS'!AF31="","",'RELACIÓN DE FACTURAS'!AF31))</f>
        <v/>
      </c>
      <c r="L27" s="245"/>
      <c r="M27" s="246" t="str">
        <f>IF(D27="","",IF(N27="","REVISAR",IF(OR(N27&lt;EXPEDIENTE!$I$25,N27&gt;EXPEDIENTE!$I$29),"SI","NO")))</f>
        <v/>
      </c>
      <c r="N27" s="248" t="str">
        <f t="shared" si="1"/>
        <v/>
      </c>
      <c r="O27" s="249">
        <f>IF(N27&lt;EXPEDIENTE!$I$25,-1,IF(N27&gt;EXPEDIENTE!$I$29,1,0))</f>
        <v>0</v>
      </c>
      <c r="P27" s="250" t="str">
        <f t="shared" si="2"/>
        <v/>
      </c>
      <c r="Q27" s="245"/>
      <c r="R27" s="251"/>
      <c r="S27" s="252" t="str">
        <f>IF(OR(Q27="",R27=""),"",IF(Q27&gt;EXPEDIENTE!$I$27,"",MIN(DATE(YEAR(Q27),MONTH(Q27),DAY(Q27)+R27),EXPEDIENTE!$I$29)))</f>
        <v/>
      </c>
      <c r="T27" s="253" t="str">
        <f>IF(D27="","",IF(AND(P27="NO",Q27="",S27=""),"NO",IF(Q27&gt;EXPEDIENTE!$I$27,"ENTREGA FUERA PLAZO",IF(OR(Q27="",R27=""),"PDTE",IF(S27&lt;N27,"SI","NO")))))</f>
        <v/>
      </c>
      <c r="U27" s="254" t="str">
        <f>IF('RELACIÓN DE FACTURAS'!X31="","",'RELACIÓN DE FACTURAS'!X31)</f>
        <v/>
      </c>
      <c r="V27" s="255" t="str">
        <f>IF('RELACIÓN DE FACTURAS'!Y31="","",'RELACIÓN DE FACTURAS'!Y31)</f>
        <v/>
      </c>
      <c r="W27" s="256"/>
      <c r="X27" s="277" t="str">
        <f t="shared" si="3"/>
        <v/>
      </c>
      <c r="Y27" s="257"/>
    </row>
    <row r="28" spans="2:25" ht="39.950000000000003" customHeight="1" x14ac:dyDescent="0.2">
      <c r="B28" s="120">
        <f>IF(Y28&lt;&gt;"",MAX($B$5:B27)+1,0)</f>
        <v>0</v>
      </c>
      <c r="C28" s="122">
        <v>24</v>
      </c>
      <c r="D28" s="241" t="str">
        <f>IF('RELACIÓN DE FACTURAS'!O32="","",'RELACIÓN DE FACTURAS'!O32)</f>
        <v/>
      </c>
      <c r="E28" s="242" t="str">
        <f>IF(D28="SEGUNDO PAGO O POSTERIORES",E27,IF('RELACIÓN DE FACTURAS'!P32="","",'RELACIÓN DE FACTURAS'!P32))</f>
        <v/>
      </c>
      <c r="F28" s="243" t="str">
        <f>IF(D28="SEGUNDO PAGO O POSTERIORES",F27,IF('RELACIÓN DE FACTURAS'!R32="","",'RELACIÓN DE FACTURAS'!R32))</f>
        <v/>
      </c>
      <c r="G28" s="244" t="str">
        <f>IF(D28="","",IF(AND(D28="NUEVA FACTURA",'RELACIÓN DE FACTURAS'!Q32=""),"",IF(AND(D28="NUEVA FACTURA",'RELACIÓN DE FACTURAS'!Q32&lt;&gt;""),'RELACIÓN DE FACTURAS'!Q32,IF(D28="SEGUNDO PAGO O POSTERIORES",G27,""))))</f>
        <v/>
      </c>
      <c r="H28" s="245"/>
      <c r="I28" s="246" t="str">
        <f>IF(D28="","",IF(J28="","REVISAR",IF(OR(J28&lt;EXPEDIENTE!$I$25,J28&gt;EXPEDIENTE!$I$27),"SI","NO")))</f>
        <v/>
      </c>
      <c r="J28" s="247" t="str">
        <f t="shared" si="0"/>
        <v/>
      </c>
      <c r="K28" s="244" t="str">
        <f>IF(D28="","",IF('RELACIÓN DE FACTURAS'!AF32="","",'RELACIÓN DE FACTURAS'!AF32))</f>
        <v/>
      </c>
      <c r="L28" s="245"/>
      <c r="M28" s="246" t="str">
        <f>IF(D28="","",IF(N28="","REVISAR",IF(OR(N28&lt;EXPEDIENTE!$I$25,N28&gt;EXPEDIENTE!$I$29),"SI","NO")))</f>
        <v/>
      </c>
      <c r="N28" s="248" t="str">
        <f t="shared" si="1"/>
        <v/>
      </c>
      <c r="O28" s="249">
        <f>IF(N28&lt;EXPEDIENTE!$I$25,-1,IF(N28&gt;EXPEDIENTE!$I$29,1,0))</f>
        <v>0</v>
      </c>
      <c r="P28" s="250" t="str">
        <f t="shared" si="2"/>
        <v/>
      </c>
      <c r="Q28" s="245"/>
      <c r="R28" s="251"/>
      <c r="S28" s="252" t="str">
        <f>IF(OR(Q28="",R28=""),"",IF(Q28&gt;EXPEDIENTE!$I$27,"",MIN(DATE(YEAR(Q28),MONTH(Q28),DAY(Q28)+R28),EXPEDIENTE!$I$29)))</f>
        <v/>
      </c>
      <c r="T28" s="253" t="str">
        <f>IF(D28="","",IF(AND(P28="NO",Q28="",S28=""),"NO",IF(Q28&gt;EXPEDIENTE!$I$27,"ENTREGA FUERA PLAZO",IF(OR(Q28="",R28=""),"PDTE",IF(S28&lt;N28,"SI","NO")))))</f>
        <v/>
      </c>
      <c r="U28" s="254" t="str">
        <f>IF('RELACIÓN DE FACTURAS'!X32="","",'RELACIÓN DE FACTURAS'!X32)</f>
        <v/>
      </c>
      <c r="V28" s="255" t="str">
        <f>IF('RELACIÓN DE FACTURAS'!Y32="","",'RELACIÓN DE FACTURAS'!Y32)</f>
        <v/>
      </c>
      <c r="W28" s="256"/>
      <c r="X28" s="277" t="str">
        <f t="shared" si="3"/>
        <v/>
      </c>
      <c r="Y28" s="257"/>
    </row>
    <row r="29" spans="2:25" ht="39.950000000000003" customHeight="1" x14ac:dyDescent="0.2">
      <c r="B29" s="120">
        <f>IF(Y29&lt;&gt;"",MAX($B$5:B28)+1,0)</f>
        <v>0</v>
      </c>
      <c r="C29" s="122">
        <v>25</v>
      </c>
      <c r="D29" s="241" t="str">
        <f>IF('RELACIÓN DE FACTURAS'!O33="","",'RELACIÓN DE FACTURAS'!O33)</f>
        <v/>
      </c>
      <c r="E29" s="242" t="str">
        <f>IF(D29="SEGUNDO PAGO O POSTERIORES",E28,IF('RELACIÓN DE FACTURAS'!P33="","",'RELACIÓN DE FACTURAS'!P33))</f>
        <v/>
      </c>
      <c r="F29" s="243" t="str">
        <f>IF(D29="SEGUNDO PAGO O POSTERIORES",F28,IF('RELACIÓN DE FACTURAS'!R33="","",'RELACIÓN DE FACTURAS'!R33))</f>
        <v/>
      </c>
      <c r="G29" s="244" t="str">
        <f>IF(D29="","",IF(AND(D29="NUEVA FACTURA",'RELACIÓN DE FACTURAS'!Q33=""),"",IF(AND(D29="NUEVA FACTURA",'RELACIÓN DE FACTURAS'!Q33&lt;&gt;""),'RELACIÓN DE FACTURAS'!Q33,IF(D29="SEGUNDO PAGO O POSTERIORES",G28,""))))</f>
        <v/>
      </c>
      <c r="H29" s="245"/>
      <c r="I29" s="246" t="str">
        <f>IF(D29="","",IF(J29="","REVISAR",IF(OR(J29&lt;EXPEDIENTE!$I$25,J29&gt;EXPEDIENTE!$I$27),"SI","NO")))</f>
        <v/>
      </c>
      <c r="J29" s="247" t="str">
        <f t="shared" si="0"/>
        <v/>
      </c>
      <c r="K29" s="244" t="str">
        <f>IF(D29="","",IF('RELACIÓN DE FACTURAS'!AF33="","",'RELACIÓN DE FACTURAS'!AF33))</f>
        <v/>
      </c>
      <c r="L29" s="245"/>
      <c r="M29" s="246" t="str">
        <f>IF(D29="","",IF(N29="","REVISAR",IF(OR(N29&lt;EXPEDIENTE!$I$25,N29&gt;EXPEDIENTE!$I$29),"SI","NO")))</f>
        <v/>
      </c>
      <c r="N29" s="248" t="str">
        <f t="shared" si="1"/>
        <v/>
      </c>
      <c r="O29" s="249">
        <f>IF(N29&lt;EXPEDIENTE!$I$25,-1,IF(N29&gt;EXPEDIENTE!$I$29,1,0))</f>
        <v>0</v>
      </c>
      <c r="P29" s="250" t="str">
        <f t="shared" si="2"/>
        <v/>
      </c>
      <c r="Q29" s="245"/>
      <c r="R29" s="251"/>
      <c r="S29" s="252" t="str">
        <f>IF(OR(Q29="",R29=""),"",IF(Q29&gt;EXPEDIENTE!$I$27,"",MIN(DATE(YEAR(Q29),MONTH(Q29),DAY(Q29)+R29),EXPEDIENTE!$I$29)))</f>
        <v/>
      </c>
      <c r="T29" s="253" t="str">
        <f>IF(D29="","",IF(AND(P29="NO",Q29="",S29=""),"NO",IF(Q29&gt;EXPEDIENTE!$I$27,"ENTREGA FUERA PLAZO",IF(OR(Q29="",R29=""),"PDTE",IF(S29&lt;N29,"SI","NO")))))</f>
        <v/>
      </c>
      <c r="U29" s="254" t="str">
        <f>IF('RELACIÓN DE FACTURAS'!X33="","",'RELACIÓN DE FACTURAS'!X33)</f>
        <v/>
      </c>
      <c r="V29" s="255" t="str">
        <f>IF('RELACIÓN DE FACTURAS'!Y33="","",'RELACIÓN DE FACTURAS'!Y33)</f>
        <v/>
      </c>
      <c r="W29" s="256"/>
      <c r="X29" s="277" t="str">
        <f t="shared" si="3"/>
        <v/>
      </c>
      <c r="Y29" s="257"/>
    </row>
    <row r="30" spans="2:25" ht="39.950000000000003" customHeight="1" x14ac:dyDescent="0.2">
      <c r="B30" s="120">
        <f>IF(Y30&lt;&gt;"",MAX($B$5:B29)+1,0)</f>
        <v>0</v>
      </c>
      <c r="C30" s="122">
        <v>26</v>
      </c>
      <c r="D30" s="241" t="str">
        <f>IF('RELACIÓN DE FACTURAS'!O34="","",'RELACIÓN DE FACTURAS'!O34)</f>
        <v/>
      </c>
      <c r="E30" s="242" t="str">
        <f>IF(D30="SEGUNDO PAGO O POSTERIORES",E29,IF('RELACIÓN DE FACTURAS'!P34="","",'RELACIÓN DE FACTURAS'!P34))</f>
        <v/>
      </c>
      <c r="F30" s="243" t="str">
        <f>IF(D30="SEGUNDO PAGO O POSTERIORES",F29,IF('RELACIÓN DE FACTURAS'!R34="","",'RELACIÓN DE FACTURAS'!R34))</f>
        <v/>
      </c>
      <c r="G30" s="244" t="str">
        <f>IF(D30="","",IF(AND(D30="NUEVA FACTURA",'RELACIÓN DE FACTURAS'!Q34=""),"",IF(AND(D30="NUEVA FACTURA",'RELACIÓN DE FACTURAS'!Q34&lt;&gt;""),'RELACIÓN DE FACTURAS'!Q34,IF(D30="SEGUNDO PAGO O POSTERIORES",G29,""))))</f>
        <v/>
      </c>
      <c r="H30" s="245"/>
      <c r="I30" s="246" t="str">
        <f>IF(D30="","",IF(J30="","REVISAR",IF(OR(J30&lt;EXPEDIENTE!$I$25,J30&gt;EXPEDIENTE!$I$27),"SI","NO")))</f>
        <v/>
      </c>
      <c r="J30" s="247" t="str">
        <f t="shared" si="0"/>
        <v/>
      </c>
      <c r="K30" s="244" t="str">
        <f>IF(D30="","",IF('RELACIÓN DE FACTURAS'!AF34="","",'RELACIÓN DE FACTURAS'!AF34))</f>
        <v/>
      </c>
      <c r="L30" s="245"/>
      <c r="M30" s="246" t="str">
        <f>IF(D30="","",IF(N30="","REVISAR",IF(OR(N30&lt;EXPEDIENTE!$I$25,N30&gt;EXPEDIENTE!$I$29),"SI","NO")))</f>
        <v/>
      </c>
      <c r="N30" s="248" t="str">
        <f t="shared" si="1"/>
        <v/>
      </c>
      <c r="O30" s="249">
        <f>IF(N30&lt;EXPEDIENTE!$I$25,-1,IF(N30&gt;EXPEDIENTE!$I$29,1,0))</f>
        <v>0</v>
      </c>
      <c r="P30" s="250" t="str">
        <f t="shared" si="2"/>
        <v/>
      </c>
      <c r="Q30" s="245"/>
      <c r="R30" s="251"/>
      <c r="S30" s="252" t="str">
        <f>IF(OR(Q30="",R30=""),"",IF(Q30&gt;EXPEDIENTE!$I$27,"",MIN(DATE(YEAR(Q30),MONTH(Q30),DAY(Q30)+R30),EXPEDIENTE!$I$29)))</f>
        <v/>
      </c>
      <c r="T30" s="253" t="str">
        <f>IF(D30="","",IF(AND(P30="NO",Q30="",S30=""),"NO",IF(Q30&gt;EXPEDIENTE!$I$27,"ENTREGA FUERA PLAZO",IF(OR(Q30="",R30=""),"PDTE",IF(S30&lt;N30,"SI","NO")))))</f>
        <v/>
      </c>
      <c r="U30" s="254" t="str">
        <f>IF('RELACIÓN DE FACTURAS'!X34="","",'RELACIÓN DE FACTURAS'!X34)</f>
        <v/>
      </c>
      <c r="V30" s="255" t="str">
        <f>IF('RELACIÓN DE FACTURAS'!Y34="","",'RELACIÓN DE FACTURAS'!Y34)</f>
        <v/>
      </c>
      <c r="W30" s="256"/>
      <c r="X30" s="277" t="str">
        <f t="shared" si="3"/>
        <v/>
      </c>
      <c r="Y30" s="257"/>
    </row>
    <row r="31" spans="2:25" ht="39.950000000000003" customHeight="1" x14ac:dyDescent="0.2">
      <c r="B31" s="120">
        <f>IF(Y31&lt;&gt;"",MAX($B$5:B30)+1,0)</f>
        <v>0</v>
      </c>
      <c r="C31" s="122">
        <v>27</v>
      </c>
      <c r="D31" s="241" t="str">
        <f>IF('RELACIÓN DE FACTURAS'!O35="","",'RELACIÓN DE FACTURAS'!O35)</f>
        <v/>
      </c>
      <c r="E31" s="242" t="str">
        <f>IF(D31="SEGUNDO PAGO O POSTERIORES",E30,IF('RELACIÓN DE FACTURAS'!P35="","",'RELACIÓN DE FACTURAS'!P35))</f>
        <v/>
      </c>
      <c r="F31" s="243" t="str">
        <f>IF(D31="SEGUNDO PAGO O POSTERIORES",F30,IF('RELACIÓN DE FACTURAS'!R35="","",'RELACIÓN DE FACTURAS'!R35))</f>
        <v/>
      </c>
      <c r="G31" s="244" t="str">
        <f>IF(D31="","",IF(AND(D31="NUEVA FACTURA",'RELACIÓN DE FACTURAS'!Q35=""),"",IF(AND(D31="NUEVA FACTURA",'RELACIÓN DE FACTURAS'!Q35&lt;&gt;""),'RELACIÓN DE FACTURAS'!Q35,IF(D31="SEGUNDO PAGO O POSTERIORES",G30,""))))</f>
        <v/>
      </c>
      <c r="H31" s="245"/>
      <c r="I31" s="246" t="str">
        <f>IF(D31="","",IF(J31="","REVISAR",IF(OR(J31&lt;EXPEDIENTE!$I$25,J31&gt;EXPEDIENTE!$I$27),"SI","NO")))</f>
        <v/>
      </c>
      <c r="J31" s="247" t="str">
        <f t="shared" si="0"/>
        <v/>
      </c>
      <c r="K31" s="244" t="str">
        <f>IF(D31="","",IF('RELACIÓN DE FACTURAS'!AF35="","",'RELACIÓN DE FACTURAS'!AF35))</f>
        <v/>
      </c>
      <c r="L31" s="245"/>
      <c r="M31" s="246" t="str">
        <f>IF(D31="","",IF(N31="","REVISAR",IF(OR(N31&lt;EXPEDIENTE!$I$25,N31&gt;EXPEDIENTE!$I$29),"SI","NO")))</f>
        <v/>
      </c>
      <c r="N31" s="248" t="str">
        <f t="shared" si="1"/>
        <v/>
      </c>
      <c r="O31" s="249">
        <f>IF(N31&lt;EXPEDIENTE!$I$25,-1,IF(N31&gt;EXPEDIENTE!$I$29,1,0))</f>
        <v>0</v>
      </c>
      <c r="P31" s="250" t="str">
        <f t="shared" si="2"/>
        <v/>
      </c>
      <c r="Q31" s="245"/>
      <c r="R31" s="251"/>
      <c r="S31" s="252" t="str">
        <f>IF(OR(Q31="",R31=""),"",IF(Q31&gt;EXPEDIENTE!$I$27,"",MIN(DATE(YEAR(Q31),MONTH(Q31),DAY(Q31)+R31),EXPEDIENTE!$I$29)))</f>
        <v/>
      </c>
      <c r="T31" s="253" t="str">
        <f>IF(D31="","",IF(AND(P31="NO",Q31="",S31=""),"NO",IF(Q31&gt;EXPEDIENTE!$I$27,"ENTREGA FUERA PLAZO",IF(OR(Q31="",R31=""),"PDTE",IF(S31&lt;N31,"SI","NO")))))</f>
        <v/>
      </c>
      <c r="U31" s="254" t="str">
        <f>IF('RELACIÓN DE FACTURAS'!X35="","",'RELACIÓN DE FACTURAS'!X35)</f>
        <v/>
      </c>
      <c r="V31" s="255" t="str">
        <f>IF('RELACIÓN DE FACTURAS'!Y35="","",'RELACIÓN DE FACTURAS'!Y35)</f>
        <v/>
      </c>
      <c r="W31" s="256"/>
      <c r="X31" s="277" t="str">
        <f t="shared" si="3"/>
        <v/>
      </c>
      <c r="Y31" s="257"/>
    </row>
    <row r="32" spans="2:25" ht="39.950000000000003" customHeight="1" x14ac:dyDescent="0.2">
      <c r="B32" s="120">
        <f>IF(Y32&lt;&gt;"",MAX($B$5:B31)+1,0)</f>
        <v>0</v>
      </c>
      <c r="C32" s="122">
        <v>28</v>
      </c>
      <c r="D32" s="241" t="str">
        <f>IF('RELACIÓN DE FACTURAS'!O36="","",'RELACIÓN DE FACTURAS'!O36)</f>
        <v/>
      </c>
      <c r="E32" s="242" t="str">
        <f>IF(D32="SEGUNDO PAGO O POSTERIORES",E31,IF('RELACIÓN DE FACTURAS'!P36="","",'RELACIÓN DE FACTURAS'!P36))</f>
        <v/>
      </c>
      <c r="F32" s="243" t="str">
        <f>IF(D32="SEGUNDO PAGO O POSTERIORES",F31,IF('RELACIÓN DE FACTURAS'!R36="","",'RELACIÓN DE FACTURAS'!R36))</f>
        <v/>
      </c>
      <c r="G32" s="244" t="str">
        <f>IF(D32="","",IF(AND(D32="NUEVA FACTURA",'RELACIÓN DE FACTURAS'!Q36=""),"",IF(AND(D32="NUEVA FACTURA",'RELACIÓN DE FACTURAS'!Q36&lt;&gt;""),'RELACIÓN DE FACTURAS'!Q36,IF(D32="SEGUNDO PAGO O POSTERIORES",G31,""))))</f>
        <v/>
      </c>
      <c r="H32" s="245"/>
      <c r="I32" s="246" t="str">
        <f>IF(D32="","",IF(J32="","REVISAR",IF(OR(J32&lt;EXPEDIENTE!$I$25,J32&gt;EXPEDIENTE!$I$27),"SI","NO")))</f>
        <v/>
      </c>
      <c r="J32" s="247" t="str">
        <f t="shared" si="0"/>
        <v/>
      </c>
      <c r="K32" s="244" t="str">
        <f>IF(D32="","",IF('RELACIÓN DE FACTURAS'!AF36="","",'RELACIÓN DE FACTURAS'!AF36))</f>
        <v/>
      </c>
      <c r="L32" s="245"/>
      <c r="M32" s="246" t="str">
        <f>IF(D32="","",IF(N32="","REVISAR",IF(OR(N32&lt;EXPEDIENTE!$I$25,N32&gt;EXPEDIENTE!$I$29),"SI","NO")))</f>
        <v/>
      </c>
      <c r="N32" s="248" t="str">
        <f t="shared" si="1"/>
        <v/>
      </c>
      <c r="O32" s="249">
        <f>IF(N32&lt;EXPEDIENTE!$I$25,-1,IF(N32&gt;EXPEDIENTE!$I$29,1,0))</f>
        <v>0</v>
      </c>
      <c r="P32" s="250" t="str">
        <f t="shared" si="2"/>
        <v/>
      </c>
      <c r="Q32" s="245"/>
      <c r="R32" s="251"/>
      <c r="S32" s="252" t="str">
        <f>IF(OR(Q32="",R32=""),"",IF(Q32&gt;EXPEDIENTE!$I$27,"",MIN(DATE(YEAR(Q32),MONTH(Q32),DAY(Q32)+R32),EXPEDIENTE!$I$29)))</f>
        <v/>
      </c>
      <c r="T32" s="253" t="str">
        <f>IF(D32="","",IF(AND(P32="NO",Q32="",S32=""),"NO",IF(Q32&gt;EXPEDIENTE!$I$27,"ENTREGA FUERA PLAZO",IF(OR(Q32="",R32=""),"PDTE",IF(S32&lt;N32,"SI","NO")))))</f>
        <v/>
      </c>
      <c r="U32" s="254" t="str">
        <f>IF('RELACIÓN DE FACTURAS'!X36="","",'RELACIÓN DE FACTURAS'!X36)</f>
        <v/>
      </c>
      <c r="V32" s="255" t="str">
        <f>IF('RELACIÓN DE FACTURAS'!Y36="","",'RELACIÓN DE FACTURAS'!Y36)</f>
        <v/>
      </c>
      <c r="W32" s="256"/>
      <c r="X32" s="277" t="str">
        <f t="shared" si="3"/>
        <v/>
      </c>
      <c r="Y32" s="257"/>
    </row>
    <row r="33" spans="2:25" ht="39.950000000000003" customHeight="1" x14ac:dyDescent="0.2">
      <c r="B33" s="120">
        <f>IF(Y33&lt;&gt;"",MAX($B$5:B32)+1,0)</f>
        <v>0</v>
      </c>
      <c r="C33" s="122">
        <v>29</v>
      </c>
      <c r="D33" s="241" t="str">
        <f>IF('RELACIÓN DE FACTURAS'!O37="","",'RELACIÓN DE FACTURAS'!O37)</f>
        <v/>
      </c>
      <c r="E33" s="242" t="str">
        <f>IF(D33="SEGUNDO PAGO O POSTERIORES",E32,IF('RELACIÓN DE FACTURAS'!P37="","",'RELACIÓN DE FACTURAS'!P37))</f>
        <v/>
      </c>
      <c r="F33" s="243" t="str">
        <f>IF(D33="SEGUNDO PAGO O POSTERIORES",F32,IF('RELACIÓN DE FACTURAS'!R37="","",'RELACIÓN DE FACTURAS'!R37))</f>
        <v/>
      </c>
      <c r="G33" s="244" t="str">
        <f>IF(D33="","",IF(AND(D33="NUEVA FACTURA",'RELACIÓN DE FACTURAS'!Q37=""),"",IF(AND(D33="NUEVA FACTURA",'RELACIÓN DE FACTURAS'!Q37&lt;&gt;""),'RELACIÓN DE FACTURAS'!Q37,IF(D33="SEGUNDO PAGO O POSTERIORES",G32,""))))</f>
        <v/>
      </c>
      <c r="H33" s="245"/>
      <c r="I33" s="246" t="str">
        <f>IF(D33="","",IF(J33="","REVISAR",IF(OR(J33&lt;EXPEDIENTE!$I$25,J33&gt;EXPEDIENTE!$I$27),"SI","NO")))</f>
        <v/>
      </c>
      <c r="J33" s="247" t="str">
        <f t="shared" ref="J33:J79" si="4">IF(D33="","",IF(H33&lt;&gt;"",H33,G33))</f>
        <v/>
      </c>
      <c r="K33" s="244" t="str">
        <f>IF(D33="","",IF('RELACIÓN DE FACTURAS'!AF37="","",'RELACIÓN DE FACTURAS'!AF37))</f>
        <v/>
      </c>
      <c r="L33" s="245"/>
      <c r="M33" s="246" t="str">
        <f>IF(D33="","",IF(N33="","REVISAR",IF(OR(N33&lt;EXPEDIENTE!$I$25,N33&gt;EXPEDIENTE!$I$29),"SI","NO")))</f>
        <v/>
      </c>
      <c r="N33" s="248" t="str">
        <f t="shared" ref="N33:N79" si="5">IF(D33="","",IF(L33&lt;&gt;"",L33,K33))</f>
        <v/>
      </c>
      <c r="O33" s="249">
        <f>IF(N33&lt;EXPEDIENTE!$I$25,-1,IF(N33&gt;EXPEDIENTE!$I$29,1,0))</f>
        <v>0</v>
      </c>
      <c r="P33" s="250" t="str">
        <f t="shared" ref="P33:P79" si="6">IF(D33="","",IF(OR(J33="",N33=""),"PDTE",IF(N33-J33&gt;30,"SI","NO")))</f>
        <v/>
      </c>
      <c r="Q33" s="245"/>
      <c r="R33" s="251"/>
      <c r="S33" s="252" t="str">
        <f>IF(OR(Q33="",R33=""),"",IF(Q33&gt;EXPEDIENTE!$I$27,"",MIN(DATE(YEAR(Q33),MONTH(Q33),DAY(Q33)+R33),EXPEDIENTE!$I$29)))</f>
        <v/>
      </c>
      <c r="T33" s="253" t="str">
        <f>IF(D33="","",IF(AND(P33="NO",Q33="",S33=""),"NO",IF(Q33&gt;EXPEDIENTE!$I$27,"ENTREGA FUERA PLAZO",IF(OR(Q33="",R33=""),"PDTE",IF(S33&lt;N33,"SI","NO")))))</f>
        <v/>
      </c>
      <c r="U33" s="254" t="str">
        <f>IF('RELACIÓN DE FACTURAS'!X37="","",'RELACIÓN DE FACTURAS'!X37)</f>
        <v/>
      </c>
      <c r="V33" s="255" t="str">
        <f>IF('RELACIÓN DE FACTURAS'!Y37="","",'RELACIÓN DE FACTURAS'!Y37)</f>
        <v/>
      </c>
      <c r="W33" s="256"/>
      <c r="X33" s="277" t="str">
        <f t="shared" ref="X33:X79" si="7">IF(D33="","",IF(AND(I33="NO",M33="NO",T33="NO",W33="NO"),"OK","NO OK"))</f>
        <v/>
      </c>
      <c r="Y33" s="257"/>
    </row>
    <row r="34" spans="2:25" ht="39.950000000000003" customHeight="1" x14ac:dyDescent="0.2">
      <c r="B34" s="120">
        <f>IF(Y34&lt;&gt;"",MAX($B$5:B33)+1,0)</f>
        <v>0</v>
      </c>
      <c r="C34" s="122">
        <v>30</v>
      </c>
      <c r="D34" s="241" t="str">
        <f>IF('RELACIÓN DE FACTURAS'!O38="","",'RELACIÓN DE FACTURAS'!O38)</f>
        <v/>
      </c>
      <c r="E34" s="242" t="str">
        <f>IF(D34="SEGUNDO PAGO O POSTERIORES",E33,IF('RELACIÓN DE FACTURAS'!P38="","",'RELACIÓN DE FACTURAS'!P38))</f>
        <v/>
      </c>
      <c r="F34" s="243" t="str">
        <f>IF(D34="SEGUNDO PAGO O POSTERIORES",F33,IF('RELACIÓN DE FACTURAS'!R38="","",'RELACIÓN DE FACTURAS'!R38))</f>
        <v/>
      </c>
      <c r="G34" s="244" t="str">
        <f>IF(D34="","",IF(AND(D34="NUEVA FACTURA",'RELACIÓN DE FACTURAS'!Q38=""),"",IF(AND(D34="NUEVA FACTURA",'RELACIÓN DE FACTURAS'!Q38&lt;&gt;""),'RELACIÓN DE FACTURAS'!Q38,IF(D34="SEGUNDO PAGO O POSTERIORES",G33,""))))</f>
        <v/>
      </c>
      <c r="H34" s="245"/>
      <c r="I34" s="246" t="str">
        <f>IF(D34="","",IF(J34="","REVISAR",IF(OR(J34&lt;EXPEDIENTE!$I$25,J34&gt;EXPEDIENTE!$I$27),"SI","NO")))</f>
        <v/>
      </c>
      <c r="J34" s="247" t="str">
        <f t="shared" si="4"/>
        <v/>
      </c>
      <c r="K34" s="244" t="str">
        <f>IF(D34="","",IF('RELACIÓN DE FACTURAS'!AF38="","",'RELACIÓN DE FACTURAS'!AF38))</f>
        <v/>
      </c>
      <c r="L34" s="245"/>
      <c r="M34" s="246" t="str">
        <f>IF(D34="","",IF(N34="","REVISAR",IF(OR(N34&lt;EXPEDIENTE!$I$25,N34&gt;EXPEDIENTE!$I$29),"SI","NO")))</f>
        <v/>
      </c>
      <c r="N34" s="248" t="str">
        <f t="shared" si="5"/>
        <v/>
      </c>
      <c r="O34" s="249">
        <f>IF(N34&lt;EXPEDIENTE!$I$25,-1,IF(N34&gt;EXPEDIENTE!$I$29,1,0))</f>
        <v>0</v>
      </c>
      <c r="P34" s="250" t="str">
        <f t="shared" si="6"/>
        <v/>
      </c>
      <c r="Q34" s="245"/>
      <c r="R34" s="251"/>
      <c r="S34" s="252" t="str">
        <f>IF(OR(Q34="",R34=""),"",IF(Q34&gt;EXPEDIENTE!$I$27,"",MIN(DATE(YEAR(Q34),MONTH(Q34),DAY(Q34)+R34),EXPEDIENTE!$I$29)))</f>
        <v/>
      </c>
      <c r="T34" s="253" t="str">
        <f>IF(D34="","",IF(AND(P34="NO",Q34="",S34=""),"NO",IF(Q34&gt;EXPEDIENTE!$I$27,"ENTREGA FUERA PLAZO",IF(OR(Q34="",R34=""),"PDTE",IF(S34&lt;N34,"SI","NO")))))</f>
        <v/>
      </c>
      <c r="U34" s="254" t="str">
        <f>IF('RELACIÓN DE FACTURAS'!X38="","",'RELACIÓN DE FACTURAS'!X38)</f>
        <v/>
      </c>
      <c r="V34" s="255" t="str">
        <f>IF('RELACIÓN DE FACTURAS'!Y38="","",'RELACIÓN DE FACTURAS'!Y38)</f>
        <v/>
      </c>
      <c r="W34" s="256"/>
      <c r="X34" s="277" t="str">
        <f t="shared" si="7"/>
        <v/>
      </c>
      <c r="Y34" s="257"/>
    </row>
    <row r="35" spans="2:25" ht="39.950000000000003" customHeight="1" x14ac:dyDescent="0.2">
      <c r="B35" s="120">
        <f>IF(Y35&lt;&gt;"",MAX($B$5:B34)+1,0)</f>
        <v>0</v>
      </c>
      <c r="C35" s="122">
        <v>31</v>
      </c>
      <c r="D35" s="241" t="str">
        <f>IF('RELACIÓN DE FACTURAS'!O39="","",'RELACIÓN DE FACTURAS'!O39)</f>
        <v/>
      </c>
      <c r="E35" s="242" t="str">
        <f>IF(D35="SEGUNDO PAGO O POSTERIORES",E34,IF('RELACIÓN DE FACTURAS'!P39="","",'RELACIÓN DE FACTURAS'!P39))</f>
        <v/>
      </c>
      <c r="F35" s="243" t="str">
        <f>IF(D35="SEGUNDO PAGO O POSTERIORES",F34,IF('RELACIÓN DE FACTURAS'!R39="","",'RELACIÓN DE FACTURAS'!R39))</f>
        <v/>
      </c>
      <c r="G35" s="244" t="str">
        <f>IF(D35="","",IF(AND(D35="NUEVA FACTURA",'RELACIÓN DE FACTURAS'!Q39=""),"",IF(AND(D35="NUEVA FACTURA",'RELACIÓN DE FACTURAS'!Q39&lt;&gt;""),'RELACIÓN DE FACTURAS'!Q39,IF(D35="SEGUNDO PAGO O POSTERIORES",G34,""))))</f>
        <v/>
      </c>
      <c r="H35" s="245"/>
      <c r="I35" s="246" t="str">
        <f>IF(D35="","",IF(J35="","REVISAR",IF(OR(J35&lt;EXPEDIENTE!$I$25,J35&gt;EXPEDIENTE!$I$27),"SI","NO")))</f>
        <v/>
      </c>
      <c r="J35" s="247" t="str">
        <f t="shared" si="4"/>
        <v/>
      </c>
      <c r="K35" s="244" t="str">
        <f>IF(D35="","",IF('RELACIÓN DE FACTURAS'!AF39="","",'RELACIÓN DE FACTURAS'!AF39))</f>
        <v/>
      </c>
      <c r="L35" s="245"/>
      <c r="M35" s="246" t="str">
        <f>IF(D35="","",IF(N35="","REVISAR",IF(OR(N35&lt;EXPEDIENTE!$I$25,N35&gt;EXPEDIENTE!$I$29),"SI","NO")))</f>
        <v/>
      </c>
      <c r="N35" s="248" t="str">
        <f t="shared" si="5"/>
        <v/>
      </c>
      <c r="O35" s="249">
        <f>IF(N35&lt;EXPEDIENTE!$I$25,-1,IF(N35&gt;EXPEDIENTE!$I$29,1,0))</f>
        <v>0</v>
      </c>
      <c r="P35" s="250" t="str">
        <f t="shared" si="6"/>
        <v/>
      </c>
      <c r="Q35" s="245"/>
      <c r="R35" s="251"/>
      <c r="S35" s="252" t="str">
        <f>IF(OR(Q35="",R35=""),"",IF(Q35&gt;EXPEDIENTE!$I$27,"",MIN(DATE(YEAR(Q35),MONTH(Q35),DAY(Q35)+R35),EXPEDIENTE!$I$29)))</f>
        <v/>
      </c>
      <c r="T35" s="253" t="str">
        <f>IF(D35="","",IF(AND(P35="NO",Q35="",S35=""),"NO",IF(Q35&gt;EXPEDIENTE!$I$27,"ENTREGA FUERA PLAZO",IF(OR(Q35="",R35=""),"PDTE",IF(S35&lt;N35,"SI","NO")))))</f>
        <v/>
      </c>
      <c r="U35" s="254" t="str">
        <f>IF('RELACIÓN DE FACTURAS'!X39="","",'RELACIÓN DE FACTURAS'!X39)</f>
        <v/>
      </c>
      <c r="V35" s="255" t="str">
        <f>IF('RELACIÓN DE FACTURAS'!Y39="","",'RELACIÓN DE FACTURAS'!Y39)</f>
        <v/>
      </c>
      <c r="W35" s="256"/>
      <c r="X35" s="277" t="str">
        <f t="shared" si="7"/>
        <v/>
      </c>
      <c r="Y35" s="257"/>
    </row>
    <row r="36" spans="2:25" ht="39.950000000000003" customHeight="1" x14ac:dyDescent="0.2">
      <c r="B36" s="120">
        <f>IF(Y36&lt;&gt;"",MAX($B$5:B35)+1,0)</f>
        <v>0</v>
      </c>
      <c r="C36" s="122">
        <v>32</v>
      </c>
      <c r="D36" s="241" t="str">
        <f>IF('RELACIÓN DE FACTURAS'!O40="","",'RELACIÓN DE FACTURAS'!O40)</f>
        <v/>
      </c>
      <c r="E36" s="242" t="str">
        <f>IF(D36="SEGUNDO PAGO O POSTERIORES",E35,IF('RELACIÓN DE FACTURAS'!P40="","",'RELACIÓN DE FACTURAS'!P40))</f>
        <v/>
      </c>
      <c r="F36" s="243" t="str">
        <f>IF(D36="SEGUNDO PAGO O POSTERIORES",F35,IF('RELACIÓN DE FACTURAS'!R40="","",'RELACIÓN DE FACTURAS'!R40))</f>
        <v/>
      </c>
      <c r="G36" s="244" t="str">
        <f>IF(D36="","",IF(AND(D36="NUEVA FACTURA",'RELACIÓN DE FACTURAS'!Q40=""),"",IF(AND(D36="NUEVA FACTURA",'RELACIÓN DE FACTURAS'!Q40&lt;&gt;""),'RELACIÓN DE FACTURAS'!Q40,IF(D36="SEGUNDO PAGO O POSTERIORES",G35,""))))</f>
        <v/>
      </c>
      <c r="H36" s="245"/>
      <c r="I36" s="246" t="str">
        <f>IF(D36="","",IF(J36="","REVISAR",IF(OR(J36&lt;EXPEDIENTE!$I$25,J36&gt;EXPEDIENTE!$I$27),"SI","NO")))</f>
        <v/>
      </c>
      <c r="J36" s="247" t="str">
        <f t="shared" si="4"/>
        <v/>
      </c>
      <c r="K36" s="244" t="str">
        <f>IF(D36="","",IF('RELACIÓN DE FACTURAS'!AF40="","",'RELACIÓN DE FACTURAS'!AF40))</f>
        <v/>
      </c>
      <c r="L36" s="245"/>
      <c r="M36" s="246" t="str">
        <f>IF(D36="","",IF(N36="","REVISAR",IF(OR(N36&lt;EXPEDIENTE!$I$25,N36&gt;EXPEDIENTE!$I$29),"SI","NO")))</f>
        <v/>
      </c>
      <c r="N36" s="248" t="str">
        <f t="shared" si="5"/>
        <v/>
      </c>
      <c r="O36" s="249">
        <f>IF(N36&lt;EXPEDIENTE!$I$25,-1,IF(N36&gt;EXPEDIENTE!$I$29,1,0))</f>
        <v>0</v>
      </c>
      <c r="P36" s="250" t="str">
        <f t="shared" si="6"/>
        <v/>
      </c>
      <c r="Q36" s="245"/>
      <c r="R36" s="251"/>
      <c r="S36" s="252" t="str">
        <f>IF(OR(Q36="",R36=""),"",IF(Q36&gt;EXPEDIENTE!$I$27,"",MIN(DATE(YEAR(Q36),MONTH(Q36),DAY(Q36)+R36),EXPEDIENTE!$I$29)))</f>
        <v/>
      </c>
      <c r="T36" s="253" t="str">
        <f>IF(D36="","",IF(AND(P36="NO",Q36="",S36=""),"NO",IF(Q36&gt;EXPEDIENTE!$I$27,"ENTREGA FUERA PLAZO",IF(OR(Q36="",R36=""),"PDTE",IF(S36&lt;N36,"SI","NO")))))</f>
        <v/>
      </c>
      <c r="U36" s="254" t="str">
        <f>IF('RELACIÓN DE FACTURAS'!X40="","",'RELACIÓN DE FACTURAS'!X40)</f>
        <v/>
      </c>
      <c r="V36" s="255" t="str">
        <f>IF('RELACIÓN DE FACTURAS'!Y40="","",'RELACIÓN DE FACTURAS'!Y40)</f>
        <v/>
      </c>
      <c r="W36" s="256"/>
      <c r="X36" s="277" t="str">
        <f t="shared" si="7"/>
        <v/>
      </c>
      <c r="Y36" s="257"/>
    </row>
    <row r="37" spans="2:25" ht="39.950000000000003" customHeight="1" x14ac:dyDescent="0.2">
      <c r="B37" s="120">
        <f>IF(Y37&lt;&gt;"",MAX($B$5:B36)+1,0)</f>
        <v>0</v>
      </c>
      <c r="C37" s="122">
        <v>33</v>
      </c>
      <c r="D37" s="241" t="str">
        <f>IF('RELACIÓN DE FACTURAS'!O41="","",'RELACIÓN DE FACTURAS'!O41)</f>
        <v/>
      </c>
      <c r="E37" s="242" t="str">
        <f>IF(D37="SEGUNDO PAGO O POSTERIORES",E36,IF('RELACIÓN DE FACTURAS'!P41="","",'RELACIÓN DE FACTURAS'!P41))</f>
        <v/>
      </c>
      <c r="F37" s="243" t="str">
        <f>IF(D37="SEGUNDO PAGO O POSTERIORES",F36,IF('RELACIÓN DE FACTURAS'!R41="","",'RELACIÓN DE FACTURAS'!R41))</f>
        <v/>
      </c>
      <c r="G37" s="244" t="str">
        <f>IF(D37="","",IF(AND(D37="NUEVA FACTURA",'RELACIÓN DE FACTURAS'!Q41=""),"",IF(AND(D37="NUEVA FACTURA",'RELACIÓN DE FACTURAS'!Q41&lt;&gt;""),'RELACIÓN DE FACTURAS'!Q41,IF(D37="SEGUNDO PAGO O POSTERIORES",G36,""))))</f>
        <v/>
      </c>
      <c r="H37" s="245"/>
      <c r="I37" s="246" t="str">
        <f>IF(D37="","",IF(J37="","REVISAR",IF(OR(J37&lt;EXPEDIENTE!$I$25,J37&gt;EXPEDIENTE!$I$27),"SI","NO")))</f>
        <v/>
      </c>
      <c r="J37" s="247" t="str">
        <f t="shared" si="4"/>
        <v/>
      </c>
      <c r="K37" s="244" t="str">
        <f>IF(D37="","",IF('RELACIÓN DE FACTURAS'!AF41="","",'RELACIÓN DE FACTURAS'!AF41))</f>
        <v/>
      </c>
      <c r="L37" s="245"/>
      <c r="M37" s="246" t="str">
        <f>IF(D37="","",IF(N37="","REVISAR",IF(OR(N37&lt;EXPEDIENTE!$I$25,N37&gt;EXPEDIENTE!$I$29),"SI","NO")))</f>
        <v/>
      </c>
      <c r="N37" s="248" t="str">
        <f t="shared" si="5"/>
        <v/>
      </c>
      <c r="O37" s="249">
        <f>IF(N37&lt;EXPEDIENTE!$I$25,-1,IF(N37&gt;EXPEDIENTE!$I$29,1,0))</f>
        <v>0</v>
      </c>
      <c r="P37" s="250" t="str">
        <f t="shared" si="6"/>
        <v/>
      </c>
      <c r="Q37" s="245"/>
      <c r="R37" s="251"/>
      <c r="S37" s="252" t="str">
        <f>IF(OR(Q37="",R37=""),"",IF(Q37&gt;EXPEDIENTE!$I$27,"",MIN(DATE(YEAR(Q37),MONTH(Q37),DAY(Q37)+R37),EXPEDIENTE!$I$29)))</f>
        <v/>
      </c>
      <c r="T37" s="253" t="str">
        <f>IF(D37="","",IF(AND(P37="NO",Q37="",S37=""),"NO",IF(Q37&gt;EXPEDIENTE!$I$27,"ENTREGA FUERA PLAZO",IF(OR(Q37="",R37=""),"PDTE",IF(S37&lt;N37,"SI","NO")))))</f>
        <v/>
      </c>
      <c r="U37" s="254" t="str">
        <f>IF('RELACIÓN DE FACTURAS'!X41="","",'RELACIÓN DE FACTURAS'!X41)</f>
        <v/>
      </c>
      <c r="V37" s="255" t="str">
        <f>IF('RELACIÓN DE FACTURAS'!Y41="","",'RELACIÓN DE FACTURAS'!Y41)</f>
        <v/>
      </c>
      <c r="W37" s="256"/>
      <c r="X37" s="277" t="str">
        <f t="shared" si="7"/>
        <v/>
      </c>
      <c r="Y37" s="257"/>
    </row>
    <row r="38" spans="2:25" ht="39.950000000000003" customHeight="1" x14ac:dyDescent="0.2">
      <c r="B38" s="120">
        <f>IF(Y38&lt;&gt;"",MAX($B$5:B37)+1,0)</f>
        <v>0</v>
      </c>
      <c r="C38" s="122">
        <v>34</v>
      </c>
      <c r="D38" s="241" t="str">
        <f>IF('RELACIÓN DE FACTURAS'!O42="","",'RELACIÓN DE FACTURAS'!O42)</f>
        <v/>
      </c>
      <c r="E38" s="242" t="str">
        <f>IF(D38="SEGUNDO PAGO O POSTERIORES",E37,IF('RELACIÓN DE FACTURAS'!P42="","",'RELACIÓN DE FACTURAS'!P42))</f>
        <v/>
      </c>
      <c r="F38" s="243" t="str">
        <f>IF(D38="SEGUNDO PAGO O POSTERIORES",F37,IF('RELACIÓN DE FACTURAS'!R42="","",'RELACIÓN DE FACTURAS'!R42))</f>
        <v/>
      </c>
      <c r="G38" s="244" t="str">
        <f>IF(D38="","",IF(AND(D38="NUEVA FACTURA",'RELACIÓN DE FACTURAS'!Q42=""),"",IF(AND(D38="NUEVA FACTURA",'RELACIÓN DE FACTURAS'!Q42&lt;&gt;""),'RELACIÓN DE FACTURAS'!Q42,IF(D38="SEGUNDO PAGO O POSTERIORES",G37,""))))</f>
        <v/>
      </c>
      <c r="H38" s="245"/>
      <c r="I38" s="246" t="str">
        <f>IF(D38="","",IF(J38="","REVISAR",IF(OR(J38&lt;EXPEDIENTE!$I$25,J38&gt;EXPEDIENTE!$I$27),"SI","NO")))</f>
        <v/>
      </c>
      <c r="J38" s="247" t="str">
        <f t="shared" si="4"/>
        <v/>
      </c>
      <c r="K38" s="244" t="str">
        <f>IF(D38="","",IF('RELACIÓN DE FACTURAS'!AF42="","",'RELACIÓN DE FACTURAS'!AF42))</f>
        <v/>
      </c>
      <c r="L38" s="245"/>
      <c r="M38" s="246" t="str">
        <f>IF(D38="","",IF(N38="","REVISAR",IF(OR(N38&lt;EXPEDIENTE!$I$25,N38&gt;EXPEDIENTE!$I$29),"SI","NO")))</f>
        <v/>
      </c>
      <c r="N38" s="248" t="str">
        <f t="shared" si="5"/>
        <v/>
      </c>
      <c r="O38" s="249">
        <f>IF(N38&lt;EXPEDIENTE!$I$25,-1,IF(N38&gt;EXPEDIENTE!$I$29,1,0))</f>
        <v>0</v>
      </c>
      <c r="P38" s="250" t="str">
        <f t="shared" si="6"/>
        <v/>
      </c>
      <c r="Q38" s="245"/>
      <c r="R38" s="251"/>
      <c r="S38" s="252" t="str">
        <f>IF(OR(Q38="",R38=""),"",IF(Q38&gt;EXPEDIENTE!$I$27,"",MIN(DATE(YEAR(Q38),MONTH(Q38),DAY(Q38)+R38),EXPEDIENTE!$I$29)))</f>
        <v/>
      </c>
      <c r="T38" s="253" t="str">
        <f>IF(D38="","",IF(AND(P38="NO",Q38="",S38=""),"NO",IF(Q38&gt;EXPEDIENTE!$I$27,"ENTREGA FUERA PLAZO",IF(OR(Q38="",R38=""),"PDTE",IF(S38&lt;N38,"SI","NO")))))</f>
        <v/>
      </c>
      <c r="U38" s="254" t="str">
        <f>IF('RELACIÓN DE FACTURAS'!X42="","",'RELACIÓN DE FACTURAS'!X42)</f>
        <v/>
      </c>
      <c r="V38" s="255" t="str">
        <f>IF('RELACIÓN DE FACTURAS'!Y42="","",'RELACIÓN DE FACTURAS'!Y42)</f>
        <v/>
      </c>
      <c r="W38" s="256"/>
      <c r="X38" s="277" t="str">
        <f t="shared" si="7"/>
        <v/>
      </c>
      <c r="Y38" s="257"/>
    </row>
    <row r="39" spans="2:25" ht="39.950000000000003" customHeight="1" x14ac:dyDescent="0.2">
      <c r="B39" s="120">
        <f>IF(Y39&lt;&gt;"",MAX($B$5:B38)+1,0)</f>
        <v>0</v>
      </c>
      <c r="C39" s="122">
        <v>35</v>
      </c>
      <c r="D39" s="241" t="str">
        <f>IF('RELACIÓN DE FACTURAS'!O43="","",'RELACIÓN DE FACTURAS'!O43)</f>
        <v/>
      </c>
      <c r="E39" s="242" t="str">
        <f>IF(D39="SEGUNDO PAGO O POSTERIORES",E38,IF('RELACIÓN DE FACTURAS'!P43="","",'RELACIÓN DE FACTURAS'!P43))</f>
        <v/>
      </c>
      <c r="F39" s="243" t="str">
        <f>IF(D39="SEGUNDO PAGO O POSTERIORES",F38,IF('RELACIÓN DE FACTURAS'!R43="","",'RELACIÓN DE FACTURAS'!R43))</f>
        <v/>
      </c>
      <c r="G39" s="244" t="str">
        <f>IF(D39="","",IF(AND(D39="NUEVA FACTURA",'RELACIÓN DE FACTURAS'!Q43=""),"",IF(AND(D39="NUEVA FACTURA",'RELACIÓN DE FACTURAS'!Q43&lt;&gt;""),'RELACIÓN DE FACTURAS'!Q43,IF(D39="SEGUNDO PAGO O POSTERIORES",G38,""))))</f>
        <v/>
      </c>
      <c r="H39" s="245"/>
      <c r="I39" s="246" t="str">
        <f>IF(D39="","",IF(J39="","REVISAR",IF(OR(J39&lt;EXPEDIENTE!$I$25,J39&gt;EXPEDIENTE!$I$27),"SI","NO")))</f>
        <v/>
      </c>
      <c r="J39" s="247" t="str">
        <f t="shared" si="4"/>
        <v/>
      </c>
      <c r="K39" s="244" t="str">
        <f>IF(D39="","",IF('RELACIÓN DE FACTURAS'!AF43="","",'RELACIÓN DE FACTURAS'!AF43))</f>
        <v/>
      </c>
      <c r="L39" s="245"/>
      <c r="M39" s="246" t="str">
        <f>IF(D39="","",IF(N39="","REVISAR",IF(OR(N39&lt;EXPEDIENTE!$I$25,N39&gt;EXPEDIENTE!$I$29),"SI","NO")))</f>
        <v/>
      </c>
      <c r="N39" s="248" t="str">
        <f t="shared" si="5"/>
        <v/>
      </c>
      <c r="O39" s="249">
        <f>IF(N39&lt;EXPEDIENTE!$I$25,-1,IF(N39&gt;EXPEDIENTE!$I$29,1,0))</f>
        <v>0</v>
      </c>
      <c r="P39" s="250" t="str">
        <f t="shared" si="6"/>
        <v/>
      </c>
      <c r="Q39" s="245"/>
      <c r="R39" s="251"/>
      <c r="S39" s="252" t="str">
        <f>IF(OR(Q39="",R39=""),"",IF(Q39&gt;EXPEDIENTE!$I$27,"",MIN(DATE(YEAR(Q39),MONTH(Q39),DAY(Q39)+R39),EXPEDIENTE!$I$29)))</f>
        <v/>
      </c>
      <c r="T39" s="253" t="str">
        <f>IF(D39="","",IF(AND(P39="NO",Q39="",S39=""),"NO",IF(Q39&gt;EXPEDIENTE!$I$27,"ENTREGA FUERA PLAZO",IF(OR(Q39="",R39=""),"PDTE",IF(S39&lt;N39,"SI","NO")))))</f>
        <v/>
      </c>
      <c r="U39" s="254" t="str">
        <f>IF('RELACIÓN DE FACTURAS'!X43="","",'RELACIÓN DE FACTURAS'!X43)</f>
        <v/>
      </c>
      <c r="V39" s="255" t="str">
        <f>IF('RELACIÓN DE FACTURAS'!Y43="","",'RELACIÓN DE FACTURAS'!Y43)</f>
        <v/>
      </c>
      <c r="W39" s="256"/>
      <c r="X39" s="277" t="str">
        <f t="shared" si="7"/>
        <v/>
      </c>
      <c r="Y39" s="257"/>
    </row>
    <row r="40" spans="2:25" ht="39.950000000000003" customHeight="1" x14ac:dyDescent="0.2">
      <c r="B40" s="120">
        <f>IF(Y40&lt;&gt;"",MAX($B$5:B39)+1,0)</f>
        <v>0</v>
      </c>
      <c r="C40" s="122">
        <v>36</v>
      </c>
      <c r="D40" s="241" t="str">
        <f>IF('RELACIÓN DE FACTURAS'!O44="","",'RELACIÓN DE FACTURAS'!O44)</f>
        <v/>
      </c>
      <c r="E40" s="242" t="str">
        <f>IF(D40="SEGUNDO PAGO O POSTERIORES",E39,IF('RELACIÓN DE FACTURAS'!P44="","",'RELACIÓN DE FACTURAS'!P44))</f>
        <v/>
      </c>
      <c r="F40" s="243" t="str">
        <f>IF(D40="SEGUNDO PAGO O POSTERIORES",F39,IF('RELACIÓN DE FACTURAS'!R44="","",'RELACIÓN DE FACTURAS'!R44))</f>
        <v/>
      </c>
      <c r="G40" s="244" t="str">
        <f>IF(D40="","",IF(AND(D40="NUEVA FACTURA",'RELACIÓN DE FACTURAS'!Q44=""),"",IF(AND(D40="NUEVA FACTURA",'RELACIÓN DE FACTURAS'!Q44&lt;&gt;""),'RELACIÓN DE FACTURAS'!Q44,IF(D40="SEGUNDO PAGO O POSTERIORES",G39,""))))</f>
        <v/>
      </c>
      <c r="H40" s="245"/>
      <c r="I40" s="246" t="str">
        <f>IF(D40="","",IF(J40="","REVISAR",IF(OR(J40&lt;EXPEDIENTE!$I$25,J40&gt;EXPEDIENTE!$I$27),"SI","NO")))</f>
        <v/>
      </c>
      <c r="J40" s="247" t="str">
        <f t="shared" si="4"/>
        <v/>
      </c>
      <c r="K40" s="244" t="str">
        <f>IF(D40="","",IF('RELACIÓN DE FACTURAS'!AF44="","",'RELACIÓN DE FACTURAS'!AF44))</f>
        <v/>
      </c>
      <c r="L40" s="245"/>
      <c r="M40" s="246" t="str">
        <f>IF(D40="","",IF(N40="","REVISAR",IF(OR(N40&lt;EXPEDIENTE!$I$25,N40&gt;EXPEDIENTE!$I$29),"SI","NO")))</f>
        <v/>
      </c>
      <c r="N40" s="248" t="str">
        <f t="shared" si="5"/>
        <v/>
      </c>
      <c r="O40" s="249">
        <f>IF(N40&lt;EXPEDIENTE!$I$25,-1,IF(N40&gt;EXPEDIENTE!$I$29,1,0))</f>
        <v>0</v>
      </c>
      <c r="P40" s="250" t="str">
        <f t="shared" si="6"/>
        <v/>
      </c>
      <c r="Q40" s="245"/>
      <c r="R40" s="251"/>
      <c r="S40" s="252" t="str">
        <f>IF(OR(Q40="",R40=""),"",IF(Q40&gt;EXPEDIENTE!$I$27,"",MIN(DATE(YEAR(Q40),MONTH(Q40),DAY(Q40)+R40),EXPEDIENTE!$I$29)))</f>
        <v/>
      </c>
      <c r="T40" s="253" t="str">
        <f>IF(D40="","",IF(AND(P40="NO",Q40="",S40=""),"NO",IF(Q40&gt;EXPEDIENTE!$I$27,"ENTREGA FUERA PLAZO",IF(OR(Q40="",R40=""),"PDTE",IF(S40&lt;N40,"SI","NO")))))</f>
        <v/>
      </c>
      <c r="U40" s="254" t="str">
        <f>IF('RELACIÓN DE FACTURAS'!X44="","",'RELACIÓN DE FACTURAS'!X44)</f>
        <v/>
      </c>
      <c r="V40" s="255" t="str">
        <f>IF('RELACIÓN DE FACTURAS'!Y44="","",'RELACIÓN DE FACTURAS'!Y44)</f>
        <v/>
      </c>
      <c r="W40" s="256"/>
      <c r="X40" s="277" t="str">
        <f t="shared" si="7"/>
        <v/>
      </c>
      <c r="Y40" s="257"/>
    </row>
    <row r="41" spans="2:25" ht="39.950000000000003" customHeight="1" x14ac:dyDescent="0.2">
      <c r="B41" s="120">
        <f>IF(Y41&lt;&gt;"",MAX($B$5:B40)+1,0)</f>
        <v>0</v>
      </c>
      <c r="C41" s="122">
        <v>37</v>
      </c>
      <c r="D41" s="241" t="str">
        <f>IF('RELACIÓN DE FACTURAS'!O45="","",'RELACIÓN DE FACTURAS'!O45)</f>
        <v/>
      </c>
      <c r="E41" s="242" t="str">
        <f>IF(D41="SEGUNDO PAGO O POSTERIORES",E40,IF('RELACIÓN DE FACTURAS'!P45="","",'RELACIÓN DE FACTURAS'!P45))</f>
        <v/>
      </c>
      <c r="F41" s="243" t="str">
        <f>IF(D41="SEGUNDO PAGO O POSTERIORES",F40,IF('RELACIÓN DE FACTURAS'!R45="","",'RELACIÓN DE FACTURAS'!R45))</f>
        <v/>
      </c>
      <c r="G41" s="244" t="str">
        <f>IF(D41="","",IF(AND(D41="NUEVA FACTURA",'RELACIÓN DE FACTURAS'!Q45=""),"",IF(AND(D41="NUEVA FACTURA",'RELACIÓN DE FACTURAS'!Q45&lt;&gt;""),'RELACIÓN DE FACTURAS'!Q45,IF(D41="SEGUNDO PAGO O POSTERIORES",G40,""))))</f>
        <v/>
      </c>
      <c r="H41" s="245"/>
      <c r="I41" s="246" t="str">
        <f>IF(D41="","",IF(J41="","REVISAR",IF(OR(J41&lt;EXPEDIENTE!$I$25,J41&gt;EXPEDIENTE!$I$27),"SI","NO")))</f>
        <v/>
      </c>
      <c r="J41" s="247" t="str">
        <f t="shared" si="4"/>
        <v/>
      </c>
      <c r="K41" s="244" t="str">
        <f>IF(D41="","",IF('RELACIÓN DE FACTURAS'!AF45="","",'RELACIÓN DE FACTURAS'!AF45))</f>
        <v/>
      </c>
      <c r="L41" s="245"/>
      <c r="M41" s="246" t="str">
        <f>IF(D41="","",IF(N41="","REVISAR",IF(OR(N41&lt;EXPEDIENTE!$I$25,N41&gt;EXPEDIENTE!$I$29),"SI","NO")))</f>
        <v/>
      </c>
      <c r="N41" s="248" t="str">
        <f t="shared" si="5"/>
        <v/>
      </c>
      <c r="O41" s="249">
        <f>IF(N41&lt;EXPEDIENTE!$I$25,-1,IF(N41&gt;EXPEDIENTE!$I$29,1,0))</f>
        <v>0</v>
      </c>
      <c r="P41" s="250" t="str">
        <f t="shared" si="6"/>
        <v/>
      </c>
      <c r="Q41" s="245"/>
      <c r="R41" s="251"/>
      <c r="S41" s="252" t="str">
        <f>IF(OR(Q41="",R41=""),"",IF(Q41&gt;EXPEDIENTE!$I$27,"",MIN(DATE(YEAR(Q41),MONTH(Q41),DAY(Q41)+R41),EXPEDIENTE!$I$29)))</f>
        <v/>
      </c>
      <c r="T41" s="253" t="str">
        <f>IF(D41="","",IF(AND(P41="NO",Q41="",S41=""),"NO",IF(Q41&gt;EXPEDIENTE!$I$27,"ENTREGA FUERA PLAZO",IF(OR(Q41="",R41=""),"PDTE",IF(S41&lt;N41,"SI","NO")))))</f>
        <v/>
      </c>
      <c r="U41" s="254" t="str">
        <f>IF('RELACIÓN DE FACTURAS'!X45="","",'RELACIÓN DE FACTURAS'!X45)</f>
        <v/>
      </c>
      <c r="V41" s="255" t="str">
        <f>IF('RELACIÓN DE FACTURAS'!Y45="","",'RELACIÓN DE FACTURAS'!Y45)</f>
        <v/>
      </c>
      <c r="W41" s="256"/>
      <c r="X41" s="277" t="str">
        <f t="shared" si="7"/>
        <v/>
      </c>
      <c r="Y41" s="257"/>
    </row>
    <row r="42" spans="2:25" ht="39.950000000000003" customHeight="1" x14ac:dyDescent="0.2">
      <c r="B42" s="120">
        <f>IF(Y42&lt;&gt;"",MAX($B$5:B41)+1,0)</f>
        <v>0</v>
      </c>
      <c r="C42" s="122">
        <v>38</v>
      </c>
      <c r="D42" s="241" t="str">
        <f>IF('RELACIÓN DE FACTURAS'!O46="","",'RELACIÓN DE FACTURAS'!O46)</f>
        <v/>
      </c>
      <c r="E42" s="242" t="str">
        <f>IF(D42="SEGUNDO PAGO O POSTERIORES",E41,IF('RELACIÓN DE FACTURAS'!P46="","",'RELACIÓN DE FACTURAS'!P46))</f>
        <v/>
      </c>
      <c r="F42" s="243" t="str">
        <f>IF(D42="SEGUNDO PAGO O POSTERIORES",F41,IF('RELACIÓN DE FACTURAS'!R46="","",'RELACIÓN DE FACTURAS'!R46))</f>
        <v/>
      </c>
      <c r="G42" s="244" t="str">
        <f>IF(D42="","",IF(AND(D42="NUEVA FACTURA",'RELACIÓN DE FACTURAS'!Q46=""),"",IF(AND(D42="NUEVA FACTURA",'RELACIÓN DE FACTURAS'!Q46&lt;&gt;""),'RELACIÓN DE FACTURAS'!Q46,IF(D42="SEGUNDO PAGO O POSTERIORES",G41,""))))</f>
        <v/>
      </c>
      <c r="H42" s="245"/>
      <c r="I42" s="246" t="str">
        <f>IF(D42="","",IF(J42="","REVISAR",IF(OR(J42&lt;EXPEDIENTE!$I$25,J42&gt;EXPEDIENTE!$I$27),"SI","NO")))</f>
        <v/>
      </c>
      <c r="J42" s="247" t="str">
        <f t="shared" si="4"/>
        <v/>
      </c>
      <c r="K42" s="244" t="str">
        <f>IF(D42="","",IF('RELACIÓN DE FACTURAS'!AF46="","",'RELACIÓN DE FACTURAS'!AF46))</f>
        <v/>
      </c>
      <c r="L42" s="245"/>
      <c r="M42" s="246" t="str">
        <f>IF(D42="","",IF(N42="","REVISAR",IF(OR(N42&lt;EXPEDIENTE!$I$25,N42&gt;EXPEDIENTE!$I$29),"SI","NO")))</f>
        <v/>
      </c>
      <c r="N42" s="248" t="str">
        <f t="shared" si="5"/>
        <v/>
      </c>
      <c r="O42" s="249">
        <f>IF(N42&lt;EXPEDIENTE!$I$25,-1,IF(N42&gt;EXPEDIENTE!$I$29,1,0))</f>
        <v>0</v>
      </c>
      <c r="P42" s="250" t="str">
        <f t="shared" si="6"/>
        <v/>
      </c>
      <c r="Q42" s="245"/>
      <c r="R42" s="251"/>
      <c r="S42" s="252" t="str">
        <f>IF(OR(Q42="",R42=""),"",IF(Q42&gt;EXPEDIENTE!$I$27,"",MIN(DATE(YEAR(Q42),MONTH(Q42),DAY(Q42)+R42),EXPEDIENTE!$I$29)))</f>
        <v/>
      </c>
      <c r="T42" s="253" t="str">
        <f>IF(D42="","",IF(AND(P42="NO",Q42="",S42=""),"NO",IF(Q42&gt;EXPEDIENTE!$I$27,"ENTREGA FUERA PLAZO",IF(OR(Q42="",R42=""),"PDTE",IF(S42&lt;N42,"SI","NO")))))</f>
        <v/>
      </c>
      <c r="U42" s="254" t="str">
        <f>IF('RELACIÓN DE FACTURAS'!X46="","",'RELACIÓN DE FACTURAS'!X46)</f>
        <v/>
      </c>
      <c r="V42" s="255" t="str">
        <f>IF('RELACIÓN DE FACTURAS'!Y46="","",'RELACIÓN DE FACTURAS'!Y46)</f>
        <v/>
      </c>
      <c r="W42" s="256"/>
      <c r="X42" s="277" t="str">
        <f t="shared" si="7"/>
        <v/>
      </c>
      <c r="Y42" s="257"/>
    </row>
    <row r="43" spans="2:25" ht="39.950000000000003" customHeight="1" x14ac:dyDescent="0.2">
      <c r="B43" s="120">
        <f>IF(Y43&lt;&gt;"",MAX($B$5:B42)+1,0)</f>
        <v>0</v>
      </c>
      <c r="C43" s="122">
        <v>39</v>
      </c>
      <c r="D43" s="241" t="str">
        <f>IF('RELACIÓN DE FACTURAS'!O47="","",'RELACIÓN DE FACTURAS'!O47)</f>
        <v/>
      </c>
      <c r="E43" s="242" t="str">
        <f>IF(D43="SEGUNDO PAGO O POSTERIORES",E42,IF('RELACIÓN DE FACTURAS'!P47="","",'RELACIÓN DE FACTURAS'!P47))</f>
        <v/>
      </c>
      <c r="F43" s="243" t="str">
        <f>IF(D43="SEGUNDO PAGO O POSTERIORES",F42,IF('RELACIÓN DE FACTURAS'!R47="","",'RELACIÓN DE FACTURAS'!R47))</f>
        <v/>
      </c>
      <c r="G43" s="244" t="str">
        <f>IF(D43="","",IF(AND(D43="NUEVA FACTURA",'RELACIÓN DE FACTURAS'!Q47=""),"",IF(AND(D43="NUEVA FACTURA",'RELACIÓN DE FACTURAS'!Q47&lt;&gt;""),'RELACIÓN DE FACTURAS'!Q47,IF(D43="SEGUNDO PAGO O POSTERIORES",G42,""))))</f>
        <v/>
      </c>
      <c r="H43" s="245"/>
      <c r="I43" s="246" t="str">
        <f>IF(D43="","",IF(J43="","REVISAR",IF(OR(J43&lt;EXPEDIENTE!$I$25,J43&gt;EXPEDIENTE!$I$27),"SI","NO")))</f>
        <v/>
      </c>
      <c r="J43" s="247" t="str">
        <f t="shared" si="4"/>
        <v/>
      </c>
      <c r="K43" s="244" t="str">
        <f>IF(D43="","",IF('RELACIÓN DE FACTURAS'!AF47="","",'RELACIÓN DE FACTURAS'!AF47))</f>
        <v/>
      </c>
      <c r="L43" s="245"/>
      <c r="M43" s="246" t="str">
        <f>IF(D43="","",IF(N43="","REVISAR",IF(OR(N43&lt;EXPEDIENTE!$I$25,N43&gt;EXPEDIENTE!$I$29),"SI","NO")))</f>
        <v/>
      </c>
      <c r="N43" s="248" t="str">
        <f t="shared" si="5"/>
        <v/>
      </c>
      <c r="O43" s="249">
        <f>IF(N43&lt;EXPEDIENTE!$I$25,-1,IF(N43&gt;EXPEDIENTE!$I$29,1,0))</f>
        <v>0</v>
      </c>
      <c r="P43" s="250" t="str">
        <f t="shared" si="6"/>
        <v/>
      </c>
      <c r="Q43" s="245"/>
      <c r="R43" s="251"/>
      <c r="S43" s="252" t="str">
        <f>IF(OR(Q43="",R43=""),"",IF(Q43&gt;EXPEDIENTE!$I$27,"",MIN(DATE(YEAR(Q43),MONTH(Q43),DAY(Q43)+R43),EXPEDIENTE!$I$29)))</f>
        <v/>
      </c>
      <c r="T43" s="253" t="str">
        <f>IF(D43="","",IF(AND(P43="NO",Q43="",S43=""),"NO",IF(Q43&gt;EXPEDIENTE!$I$27,"ENTREGA FUERA PLAZO",IF(OR(Q43="",R43=""),"PDTE",IF(S43&lt;N43,"SI","NO")))))</f>
        <v/>
      </c>
      <c r="U43" s="254" t="str">
        <f>IF('RELACIÓN DE FACTURAS'!X47="","",'RELACIÓN DE FACTURAS'!X47)</f>
        <v/>
      </c>
      <c r="V43" s="255" t="str">
        <f>IF('RELACIÓN DE FACTURAS'!Y47="","",'RELACIÓN DE FACTURAS'!Y47)</f>
        <v/>
      </c>
      <c r="W43" s="256"/>
      <c r="X43" s="277" t="str">
        <f t="shared" si="7"/>
        <v/>
      </c>
      <c r="Y43" s="257"/>
    </row>
    <row r="44" spans="2:25" ht="39.950000000000003" customHeight="1" x14ac:dyDescent="0.2">
      <c r="B44" s="120">
        <f>IF(Y44&lt;&gt;"",MAX($B$5:B43)+1,0)</f>
        <v>0</v>
      </c>
      <c r="C44" s="122">
        <v>40</v>
      </c>
      <c r="D44" s="241" t="str">
        <f>IF('RELACIÓN DE FACTURAS'!O48="","",'RELACIÓN DE FACTURAS'!O48)</f>
        <v/>
      </c>
      <c r="E44" s="242" t="str">
        <f>IF(D44="SEGUNDO PAGO O POSTERIORES",E43,IF('RELACIÓN DE FACTURAS'!P48="","",'RELACIÓN DE FACTURAS'!P48))</f>
        <v/>
      </c>
      <c r="F44" s="243" t="str">
        <f>IF(D44="SEGUNDO PAGO O POSTERIORES",F43,IF('RELACIÓN DE FACTURAS'!R48="","",'RELACIÓN DE FACTURAS'!R48))</f>
        <v/>
      </c>
      <c r="G44" s="244" t="str">
        <f>IF(D44="","",IF(AND(D44="NUEVA FACTURA",'RELACIÓN DE FACTURAS'!Q48=""),"",IF(AND(D44="NUEVA FACTURA",'RELACIÓN DE FACTURAS'!Q48&lt;&gt;""),'RELACIÓN DE FACTURAS'!Q48,IF(D44="SEGUNDO PAGO O POSTERIORES",G43,""))))</f>
        <v/>
      </c>
      <c r="H44" s="245"/>
      <c r="I44" s="246" t="str">
        <f>IF(D44="","",IF(J44="","REVISAR",IF(OR(J44&lt;EXPEDIENTE!$I$25,J44&gt;EXPEDIENTE!$I$27),"SI","NO")))</f>
        <v/>
      </c>
      <c r="J44" s="247" t="str">
        <f t="shared" ref="J44:J78" si="8">IF(D44="","",IF(H44&lt;&gt;"",H44,G44))</f>
        <v/>
      </c>
      <c r="K44" s="244" t="str">
        <f>IF(D44="","",IF('RELACIÓN DE FACTURAS'!AF48="","",'RELACIÓN DE FACTURAS'!AF48))</f>
        <v/>
      </c>
      <c r="L44" s="245"/>
      <c r="M44" s="246" t="str">
        <f>IF(D44="","",IF(N44="","REVISAR",IF(OR(N44&lt;EXPEDIENTE!$I$25,N44&gt;EXPEDIENTE!$I$29),"SI","NO")))</f>
        <v/>
      </c>
      <c r="N44" s="248" t="str">
        <f t="shared" ref="N44:N78" si="9">IF(D44="","",IF(L44&lt;&gt;"",L44,K44))</f>
        <v/>
      </c>
      <c r="O44" s="249">
        <f>IF(N44&lt;EXPEDIENTE!$I$25,-1,IF(N44&gt;EXPEDIENTE!$I$29,1,0))</f>
        <v>0</v>
      </c>
      <c r="P44" s="250" t="str">
        <f t="shared" ref="P44:P78" si="10">IF(D44="","",IF(OR(J44="",N44=""),"PDTE",IF(N44-J44&gt;30,"SI","NO")))</f>
        <v/>
      </c>
      <c r="Q44" s="245"/>
      <c r="R44" s="251"/>
      <c r="S44" s="252" t="str">
        <f>IF(OR(Q44="",R44=""),"",IF(Q44&gt;EXPEDIENTE!$I$27,"",MIN(DATE(YEAR(Q44),MONTH(Q44),DAY(Q44)+R44),EXPEDIENTE!$I$29)))</f>
        <v/>
      </c>
      <c r="T44" s="253" t="str">
        <f>IF(D44="","",IF(AND(P44="NO",Q44="",S44=""),"NO",IF(Q44&gt;EXPEDIENTE!$I$27,"ENTREGA FUERA PLAZO",IF(OR(Q44="",R44=""),"PDTE",IF(S44&lt;N44,"SI","NO")))))</f>
        <v/>
      </c>
      <c r="U44" s="254" t="str">
        <f>IF('RELACIÓN DE FACTURAS'!X48="","",'RELACIÓN DE FACTURAS'!X48)</f>
        <v/>
      </c>
      <c r="V44" s="255" t="str">
        <f>IF('RELACIÓN DE FACTURAS'!Y48="","",'RELACIÓN DE FACTURAS'!Y48)</f>
        <v/>
      </c>
      <c r="W44" s="256"/>
      <c r="X44" s="277" t="str">
        <f t="shared" ref="X44:X78" si="11">IF(D44="","",IF(AND(I44="NO",M44="NO",T44="NO",W44="NO"),"OK","NO OK"))</f>
        <v/>
      </c>
      <c r="Y44" s="257"/>
    </row>
    <row r="45" spans="2:25" ht="39.950000000000003" customHeight="1" x14ac:dyDescent="0.2">
      <c r="B45" s="120">
        <f>IF(Y45&lt;&gt;"",MAX($B$5:B44)+1,0)</f>
        <v>0</v>
      </c>
      <c r="C45" s="122">
        <v>41</v>
      </c>
      <c r="D45" s="241" t="str">
        <f>IF('RELACIÓN DE FACTURAS'!O49="","",'RELACIÓN DE FACTURAS'!O49)</f>
        <v/>
      </c>
      <c r="E45" s="242" t="str">
        <f>IF(D45="SEGUNDO PAGO O POSTERIORES",E44,IF('RELACIÓN DE FACTURAS'!P49="","",'RELACIÓN DE FACTURAS'!P49))</f>
        <v/>
      </c>
      <c r="F45" s="243" t="str">
        <f>IF(D45="SEGUNDO PAGO O POSTERIORES",F44,IF('RELACIÓN DE FACTURAS'!R49="","",'RELACIÓN DE FACTURAS'!R49))</f>
        <v/>
      </c>
      <c r="G45" s="244" t="str">
        <f>IF(D45="","",IF(AND(D45="NUEVA FACTURA",'RELACIÓN DE FACTURAS'!Q49=""),"",IF(AND(D45="NUEVA FACTURA",'RELACIÓN DE FACTURAS'!Q49&lt;&gt;""),'RELACIÓN DE FACTURAS'!Q49,IF(D45="SEGUNDO PAGO O POSTERIORES",G44,""))))</f>
        <v/>
      </c>
      <c r="H45" s="245"/>
      <c r="I45" s="246" t="str">
        <f>IF(D45="","",IF(J45="","REVISAR",IF(OR(J45&lt;EXPEDIENTE!$I$25,J45&gt;EXPEDIENTE!$I$27),"SI","NO")))</f>
        <v/>
      </c>
      <c r="J45" s="247" t="str">
        <f t="shared" si="8"/>
        <v/>
      </c>
      <c r="K45" s="244" t="str">
        <f>IF(D45="","",IF('RELACIÓN DE FACTURAS'!AF49="","",'RELACIÓN DE FACTURAS'!AF49))</f>
        <v/>
      </c>
      <c r="L45" s="245"/>
      <c r="M45" s="246" t="str">
        <f>IF(D45="","",IF(N45="","REVISAR",IF(OR(N45&lt;EXPEDIENTE!$I$25,N45&gt;EXPEDIENTE!$I$29),"SI","NO")))</f>
        <v/>
      </c>
      <c r="N45" s="248" t="str">
        <f t="shared" si="9"/>
        <v/>
      </c>
      <c r="O45" s="249">
        <f>IF(N45&lt;EXPEDIENTE!$I$25,-1,IF(N45&gt;EXPEDIENTE!$I$29,1,0))</f>
        <v>0</v>
      </c>
      <c r="P45" s="250" t="str">
        <f t="shared" si="10"/>
        <v/>
      </c>
      <c r="Q45" s="245"/>
      <c r="R45" s="251"/>
      <c r="S45" s="252" t="str">
        <f>IF(OR(Q45="",R45=""),"",IF(Q45&gt;EXPEDIENTE!$I$27,"",MIN(DATE(YEAR(Q45),MONTH(Q45),DAY(Q45)+R45),EXPEDIENTE!$I$29)))</f>
        <v/>
      </c>
      <c r="T45" s="253" t="str">
        <f>IF(D45="","",IF(AND(P45="NO",Q45="",S45=""),"NO",IF(Q45&gt;EXPEDIENTE!$I$27,"ENTREGA FUERA PLAZO",IF(OR(Q45="",R45=""),"PDTE",IF(S45&lt;N45,"SI","NO")))))</f>
        <v/>
      </c>
      <c r="U45" s="254" t="str">
        <f>IF('RELACIÓN DE FACTURAS'!X49="","",'RELACIÓN DE FACTURAS'!X49)</f>
        <v/>
      </c>
      <c r="V45" s="255" t="str">
        <f>IF('RELACIÓN DE FACTURAS'!Y49="","",'RELACIÓN DE FACTURAS'!Y49)</f>
        <v/>
      </c>
      <c r="W45" s="256"/>
      <c r="X45" s="277" t="str">
        <f t="shared" si="11"/>
        <v/>
      </c>
      <c r="Y45" s="257"/>
    </row>
    <row r="46" spans="2:25" ht="39.950000000000003" customHeight="1" x14ac:dyDescent="0.2">
      <c r="B46" s="120">
        <f>IF(Y46&lt;&gt;"",MAX($B$5:B45)+1,0)</f>
        <v>0</v>
      </c>
      <c r="C46" s="122">
        <v>42</v>
      </c>
      <c r="D46" s="241" t="str">
        <f>IF('RELACIÓN DE FACTURAS'!O50="","",'RELACIÓN DE FACTURAS'!O50)</f>
        <v/>
      </c>
      <c r="E46" s="242" t="str">
        <f>IF(D46="SEGUNDO PAGO O POSTERIORES",E45,IF('RELACIÓN DE FACTURAS'!P50="","",'RELACIÓN DE FACTURAS'!P50))</f>
        <v/>
      </c>
      <c r="F46" s="243" t="str">
        <f>IF(D46="SEGUNDO PAGO O POSTERIORES",F45,IF('RELACIÓN DE FACTURAS'!R50="","",'RELACIÓN DE FACTURAS'!R50))</f>
        <v/>
      </c>
      <c r="G46" s="244" t="str">
        <f>IF(D46="","",IF(AND(D46="NUEVA FACTURA",'RELACIÓN DE FACTURAS'!Q50=""),"",IF(AND(D46="NUEVA FACTURA",'RELACIÓN DE FACTURAS'!Q50&lt;&gt;""),'RELACIÓN DE FACTURAS'!Q50,IF(D46="SEGUNDO PAGO O POSTERIORES",G45,""))))</f>
        <v/>
      </c>
      <c r="H46" s="245"/>
      <c r="I46" s="246" t="str">
        <f>IF(D46="","",IF(J46="","REVISAR",IF(OR(J46&lt;EXPEDIENTE!$I$25,J46&gt;EXPEDIENTE!$I$27),"SI","NO")))</f>
        <v/>
      </c>
      <c r="J46" s="247" t="str">
        <f t="shared" si="8"/>
        <v/>
      </c>
      <c r="K46" s="244" t="str">
        <f>IF(D46="","",IF('RELACIÓN DE FACTURAS'!AF50="","",'RELACIÓN DE FACTURAS'!AF50))</f>
        <v/>
      </c>
      <c r="L46" s="245"/>
      <c r="M46" s="246" t="str">
        <f>IF(D46="","",IF(N46="","REVISAR",IF(OR(N46&lt;EXPEDIENTE!$I$25,N46&gt;EXPEDIENTE!$I$29),"SI","NO")))</f>
        <v/>
      </c>
      <c r="N46" s="248" t="str">
        <f t="shared" si="9"/>
        <v/>
      </c>
      <c r="O46" s="249">
        <f>IF(N46&lt;EXPEDIENTE!$I$25,-1,IF(N46&gt;EXPEDIENTE!$I$29,1,0))</f>
        <v>0</v>
      </c>
      <c r="P46" s="250" t="str">
        <f t="shared" si="10"/>
        <v/>
      </c>
      <c r="Q46" s="245"/>
      <c r="R46" s="251"/>
      <c r="S46" s="252" t="str">
        <f>IF(OR(Q46="",R46=""),"",IF(Q46&gt;EXPEDIENTE!$I$27,"",MIN(DATE(YEAR(Q46),MONTH(Q46),DAY(Q46)+R46),EXPEDIENTE!$I$29)))</f>
        <v/>
      </c>
      <c r="T46" s="253" t="str">
        <f>IF(D46="","",IF(AND(P46="NO",Q46="",S46=""),"NO",IF(Q46&gt;EXPEDIENTE!$I$27,"ENTREGA FUERA PLAZO",IF(OR(Q46="",R46=""),"PDTE",IF(S46&lt;N46,"SI","NO")))))</f>
        <v/>
      </c>
      <c r="U46" s="254" t="str">
        <f>IF('RELACIÓN DE FACTURAS'!X50="","",'RELACIÓN DE FACTURAS'!X50)</f>
        <v/>
      </c>
      <c r="V46" s="255" t="str">
        <f>IF('RELACIÓN DE FACTURAS'!Y50="","",'RELACIÓN DE FACTURAS'!Y50)</f>
        <v/>
      </c>
      <c r="W46" s="256"/>
      <c r="X46" s="277" t="str">
        <f t="shared" si="11"/>
        <v/>
      </c>
      <c r="Y46" s="257"/>
    </row>
    <row r="47" spans="2:25" ht="39.950000000000003" customHeight="1" x14ac:dyDescent="0.2">
      <c r="B47" s="120">
        <f>IF(Y47&lt;&gt;"",MAX($B$5:B46)+1,0)</f>
        <v>0</v>
      </c>
      <c r="C47" s="122">
        <v>43</v>
      </c>
      <c r="D47" s="241" t="str">
        <f>IF('RELACIÓN DE FACTURAS'!O51="","",'RELACIÓN DE FACTURAS'!O51)</f>
        <v/>
      </c>
      <c r="E47" s="242" t="str">
        <f>IF(D47="SEGUNDO PAGO O POSTERIORES",E46,IF('RELACIÓN DE FACTURAS'!P51="","",'RELACIÓN DE FACTURAS'!P51))</f>
        <v/>
      </c>
      <c r="F47" s="243" t="str">
        <f>IF(D47="SEGUNDO PAGO O POSTERIORES",F46,IF('RELACIÓN DE FACTURAS'!R51="","",'RELACIÓN DE FACTURAS'!R51))</f>
        <v/>
      </c>
      <c r="G47" s="244" t="str">
        <f>IF(D47="","",IF(AND(D47="NUEVA FACTURA",'RELACIÓN DE FACTURAS'!Q51=""),"",IF(AND(D47="NUEVA FACTURA",'RELACIÓN DE FACTURAS'!Q51&lt;&gt;""),'RELACIÓN DE FACTURAS'!Q51,IF(D47="SEGUNDO PAGO O POSTERIORES",G46,""))))</f>
        <v/>
      </c>
      <c r="H47" s="245"/>
      <c r="I47" s="246" t="str">
        <f>IF(D47="","",IF(J47="","REVISAR",IF(OR(J47&lt;EXPEDIENTE!$I$25,J47&gt;EXPEDIENTE!$I$27),"SI","NO")))</f>
        <v/>
      </c>
      <c r="J47" s="247" t="str">
        <f t="shared" si="8"/>
        <v/>
      </c>
      <c r="K47" s="244" t="str">
        <f>IF(D47="","",IF('RELACIÓN DE FACTURAS'!AF51="","",'RELACIÓN DE FACTURAS'!AF51))</f>
        <v/>
      </c>
      <c r="L47" s="245"/>
      <c r="M47" s="246" t="str">
        <f>IF(D47="","",IF(N47="","REVISAR",IF(OR(N47&lt;EXPEDIENTE!$I$25,N47&gt;EXPEDIENTE!$I$29),"SI","NO")))</f>
        <v/>
      </c>
      <c r="N47" s="248" t="str">
        <f t="shared" si="9"/>
        <v/>
      </c>
      <c r="O47" s="249">
        <f>IF(N47&lt;EXPEDIENTE!$I$25,-1,IF(N47&gt;EXPEDIENTE!$I$29,1,0))</f>
        <v>0</v>
      </c>
      <c r="P47" s="250" t="str">
        <f t="shared" si="10"/>
        <v/>
      </c>
      <c r="Q47" s="245"/>
      <c r="R47" s="251"/>
      <c r="S47" s="252" t="str">
        <f>IF(OR(Q47="",R47=""),"",IF(Q47&gt;EXPEDIENTE!$I$27,"",MIN(DATE(YEAR(Q47),MONTH(Q47),DAY(Q47)+R47),EXPEDIENTE!$I$29)))</f>
        <v/>
      </c>
      <c r="T47" s="253" t="str">
        <f>IF(D47="","",IF(AND(P47="NO",Q47="",S47=""),"NO",IF(Q47&gt;EXPEDIENTE!$I$27,"ENTREGA FUERA PLAZO",IF(OR(Q47="",R47=""),"PDTE",IF(S47&lt;N47,"SI","NO")))))</f>
        <v/>
      </c>
      <c r="U47" s="254" t="str">
        <f>IF('RELACIÓN DE FACTURAS'!X51="","",'RELACIÓN DE FACTURAS'!X51)</f>
        <v/>
      </c>
      <c r="V47" s="255" t="str">
        <f>IF('RELACIÓN DE FACTURAS'!Y51="","",'RELACIÓN DE FACTURAS'!Y51)</f>
        <v/>
      </c>
      <c r="W47" s="256"/>
      <c r="X47" s="277" t="str">
        <f t="shared" si="11"/>
        <v/>
      </c>
      <c r="Y47" s="257"/>
    </row>
    <row r="48" spans="2:25" ht="39.950000000000003" customHeight="1" x14ac:dyDescent="0.2">
      <c r="B48" s="120">
        <f>IF(Y48&lt;&gt;"",MAX($B$5:B47)+1,0)</f>
        <v>0</v>
      </c>
      <c r="C48" s="122">
        <v>44</v>
      </c>
      <c r="D48" s="241" t="str">
        <f>IF('RELACIÓN DE FACTURAS'!O52="","",'RELACIÓN DE FACTURAS'!O52)</f>
        <v/>
      </c>
      <c r="E48" s="242" t="str">
        <f>IF(D48="SEGUNDO PAGO O POSTERIORES",E47,IF('RELACIÓN DE FACTURAS'!P52="","",'RELACIÓN DE FACTURAS'!P52))</f>
        <v/>
      </c>
      <c r="F48" s="243" t="str">
        <f>IF(D48="SEGUNDO PAGO O POSTERIORES",F47,IF('RELACIÓN DE FACTURAS'!R52="","",'RELACIÓN DE FACTURAS'!R52))</f>
        <v/>
      </c>
      <c r="G48" s="244" t="str">
        <f>IF(D48="","",IF(AND(D48="NUEVA FACTURA",'RELACIÓN DE FACTURAS'!Q52=""),"",IF(AND(D48="NUEVA FACTURA",'RELACIÓN DE FACTURAS'!Q52&lt;&gt;""),'RELACIÓN DE FACTURAS'!Q52,IF(D48="SEGUNDO PAGO O POSTERIORES",G47,""))))</f>
        <v/>
      </c>
      <c r="H48" s="245"/>
      <c r="I48" s="246" t="str">
        <f>IF(D48="","",IF(J48="","REVISAR",IF(OR(J48&lt;EXPEDIENTE!$I$25,J48&gt;EXPEDIENTE!$I$27),"SI","NO")))</f>
        <v/>
      </c>
      <c r="J48" s="247" t="str">
        <f t="shared" si="8"/>
        <v/>
      </c>
      <c r="K48" s="244" t="str">
        <f>IF(D48="","",IF('RELACIÓN DE FACTURAS'!AF52="","",'RELACIÓN DE FACTURAS'!AF52))</f>
        <v/>
      </c>
      <c r="L48" s="245"/>
      <c r="M48" s="246" t="str">
        <f>IF(D48="","",IF(N48="","REVISAR",IF(OR(N48&lt;EXPEDIENTE!$I$25,N48&gt;EXPEDIENTE!$I$29),"SI","NO")))</f>
        <v/>
      </c>
      <c r="N48" s="248" t="str">
        <f t="shared" si="9"/>
        <v/>
      </c>
      <c r="O48" s="249">
        <f>IF(N48&lt;EXPEDIENTE!$I$25,-1,IF(N48&gt;EXPEDIENTE!$I$29,1,0))</f>
        <v>0</v>
      </c>
      <c r="P48" s="250" t="str">
        <f t="shared" si="10"/>
        <v/>
      </c>
      <c r="Q48" s="245"/>
      <c r="R48" s="251"/>
      <c r="S48" s="252" t="str">
        <f>IF(OR(Q48="",R48=""),"",IF(Q48&gt;EXPEDIENTE!$I$27,"",MIN(DATE(YEAR(Q48),MONTH(Q48),DAY(Q48)+R48),EXPEDIENTE!$I$29)))</f>
        <v/>
      </c>
      <c r="T48" s="253" t="str">
        <f>IF(D48="","",IF(AND(P48="NO",Q48="",S48=""),"NO",IF(Q48&gt;EXPEDIENTE!$I$27,"ENTREGA FUERA PLAZO",IF(OR(Q48="",R48=""),"PDTE",IF(S48&lt;N48,"SI","NO")))))</f>
        <v/>
      </c>
      <c r="U48" s="254" t="str">
        <f>IF('RELACIÓN DE FACTURAS'!X52="","",'RELACIÓN DE FACTURAS'!X52)</f>
        <v/>
      </c>
      <c r="V48" s="255" t="str">
        <f>IF('RELACIÓN DE FACTURAS'!Y52="","",'RELACIÓN DE FACTURAS'!Y52)</f>
        <v/>
      </c>
      <c r="W48" s="256"/>
      <c r="X48" s="277" t="str">
        <f t="shared" si="11"/>
        <v/>
      </c>
      <c r="Y48" s="257"/>
    </row>
    <row r="49" spans="2:25" ht="39.950000000000003" customHeight="1" x14ac:dyDescent="0.2">
      <c r="B49" s="120">
        <f>IF(Y49&lt;&gt;"",MAX($B$5:B48)+1,0)</f>
        <v>0</v>
      </c>
      <c r="C49" s="122">
        <v>45</v>
      </c>
      <c r="D49" s="241" t="str">
        <f>IF('RELACIÓN DE FACTURAS'!O53="","",'RELACIÓN DE FACTURAS'!O53)</f>
        <v/>
      </c>
      <c r="E49" s="242" t="str">
        <f>IF(D49="SEGUNDO PAGO O POSTERIORES",E48,IF('RELACIÓN DE FACTURAS'!P53="","",'RELACIÓN DE FACTURAS'!P53))</f>
        <v/>
      </c>
      <c r="F49" s="243" t="str">
        <f>IF(D49="SEGUNDO PAGO O POSTERIORES",F48,IF('RELACIÓN DE FACTURAS'!R53="","",'RELACIÓN DE FACTURAS'!R53))</f>
        <v/>
      </c>
      <c r="G49" s="244" t="str">
        <f>IF(D49="","",IF(AND(D49="NUEVA FACTURA",'RELACIÓN DE FACTURAS'!Q53=""),"",IF(AND(D49="NUEVA FACTURA",'RELACIÓN DE FACTURAS'!Q53&lt;&gt;""),'RELACIÓN DE FACTURAS'!Q53,IF(D49="SEGUNDO PAGO O POSTERIORES",G48,""))))</f>
        <v/>
      </c>
      <c r="H49" s="245"/>
      <c r="I49" s="246" t="str">
        <f>IF(D49="","",IF(J49="","REVISAR",IF(OR(J49&lt;EXPEDIENTE!$I$25,J49&gt;EXPEDIENTE!$I$27),"SI","NO")))</f>
        <v/>
      </c>
      <c r="J49" s="247" t="str">
        <f t="shared" si="8"/>
        <v/>
      </c>
      <c r="K49" s="244" t="str">
        <f>IF(D49="","",IF('RELACIÓN DE FACTURAS'!AF53="","",'RELACIÓN DE FACTURAS'!AF53))</f>
        <v/>
      </c>
      <c r="L49" s="245"/>
      <c r="M49" s="246" t="str">
        <f>IF(D49="","",IF(N49="","REVISAR",IF(OR(N49&lt;EXPEDIENTE!$I$25,N49&gt;EXPEDIENTE!$I$29),"SI","NO")))</f>
        <v/>
      </c>
      <c r="N49" s="248" t="str">
        <f t="shared" si="9"/>
        <v/>
      </c>
      <c r="O49" s="249">
        <f>IF(N49&lt;EXPEDIENTE!$I$25,-1,IF(N49&gt;EXPEDIENTE!$I$29,1,0))</f>
        <v>0</v>
      </c>
      <c r="P49" s="250" t="str">
        <f t="shared" si="10"/>
        <v/>
      </c>
      <c r="Q49" s="245"/>
      <c r="R49" s="251"/>
      <c r="S49" s="252" t="str">
        <f>IF(OR(Q49="",R49=""),"",IF(Q49&gt;EXPEDIENTE!$I$27,"",MIN(DATE(YEAR(Q49),MONTH(Q49),DAY(Q49)+R49),EXPEDIENTE!$I$29)))</f>
        <v/>
      </c>
      <c r="T49" s="253" t="str">
        <f>IF(D49="","",IF(AND(P49="NO",Q49="",S49=""),"NO",IF(Q49&gt;EXPEDIENTE!$I$27,"ENTREGA FUERA PLAZO",IF(OR(Q49="",R49=""),"PDTE",IF(S49&lt;N49,"SI","NO")))))</f>
        <v/>
      </c>
      <c r="U49" s="254" t="str">
        <f>IF('RELACIÓN DE FACTURAS'!X53="","",'RELACIÓN DE FACTURAS'!X53)</f>
        <v/>
      </c>
      <c r="V49" s="255" t="str">
        <f>IF('RELACIÓN DE FACTURAS'!Y53="","",'RELACIÓN DE FACTURAS'!Y53)</f>
        <v/>
      </c>
      <c r="W49" s="256"/>
      <c r="X49" s="277" t="str">
        <f t="shared" si="11"/>
        <v/>
      </c>
      <c r="Y49" s="257"/>
    </row>
    <row r="50" spans="2:25" ht="39.950000000000003" customHeight="1" x14ac:dyDescent="0.2">
      <c r="B50" s="120">
        <f>IF(Y50&lt;&gt;"",MAX($B$5:B49)+1,0)</f>
        <v>0</v>
      </c>
      <c r="C50" s="122">
        <v>46</v>
      </c>
      <c r="D50" s="241" t="str">
        <f>IF('RELACIÓN DE FACTURAS'!O54="","",'RELACIÓN DE FACTURAS'!O54)</f>
        <v/>
      </c>
      <c r="E50" s="242" t="str">
        <f>IF(D50="SEGUNDO PAGO O POSTERIORES",E49,IF('RELACIÓN DE FACTURAS'!P54="","",'RELACIÓN DE FACTURAS'!P54))</f>
        <v/>
      </c>
      <c r="F50" s="243" t="str">
        <f>IF(D50="SEGUNDO PAGO O POSTERIORES",F49,IF('RELACIÓN DE FACTURAS'!R54="","",'RELACIÓN DE FACTURAS'!R54))</f>
        <v/>
      </c>
      <c r="G50" s="244" t="str">
        <f>IF(D50="","",IF(AND(D50="NUEVA FACTURA",'RELACIÓN DE FACTURAS'!Q54=""),"",IF(AND(D50="NUEVA FACTURA",'RELACIÓN DE FACTURAS'!Q54&lt;&gt;""),'RELACIÓN DE FACTURAS'!Q54,IF(D50="SEGUNDO PAGO O POSTERIORES",G49,""))))</f>
        <v/>
      </c>
      <c r="H50" s="245"/>
      <c r="I50" s="246" t="str">
        <f>IF(D50="","",IF(J50="","REVISAR",IF(OR(J50&lt;EXPEDIENTE!$I$25,J50&gt;EXPEDIENTE!$I$27),"SI","NO")))</f>
        <v/>
      </c>
      <c r="J50" s="247" t="str">
        <f t="shared" si="8"/>
        <v/>
      </c>
      <c r="K50" s="244" t="str">
        <f>IF(D50="","",IF('RELACIÓN DE FACTURAS'!AF54="","",'RELACIÓN DE FACTURAS'!AF54))</f>
        <v/>
      </c>
      <c r="L50" s="245"/>
      <c r="M50" s="246" t="str">
        <f>IF(D50="","",IF(N50="","REVISAR",IF(OR(N50&lt;EXPEDIENTE!$I$25,N50&gt;EXPEDIENTE!$I$29),"SI","NO")))</f>
        <v/>
      </c>
      <c r="N50" s="248" t="str">
        <f t="shared" si="9"/>
        <v/>
      </c>
      <c r="O50" s="249">
        <f>IF(N50&lt;EXPEDIENTE!$I$25,-1,IF(N50&gt;EXPEDIENTE!$I$29,1,0))</f>
        <v>0</v>
      </c>
      <c r="P50" s="250" t="str">
        <f t="shared" si="10"/>
        <v/>
      </c>
      <c r="Q50" s="245"/>
      <c r="R50" s="251"/>
      <c r="S50" s="252" t="str">
        <f>IF(OR(Q50="",R50=""),"",IF(Q50&gt;EXPEDIENTE!$I$27,"",MIN(DATE(YEAR(Q50),MONTH(Q50),DAY(Q50)+R50),EXPEDIENTE!$I$29)))</f>
        <v/>
      </c>
      <c r="T50" s="253" t="str">
        <f>IF(D50="","",IF(AND(P50="NO",Q50="",S50=""),"NO",IF(Q50&gt;EXPEDIENTE!$I$27,"ENTREGA FUERA PLAZO",IF(OR(Q50="",R50=""),"PDTE",IF(S50&lt;N50,"SI","NO")))))</f>
        <v/>
      </c>
      <c r="U50" s="254" t="str">
        <f>IF('RELACIÓN DE FACTURAS'!X54="","",'RELACIÓN DE FACTURAS'!X54)</f>
        <v/>
      </c>
      <c r="V50" s="255" t="str">
        <f>IF('RELACIÓN DE FACTURAS'!Y54="","",'RELACIÓN DE FACTURAS'!Y54)</f>
        <v/>
      </c>
      <c r="W50" s="256"/>
      <c r="X50" s="277" t="str">
        <f t="shared" si="11"/>
        <v/>
      </c>
      <c r="Y50" s="257"/>
    </row>
    <row r="51" spans="2:25" ht="39.950000000000003" customHeight="1" x14ac:dyDescent="0.2">
      <c r="B51" s="120">
        <f>IF(Y51&lt;&gt;"",MAX($B$5:B50)+1,0)</f>
        <v>0</v>
      </c>
      <c r="C51" s="122">
        <v>47</v>
      </c>
      <c r="D51" s="241" t="str">
        <f>IF('RELACIÓN DE FACTURAS'!O55="","",'RELACIÓN DE FACTURAS'!O55)</f>
        <v/>
      </c>
      <c r="E51" s="242" t="str">
        <f>IF(D51="SEGUNDO PAGO O POSTERIORES",E50,IF('RELACIÓN DE FACTURAS'!P55="","",'RELACIÓN DE FACTURAS'!P55))</f>
        <v/>
      </c>
      <c r="F51" s="243" t="str">
        <f>IF(D51="SEGUNDO PAGO O POSTERIORES",F50,IF('RELACIÓN DE FACTURAS'!R55="","",'RELACIÓN DE FACTURAS'!R55))</f>
        <v/>
      </c>
      <c r="G51" s="244" t="str">
        <f>IF(D51="","",IF(AND(D51="NUEVA FACTURA",'RELACIÓN DE FACTURAS'!Q55=""),"",IF(AND(D51="NUEVA FACTURA",'RELACIÓN DE FACTURAS'!Q55&lt;&gt;""),'RELACIÓN DE FACTURAS'!Q55,IF(D51="SEGUNDO PAGO O POSTERIORES",G50,""))))</f>
        <v/>
      </c>
      <c r="H51" s="245"/>
      <c r="I51" s="246" t="str">
        <f>IF(D51="","",IF(J51="","REVISAR",IF(OR(J51&lt;EXPEDIENTE!$I$25,J51&gt;EXPEDIENTE!$I$27),"SI","NO")))</f>
        <v/>
      </c>
      <c r="J51" s="247" t="str">
        <f t="shared" si="8"/>
        <v/>
      </c>
      <c r="K51" s="244" t="str">
        <f>IF(D51="","",IF('RELACIÓN DE FACTURAS'!AF55="","",'RELACIÓN DE FACTURAS'!AF55))</f>
        <v/>
      </c>
      <c r="L51" s="245"/>
      <c r="M51" s="246" t="str">
        <f>IF(D51="","",IF(N51="","REVISAR",IF(OR(N51&lt;EXPEDIENTE!$I$25,N51&gt;EXPEDIENTE!$I$29),"SI","NO")))</f>
        <v/>
      </c>
      <c r="N51" s="248" t="str">
        <f t="shared" si="9"/>
        <v/>
      </c>
      <c r="O51" s="249">
        <f>IF(N51&lt;EXPEDIENTE!$I$25,-1,IF(N51&gt;EXPEDIENTE!$I$29,1,0))</f>
        <v>0</v>
      </c>
      <c r="P51" s="250" t="str">
        <f t="shared" si="10"/>
        <v/>
      </c>
      <c r="Q51" s="245"/>
      <c r="R51" s="251"/>
      <c r="S51" s="252" t="str">
        <f>IF(OR(Q51="",R51=""),"",IF(Q51&gt;EXPEDIENTE!$I$27,"",MIN(DATE(YEAR(Q51),MONTH(Q51),DAY(Q51)+R51),EXPEDIENTE!$I$29)))</f>
        <v/>
      </c>
      <c r="T51" s="253" t="str">
        <f>IF(D51="","",IF(AND(P51="NO",Q51="",S51=""),"NO",IF(Q51&gt;EXPEDIENTE!$I$27,"ENTREGA FUERA PLAZO",IF(OR(Q51="",R51=""),"PDTE",IF(S51&lt;N51,"SI","NO")))))</f>
        <v/>
      </c>
      <c r="U51" s="254" t="str">
        <f>IF('RELACIÓN DE FACTURAS'!X55="","",'RELACIÓN DE FACTURAS'!X55)</f>
        <v/>
      </c>
      <c r="V51" s="255" t="str">
        <f>IF('RELACIÓN DE FACTURAS'!Y55="","",'RELACIÓN DE FACTURAS'!Y55)</f>
        <v/>
      </c>
      <c r="W51" s="256"/>
      <c r="X51" s="277" t="str">
        <f t="shared" si="11"/>
        <v/>
      </c>
      <c r="Y51" s="257"/>
    </row>
    <row r="52" spans="2:25" ht="39.950000000000003" customHeight="1" x14ac:dyDescent="0.2">
      <c r="B52" s="120">
        <f>IF(Y52&lt;&gt;"",MAX($B$5:B51)+1,0)</f>
        <v>0</v>
      </c>
      <c r="C52" s="122">
        <v>48</v>
      </c>
      <c r="D52" s="241" t="str">
        <f>IF('RELACIÓN DE FACTURAS'!O56="","",'RELACIÓN DE FACTURAS'!O56)</f>
        <v/>
      </c>
      <c r="E52" s="242" t="str">
        <f>IF(D52="SEGUNDO PAGO O POSTERIORES",E51,IF('RELACIÓN DE FACTURAS'!P56="","",'RELACIÓN DE FACTURAS'!P56))</f>
        <v/>
      </c>
      <c r="F52" s="243" t="str">
        <f>IF(D52="SEGUNDO PAGO O POSTERIORES",F51,IF('RELACIÓN DE FACTURAS'!R56="","",'RELACIÓN DE FACTURAS'!R56))</f>
        <v/>
      </c>
      <c r="G52" s="244" t="str">
        <f>IF(D52="","",IF(AND(D52="NUEVA FACTURA",'RELACIÓN DE FACTURAS'!Q56=""),"",IF(AND(D52="NUEVA FACTURA",'RELACIÓN DE FACTURAS'!Q56&lt;&gt;""),'RELACIÓN DE FACTURAS'!Q56,IF(D52="SEGUNDO PAGO O POSTERIORES",G51,""))))</f>
        <v/>
      </c>
      <c r="H52" s="245"/>
      <c r="I52" s="246" t="str">
        <f>IF(D52="","",IF(J52="","REVISAR",IF(OR(J52&lt;EXPEDIENTE!$I$25,J52&gt;EXPEDIENTE!$I$27),"SI","NO")))</f>
        <v/>
      </c>
      <c r="J52" s="247" t="str">
        <f t="shared" si="8"/>
        <v/>
      </c>
      <c r="K52" s="244" t="str">
        <f>IF(D52="","",IF('RELACIÓN DE FACTURAS'!AF56="","",'RELACIÓN DE FACTURAS'!AF56))</f>
        <v/>
      </c>
      <c r="L52" s="245"/>
      <c r="M52" s="246" t="str">
        <f>IF(D52="","",IF(N52="","REVISAR",IF(OR(N52&lt;EXPEDIENTE!$I$25,N52&gt;EXPEDIENTE!$I$29),"SI","NO")))</f>
        <v/>
      </c>
      <c r="N52" s="248" t="str">
        <f t="shared" si="9"/>
        <v/>
      </c>
      <c r="O52" s="249">
        <f>IF(N52&lt;EXPEDIENTE!$I$25,-1,IF(N52&gt;EXPEDIENTE!$I$29,1,0))</f>
        <v>0</v>
      </c>
      <c r="P52" s="250" t="str">
        <f t="shared" si="10"/>
        <v/>
      </c>
      <c r="Q52" s="245"/>
      <c r="R52" s="251"/>
      <c r="S52" s="252" t="str">
        <f>IF(OR(Q52="",R52=""),"",IF(Q52&gt;EXPEDIENTE!$I$27,"",MIN(DATE(YEAR(Q52),MONTH(Q52),DAY(Q52)+R52),EXPEDIENTE!$I$29)))</f>
        <v/>
      </c>
      <c r="T52" s="253" t="str">
        <f>IF(D52="","",IF(AND(P52="NO",Q52="",S52=""),"NO",IF(Q52&gt;EXPEDIENTE!$I$27,"ENTREGA FUERA PLAZO",IF(OR(Q52="",R52=""),"PDTE",IF(S52&lt;N52,"SI","NO")))))</f>
        <v/>
      </c>
      <c r="U52" s="254" t="str">
        <f>IF('RELACIÓN DE FACTURAS'!X56="","",'RELACIÓN DE FACTURAS'!X56)</f>
        <v/>
      </c>
      <c r="V52" s="255" t="str">
        <f>IF('RELACIÓN DE FACTURAS'!Y56="","",'RELACIÓN DE FACTURAS'!Y56)</f>
        <v/>
      </c>
      <c r="W52" s="256"/>
      <c r="X52" s="277" t="str">
        <f t="shared" si="11"/>
        <v/>
      </c>
      <c r="Y52" s="257"/>
    </row>
    <row r="53" spans="2:25" ht="39.950000000000003" customHeight="1" x14ac:dyDescent="0.2">
      <c r="B53" s="120">
        <f>IF(Y53&lt;&gt;"",MAX($B$5:B52)+1,0)</f>
        <v>0</v>
      </c>
      <c r="C53" s="122">
        <v>49</v>
      </c>
      <c r="D53" s="241" t="str">
        <f>IF('RELACIÓN DE FACTURAS'!O57="","",'RELACIÓN DE FACTURAS'!O57)</f>
        <v/>
      </c>
      <c r="E53" s="242" t="str">
        <f>IF(D53="SEGUNDO PAGO O POSTERIORES",E52,IF('RELACIÓN DE FACTURAS'!P57="","",'RELACIÓN DE FACTURAS'!P57))</f>
        <v/>
      </c>
      <c r="F53" s="243" t="str">
        <f>IF(D53="SEGUNDO PAGO O POSTERIORES",F52,IF('RELACIÓN DE FACTURAS'!R57="","",'RELACIÓN DE FACTURAS'!R57))</f>
        <v/>
      </c>
      <c r="G53" s="244" t="str">
        <f>IF(D53="","",IF(AND(D53="NUEVA FACTURA",'RELACIÓN DE FACTURAS'!Q57=""),"",IF(AND(D53="NUEVA FACTURA",'RELACIÓN DE FACTURAS'!Q57&lt;&gt;""),'RELACIÓN DE FACTURAS'!Q57,IF(D53="SEGUNDO PAGO O POSTERIORES",G52,""))))</f>
        <v/>
      </c>
      <c r="H53" s="245"/>
      <c r="I53" s="246" t="str">
        <f>IF(D53="","",IF(J53="","REVISAR",IF(OR(J53&lt;EXPEDIENTE!$I$25,J53&gt;EXPEDIENTE!$I$27),"SI","NO")))</f>
        <v/>
      </c>
      <c r="J53" s="247" t="str">
        <f t="shared" si="8"/>
        <v/>
      </c>
      <c r="K53" s="244" t="str">
        <f>IF(D53="","",IF('RELACIÓN DE FACTURAS'!AF57="","",'RELACIÓN DE FACTURAS'!AF57))</f>
        <v/>
      </c>
      <c r="L53" s="245"/>
      <c r="M53" s="246" t="str">
        <f>IF(D53="","",IF(N53="","REVISAR",IF(OR(N53&lt;EXPEDIENTE!$I$25,N53&gt;EXPEDIENTE!$I$29),"SI","NO")))</f>
        <v/>
      </c>
      <c r="N53" s="248" t="str">
        <f t="shared" si="9"/>
        <v/>
      </c>
      <c r="O53" s="249">
        <f>IF(N53&lt;EXPEDIENTE!$I$25,-1,IF(N53&gt;EXPEDIENTE!$I$29,1,0))</f>
        <v>0</v>
      </c>
      <c r="P53" s="250" t="str">
        <f t="shared" si="10"/>
        <v/>
      </c>
      <c r="Q53" s="245"/>
      <c r="R53" s="251"/>
      <c r="S53" s="252" t="str">
        <f>IF(OR(Q53="",R53=""),"",IF(Q53&gt;EXPEDIENTE!$I$27,"",MIN(DATE(YEAR(Q53),MONTH(Q53),DAY(Q53)+R53),EXPEDIENTE!$I$29)))</f>
        <v/>
      </c>
      <c r="T53" s="253" t="str">
        <f>IF(D53="","",IF(AND(P53="NO",Q53="",S53=""),"NO",IF(Q53&gt;EXPEDIENTE!$I$27,"ENTREGA FUERA PLAZO",IF(OR(Q53="",R53=""),"PDTE",IF(S53&lt;N53,"SI","NO")))))</f>
        <v/>
      </c>
      <c r="U53" s="254" t="str">
        <f>IF('RELACIÓN DE FACTURAS'!X57="","",'RELACIÓN DE FACTURAS'!X57)</f>
        <v/>
      </c>
      <c r="V53" s="255" t="str">
        <f>IF('RELACIÓN DE FACTURAS'!Y57="","",'RELACIÓN DE FACTURAS'!Y57)</f>
        <v/>
      </c>
      <c r="W53" s="256"/>
      <c r="X53" s="277" t="str">
        <f t="shared" si="11"/>
        <v/>
      </c>
      <c r="Y53" s="257"/>
    </row>
    <row r="54" spans="2:25" ht="39.950000000000003" customHeight="1" x14ac:dyDescent="0.2">
      <c r="B54" s="120">
        <f>IF(Y54&lt;&gt;"",MAX($B$5:B53)+1,0)</f>
        <v>0</v>
      </c>
      <c r="C54" s="122">
        <v>50</v>
      </c>
      <c r="D54" s="241" t="str">
        <f>IF('RELACIÓN DE FACTURAS'!O58="","",'RELACIÓN DE FACTURAS'!O58)</f>
        <v/>
      </c>
      <c r="E54" s="242" t="str">
        <f>IF(D54="SEGUNDO PAGO O POSTERIORES",E53,IF('RELACIÓN DE FACTURAS'!P58="","",'RELACIÓN DE FACTURAS'!P58))</f>
        <v/>
      </c>
      <c r="F54" s="243" t="str">
        <f>IF(D54="SEGUNDO PAGO O POSTERIORES",F53,IF('RELACIÓN DE FACTURAS'!R58="","",'RELACIÓN DE FACTURAS'!R58))</f>
        <v/>
      </c>
      <c r="G54" s="244" t="str">
        <f>IF(D54="","",IF(AND(D54="NUEVA FACTURA",'RELACIÓN DE FACTURAS'!Q58=""),"",IF(AND(D54="NUEVA FACTURA",'RELACIÓN DE FACTURAS'!Q58&lt;&gt;""),'RELACIÓN DE FACTURAS'!Q58,IF(D54="SEGUNDO PAGO O POSTERIORES",G53,""))))</f>
        <v/>
      </c>
      <c r="H54" s="245"/>
      <c r="I54" s="246" t="str">
        <f>IF(D54="","",IF(J54="","REVISAR",IF(OR(J54&lt;EXPEDIENTE!$I$25,J54&gt;EXPEDIENTE!$I$27),"SI","NO")))</f>
        <v/>
      </c>
      <c r="J54" s="247" t="str">
        <f t="shared" si="8"/>
        <v/>
      </c>
      <c r="K54" s="244" t="str">
        <f>IF(D54="","",IF('RELACIÓN DE FACTURAS'!AF58="","",'RELACIÓN DE FACTURAS'!AF58))</f>
        <v/>
      </c>
      <c r="L54" s="245"/>
      <c r="M54" s="246" t="str">
        <f>IF(D54="","",IF(N54="","REVISAR",IF(OR(N54&lt;EXPEDIENTE!$I$25,N54&gt;EXPEDIENTE!$I$29),"SI","NO")))</f>
        <v/>
      </c>
      <c r="N54" s="248" t="str">
        <f t="shared" si="9"/>
        <v/>
      </c>
      <c r="O54" s="249">
        <f>IF(N54&lt;EXPEDIENTE!$I$25,-1,IF(N54&gt;EXPEDIENTE!$I$29,1,0))</f>
        <v>0</v>
      </c>
      <c r="P54" s="250" t="str">
        <f t="shared" si="10"/>
        <v/>
      </c>
      <c r="Q54" s="245"/>
      <c r="R54" s="251"/>
      <c r="S54" s="252" t="str">
        <f>IF(OR(Q54="",R54=""),"",IF(Q54&gt;EXPEDIENTE!$I$27,"",MIN(DATE(YEAR(Q54),MONTH(Q54),DAY(Q54)+R54),EXPEDIENTE!$I$29)))</f>
        <v/>
      </c>
      <c r="T54" s="253" t="str">
        <f>IF(D54="","",IF(AND(P54="NO",Q54="",S54=""),"NO",IF(Q54&gt;EXPEDIENTE!$I$27,"ENTREGA FUERA PLAZO",IF(OR(Q54="",R54=""),"PDTE",IF(S54&lt;N54,"SI","NO")))))</f>
        <v/>
      </c>
      <c r="U54" s="254" t="str">
        <f>IF('RELACIÓN DE FACTURAS'!X58="","",'RELACIÓN DE FACTURAS'!X58)</f>
        <v/>
      </c>
      <c r="V54" s="255" t="str">
        <f>IF('RELACIÓN DE FACTURAS'!Y58="","",'RELACIÓN DE FACTURAS'!Y58)</f>
        <v/>
      </c>
      <c r="W54" s="256"/>
      <c r="X54" s="277" t="str">
        <f t="shared" si="11"/>
        <v/>
      </c>
      <c r="Y54" s="257"/>
    </row>
    <row r="55" spans="2:25" ht="39.950000000000003" customHeight="1" x14ac:dyDescent="0.2">
      <c r="B55" s="120">
        <f>IF(Y55&lt;&gt;"",MAX($B$5:B54)+1,0)</f>
        <v>0</v>
      </c>
      <c r="C55" s="122">
        <v>51</v>
      </c>
      <c r="D55" s="241" t="str">
        <f>IF('RELACIÓN DE FACTURAS'!O59="","",'RELACIÓN DE FACTURAS'!O59)</f>
        <v/>
      </c>
      <c r="E55" s="242" t="str">
        <f>IF(D55="SEGUNDO PAGO O POSTERIORES",E54,IF('RELACIÓN DE FACTURAS'!P59="","",'RELACIÓN DE FACTURAS'!P59))</f>
        <v/>
      </c>
      <c r="F55" s="243" t="str">
        <f>IF(D55="SEGUNDO PAGO O POSTERIORES",F54,IF('RELACIÓN DE FACTURAS'!R59="","",'RELACIÓN DE FACTURAS'!R59))</f>
        <v/>
      </c>
      <c r="G55" s="244" t="str">
        <f>IF(D55="","",IF(AND(D55="NUEVA FACTURA",'RELACIÓN DE FACTURAS'!Q59=""),"",IF(AND(D55="NUEVA FACTURA",'RELACIÓN DE FACTURAS'!Q59&lt;&gt;""),'RELACIÓN DE FACTURAS'!Q59,IF(D55="SEGUNDO PAGO O POSTERIORES",G54,""))))</f>
        <v/>
      </c>
      <c r="H55" s="245"/>
      <c r="I55" s="246" t="str">
        <f>IF(D55="","",IF(J55="","REVISAR",IF(OR(J55&lt;EXPEDIENTE!$I$25,J55&gt;EXPEDIENTE!$I$27),"SI","NO")))</f>
        <v/>
      </c>
      <c r="J55" s="247" t="str">
        <f t="shared" si="8"/>
        <v/>
      </c>
      <c r="K55" s="244" t="str">
        <f>IF(D55="","",IF('RELACIÓN DE FACTURAS'!AF59="","",'RELACIÓN DE FACTURAS'!AF59))</f>
        <v/>
      </c>
      <c r="L55" s="245"/>
      <c r="M55" s="246" t="str">
        <f>IF(D55="","",IF(N55="","REVISAR",IF(OR(N55&lt;EXPEDIENTE!$I$25,N55&gt;EXPEDIENTE!$I$29),"SI","NO")))</f>
        <v/>
      </c>
      <c r="N55" s="248" t="str">
        <f t="shared" si="9"/>
        <v/>
      </c>
      <c r="O55" s="249">
        <f>IF(N55&lt;EXPEDIENTE!$I$25,-1,IF(N55&gt;EXPEDIENTE!$I$29,1,0))</f>
        <v>0</v>
      </c>
      <c r="P55" s="250" t="str">
        <f t="shared" si="10"/>
        <v/>
      </c>
      <c r="Q55" s="245"/>
      <c r="R55" s="251"/>
      <c r="S55" s="252" t="str">
        <f>IF(OR(Q55="",R55=""),"",IF(Q55&gt;EXPEDIENTE!$I$27,"",MIN(DATE(YEAR(Q55),MONTH(Q55),DAY(Q55)+R55),EXPEDIENTE!$I$29)))</f>
        <v/>
      </c>
      <c r="T55" s="253" t="str">
        <f>IF(D55="","",IF(AND(P55="NO",Q55="",S55=""),"NO",IF(Q55&gt;EXPEDIENTE!$I$27,"ENTREGA FUERA PLAZO",IF(OR(Q55="",R55=""),"PDTE",IF(S55&lt;N55,"SI","NO")))))</f>
        <v/>
      </c>
      <c r="U55" s="254" t="str">
        <f>IF('RELACIÓN DE FACTURAS'!X59="","",'RELACIÓN DE FACTURAS'!X59)</f>
        <v/>
      </c>
      <c r="V55" s="255" t="str">
        <f>IF('RELACIÓN DE FACTURAS'!Y59="","",'RELACIÓN DE FACTURAS'!Y59)</f>
        <v/>
      </c>
      <c r="W55" s="256"/>
      <c r="X55" s="277" t="str">
        <f t="shared" si="11"/>
        <v/>
      </c>
      <c r="Y55" s="257"/>
    </row>
    <row r="56" spans="2:25" ht="39.950000000000003" customHeight="1" x14ac:dyDescent="0.2">
      <c r="B56" s="120">
        <f>IF(Y56&lt;&gt;"",MAX($B$5:B55)+1,0)</f>
        <v>0</v>
      </c>
      <c r="C56" s="122">
        <v>52</v>
      </c>
      <c r="D56" s="241" t="str">
        <f>IF('RELACIÓN DE FACTURAS'!O60="","",'RELACIÓN DE FACTURAS'!O60)</f>
        <v/>
      </c>
      <c r="E56" s="242" t="str">
        <f>IF(D56="SEGUNDO PAGO O POSTERIORES",E55,IF('RELACIÓN DE FACTURAS'!P60="","",'RELACIÓN DE FACTURAS'!P60))</f>
        <v/>
      </c>
      <c r="F56" s="243" t="str">
        <f>IF(D56="SEGUNDO PAGO O POSTERIORES",F55,IF('RELACIÓN DE FACTURAS'!R60="","",'RELACIÓN DE FACTURAS'!R60))</f>
        <v/>
      </c>
      <c r="G56" s="244" t="str">
        <f>IF(D56="","",IF(AND(D56="NUEVA FACTURA",'RELACIÓN DE FACTURAS'!Q60=""),"",IF(AND(D56="NUEVA FACTURA",'RELACIÓN DE FACTURAS'!Q60&lt;&gt;""),'RELACIÓN DE FACTURAS'!Q60,IF(D56="SEGUNDO PAGO O POSTERIORES",G55,""))))</f>
        <v/>
      </c>
      <c r="H56" s="245"/>
      <c r="I56" s="246" t="str">
        <f>IF(D56="","",IF(J56="","REVISAR",IF(OR(J56&lt;EXPEDIENTE!$I$25,J56&gt;EXPEDIENTE!$I$27),"SI","NO")))</f>
        <v/>
      </c>
      <c r="J56" s="247" t="str">
        <f t="shared" si="8"/>
        <v/>
      </c>
      <c r="K56" s="244" t="str">
        <f>IF(D56="","",IF('RELACIÓN DE FACTURAS'!AF60="","",'RELACIÓN DE FACTURAS'!AF60))</f>
        <v/>
      </c>
      <c r="L56" s="245"/>
      <c r="M56" s="246" t="str">
        <f>IF(D56="","",IF(N56="","REVISAR",IF(OR(N56&lt;EXPEDIENTE!$I$25,N56&gt;EXPEDIENTE!$I$29),"SI","NO")))</f>
        <v/>
      </c>
      <c r="N56" s="248" t="str">
        <f t="shared" si="9"/>
        <v/>
      </c>
      <c r="O56" s="249">
        <f>IF(N56&lt;EXPEDIENTE!$I$25,-1,IF(N56&gt;EXPEDIENTE!$I$29,1,0))</f>
        <v>0</v>
      </c>
      <c r="P56" s="250" t="str">
        <f t="shared" si="10"/>
        <v/>
      </c>
      <c r="Q56" s="245"/>
      <c r="R56" s="251"/>
      <c r="S56" s="252" t="str">
        <f>IF(OR(Q56="",R56=""),"",IF(Q56&gt;EXPEDIENTE!$I$27,"",MIN(DATE(YEAR(Q56),MONTH(Q56),DAY(Q56)+R56),EXPEDIENTE!$I$29)))</f>
        <v/>
      </c>
      <c r="T56" s="253" t="str">
        <f>IF(D56="","",IF(AND(P56="NO",Q56="",S56=""),"NO",IF(Q56&gt;EXPEDIENTE!$I$27,"ENTREGA FUERA PLAZO",IF(OR(Q56="",R56=""),"PDTE",IF(S56&lt;N56,"SI","NO")))))</f>
        <v/>
      </c>
      <c r="U56" s="254" t="str">
        <f>IF('RELACIÓN DE FACTURAS'!X60="","",'RELACIÓN DE FACTURAS'!X60)</f>
        <v/>
      </c>
      <c r="V56" s="255" t="str">
        <f>IF('RELACIÓN DE FACTURAS'!Y60="","",'RELACIÓN DE FACTURAS'!Y60)</f>
        <v/>
      </c>
      <c r="W56" s="256"/>
      <c r="X56" s="277" t="str">
        <f t="shared" si="11"/>
        <v/>
      </c>
      <c r="Y56" s="257"/>
    </row>
    <row r="57" spans="2:25" ht="39.950000000000003" customHeight="1" x14ac:dyDescent="0.2">
      <c r="B57" s="120">
        <f>IF(Y57&lt;&gt;"",MAX($B$5:B56)+1,0)</f>
        <v>0</v>
      </c>
      <c r="C57" s="122">
        <v>53</v>
      </c>
      <c r="D57" s="241" t="str">
        <f>IF('RELACIÓN DE FACTURAS'!O61="","",'RELACIÓN DE FACTURAS'!O61)</f>
        <v/>
      </c>
      <c r="E57" s="242" t="str">
        <f>IF(D57="SEGUNDO PAGO O POSTERIORES",E56,IF('RELACIÓN DE FACTURAS'!P61="","",'RELACIÓN DE FACTURAS'!P61))</f>
        <v/>
      </c>
      <c r="F57" s="243" t="str">
        <f>IF(D57="SEGUNDO PAGO O POSTERIORES",F56,IF('RELACIÓN DE FACTURAS'!R61="","",'RELACIÓN DE FACTURAS'!R61))</f>
        <v/>
      </c>
      <c r="G57" s="244" t="str">
        <f>IF(D57="","",IF(AND(D57="NUEVA FACTURA",'RELACIÓN DE FACTURAS'!Q61=""),"",IF(AND(D57="NUEVA FACTURA",'RELACIÓN DE FACTURAS'!Q61&lt;&gt;""),'RELACIÓN DE FACTURAS'!Q61,IF(D57="SEGUNDO PAGO O POSTERIORES",G56,""))))</f>
        <v/>
      </c>
      <c r="H57" s="245"/>
      <c r="I57" s="246" t="str">
        <f>IF(D57="","",IF(J57="","REVISAR",IF(OR(J57&lt;EXPEDIENTE!$I$25,J57&gt;EXPEDIENTE!$I$27),"SI","NO")))</f>
        <v/>
      </c>
      <c r="J57" s="247" t="str">
        <f t="shared" si="8"/>
        <v/>
      </c>
      <c r="K57" s="244" t="str">
        <f>IF(D57="","",IF('RELACIÓN DE FACTURAS'!AF61="","",'RELACIÓN DE FACTURAS'!AF61))</f>
        <v/>
      </c>
      <c r="L57" s="245"/>
      <c r="M57" s="246" t="str">
        <f>IF(D57="","",IF(N57="","REVISAR",IF(OR(N57&lt;EXPEDIENTE!$I$25,N57&gt;EXPEDIENTE!$I$29),"SI","NO")))</f>
        <v/>
      </c>
      <c r="N57" s="248" t="str">
        <f t="shared" si="9"/>
        <v/>
      </c>
      <c r="O57" s="249">
        <f>IF(N57&lt;EXPEDIENTE!$I$25,-1,IF(N57&gt;EXPEDIENTE!$I$29,1,0))</f>
        <v>0</v>
      </c>
      <c r="P57" s="250" t="str">
        <f t="shared" si="10"/>
        <v/>
      </c>
      <c r="Q57" s="245"/>
      <c r="R57" s="251"/>
      <c r="S57" s="252" t="str">
        <f>IF(OR(Q57="",R57=""),"",IF(Q57&gt;EXPEDIENTE!$I$27,"",MIN(DATE(YEAR(Q57),MONTH(Q57),DAY(Q57)+R57),EXPEDIENTE!$I$29)))</f>
        <v/>
      </c>
      <c r="T57" s="253" t="str">
        <f>IF(D57="","",IF(AND(P57="NO",Q57="",S57=""),"NO",IF(Q57&gt;EXPEDIENTE!$I$27,"ENTREGA FUERA PLAZO",IF(OR(Q57="",R57=""),"PDTE",IF(S57&lt;N57,"SI","NO")))))</f>
        <v/>
      </c>
      <c r="U57" s="254" t="str">
        <f>IF('RELACIÓN DE FACTURAS'!X61="","",'RELACIÓN DE FACTURAS'!X61)</f>
        <v/>
      </c>
      <c r="V57" s="255" t="str">
        <f>IF('RELACIÓN DE FACTURAS'!Y61="","",'RELACIÓN DE FACTURAS'!Y61)</f>
        <v/>
      </c>
      <c r="W57" s="256"/>
      <c r="X57" s="277" t="str">
        <f t="shared" si="11"/>
        <v/>
      </c>
      <c r="Y57" s="257"/>
    </row>
    <row r="58" spans="2:25" ht="39.950000000000003" customHeight="1" x14ac:dyDescent="0.2">
      <c r="B58" s="120">
        <f>IF(Y58&lt;&gt;"",MAX($B$5:B57)+1,0)</f>
        <v>0</v>
      </c>
      <c r="C58" s="122">
        <v>54</v>
      </c>
      <c r="D58" s="241" t="str">
        <f>IF('RELACIÓN DE FACTURAS'!O62="","",'RELACIÓN DE FACTURAS'!O62)</f>
        <v/>
      </c>
      <c r="E58" s="242" t="str">
        <f>IF(D58="SEGUNDO PAGO O POSTERIORES",E57,IF('RELACIÓN DE FACTURAS'!P62="","",'RELACIÓN DE FACTURAS'!P62))</f>
        <v/>
      </c>
      <c r="F58" s="243" t="str">
        <f>IF(D58="SEGUNDO PAGO O POSTERIORES",F57,IF('RELACIÓN DE FACTURAS'!R62="","",'RELACIÓN DE FACTURAS'!R62))</f>
        <v/>
      </c>
      <c r="G58" s="244" t="str">
        <f>IF(D58="","",IF(AND(D58="NUEVA FACTURA",'RELACIÓN DE FACTURAS'!Q62=""),"",IF(AND(D58="NUEVA FACTURA",'RELACIÓN DE FACTURAS'!Q62&lt;&gt;""),'RELACIÓN DE FACTURAS'!Q62,IF(D58="SEGUNDO PAGO O POSTERIORES",G57,""))))</f>
        <v/>
      </c>
      <c r="H58" s="245"/>
      <c r="I58" s="246" t="str">
        <f>IF(D58="","",IF(J58="","REVISAR",IF(OR(J58&lt;EXPEDIENTE!$I$25,J58&gt;EXPEDIENTE!$I$27),"SI","NO")))</f>
        <v/>
      </c>
      <c r="J58" s="247" t="str">
        <f t="shared" si="8"/>
        <v/>
      </c>
      <c r="K58" s="244" t="str">
        <f>IF(D58="","",IF('RELACIÓN DE FACTURAS'!AF62="","",'RELACIÓN DE FACTURAS'!AF62))</f>
        <v/>
      </c>
      <c r="L58" s="245"/>
      <c r="M58" s="246" t="str">
        <f>IF(D58="","",IF(N58="","REVISAR",IF(OR(N58&lt;EXPEDIENTE!$I$25,N58&gt;EXPEDIENTE!$I$29),"SI","NO")))</f>
        <v/>
      </c>
      <c r="N58" s="248" t="str">
        <f t="shared" si="9"/>
        <v/>
      </c>
      <c r="O58" s="249">
        <f>IF(N58&lt;EXPEDIENTE!$I$25,-1,IF(N58&gt;EXPEDIENTE!$I$29,1,0))</f>
        <v>0</v>
      </c>
      <c r="P58" s="250" t="str">
        <f t="shared" si="10"/>
        <v/>
      </c>
      <c r="Q58" s="245"/>
      <c r="R58" s="251"/>
      <c r="S58" s="252" t="str">
        <f>IF(OR(Q58="",R58=""),"",IF(Q58&gt;EXPEDIENTE!$I$27,"",MIN(DATE(YEAR(Q58),MONTH(Q58),DAY(Q58)+R58),EXPEDIENTE!$I$29)))</f>
        <v/>
      </c>
      <c r="T58" s="253" t="str">
        <f>IF(D58="","",IF(AND(P58="NO",Q58="",S58=""),"NO",IF(Q58&gt;EXPEDIENTE!$I$27,"ENTREGA FUERA PLAZO",IF(OR(Q58="",R58=""),"PDTE",IF(S58&lt;N58,"SI","NO")))))</f>
        <v/>
      </c>
      <c r="U58" s="254" t="str">
        <f>IF('RELACIÓN DE FACTURAS'!X62="","",'RELACIÓN DE FACTURAS'!X62)</f>
        <v/>
      </c>
      <c r="V58" s="255" t="str">
        <f>IF('RELACIÓN DE FACTURAS'!Y62="","",'RELACIÓN DE FACTURAS'!Y62)</f>
        <v/>
      </c>
      <c r="W58" s="256"/>
      <c r="X58" s="277" t="str">
        <f t="shared" si="11"/>
        <v/>
      </c>
      <c r="Y58" s="257"/>
    </row>
    <row r="59" spans="2:25" ht="39.950000000000003" customHeight="1" x14ac:dyDescent="0.2">
      <c r="B59" s="120">
        <f>IF(Y59&lt;&gt;"",MAX($B$5:B58)+1,0)</f>
        <v>0</v>
      </c>
      <c r="C59" s="122">
        <v>55</v>
      </c>
      <c r="D59" s="241" t="str">
        <f>IF('RELACIÓN DE FACTURAS'!O63="","",'RELACIÓN DE FACTURAS'!O63)</f>
        <v/>
      </c>
      <c r="E59" s="242" t="str">
        <f>IF(D59="SEGUNDO PAGO O POSTERIORES",E58,IF('RELACIÓN DE FACTURAS'!P63="","",'RELACIÓN DE FACTURAS'!P63))</f>
        <v/>
      </c>
      <c r="F59" s="243" t="str">
        <f>IF(D59="SEGUNDO PAGO O POSTERIORES",F58,IF('RELACIÓN DE FACTURAS'!R63="","",'RELACIÓN DE FACTURAS'!R63))</f>
        <v/>
      </c>
      <c r="G59" s="244" t="str">
        <f>IF(D59="","",IF(AND(D59="NUEVA FACTURA",'RELACIÓN DE FACTURAS'!Q63=""),"",IF(AND(D59="NUEVA FACTURA",'RELACIÓN DE FACTURAS'!Q63&lt;&gt;""),'RELACIÓN DE FACTURAS'!Q63,IF(D59="SEGUNDO PAGO O POSTERIORES",G58,""))))</f>
        <v/>
      </c>
      <c r="H59" s="245"/>
      <c r="I59" s="246" t="str">
        <f>IF(D59="","",IF(J59="","REVISAR",IF(OR(J59&lt;EXPEDIENTE!$I$25,J59&gt;EXPEDIENTE!$I$27),"SI","NO")))</f>
        <v/>
      </c>
      <c r="J59" s="247" t="str">
        <f t="shared" si="8"/>
        <v/>
      </c>
      <c r="K59" s="244" t="str">
        <f>IF(D59="","",IF('RELACIÓN DE FACTURAS'!AF63="","",'RELACIÓN DE FACTURAS'!AF63))</f>
        <v/>
      </c>
      <c r="L59" s="245"/>
      <c r="M59" s="246" t="str">
        <f>IF(D59="","",IF(N59="","REVISAR",IF(OR(N59&lt;EXPEDIENTE!$I$25,N59&gt;EXPEDIENTE!$I$29),"SI","NO")))</f>
        <v/>
      </c>
      <c r="N59" s="248" t="str">
        <f t="shared" si="9"/>
        <v/>
      </c>
      <c r="O59" s="249">
        <f>IF(N59&lt;EXPEDIENTE!$I$25,-1,IF(N59&gt;EXPEDIENTE!$I$29,1,0))</f>
        <v>0</v>
      </c>
      <c r="P59" s="250" t="str">
        <f t="shared" si="10"/>
        <v/>
      </c>
      <c r="Q59" s="245"/>
      <c r="R59" s="251"/>
      <c r="S59" s="252" t="str">
        <f>IF(OR(Q59="",R59=""),"",IF(Q59&gt;EXPEDIENTE!$I$27,"",MIN(DATE(YEAR(Q59),MONTH(Q59),DAY(Q59)+R59),EXPEDIENTE!$I$29)))</f>
        <v/>
      </c>
      <c r="T59" s="253" t="str">
        <f>IF(D59="","",IF(AND(P59="NO",Q59="",S59=""),"NO",IF(Q59&gt;EXPEDIENTE!$I$27,"ENTREGA FUERA PLAZO",IF(OR(Q59="",R59=""),"PDTE",IF(S59&lt;N59,"SI","NO")))))</f>
        <v/>
      </c>
      <c r="U59" s="254" t="str">
        <f>IF('RELACIÓN DE FACTURAS'!X63="","",'RELACIÓN DE FACTURAS'!X63)</f>
        <v/>
      </c>
      <c r="V59" s="255" t="str">
        <f>IF('RELACIÓN DE FACTURAS'!Y63="","",'RELACIÓN DE FACTURAS'!Y63)</f>
        <v/>
      </c>
      <c r="W59" s="256"/>
      <c r="X59" s="277" t="str">
        <f t="shared" si="11"/>
        <v/>
      </c>
      <c r="Y59" s="257"/>
    </row>
    <row r="60" spans="2:25" ht="39.950000000000003" customHeight="1" x14ac:dyDescent="0.2">
      <c r="B60" s="120">
        <f>IF(Y60&lt;&gt;"",MAX($B$5:B59)+1,0)</f>
        <v>0</v>
      </c>
      <c r="C60" s="122">
        <v>56</v>
      </c>
      <c r="D60" s="241" t="str">
        <f>IF('RELACIÓN DE FACTURAS'!O64="","",'RELACIÓN DE FACTURAS'!O64)</f>
        <v/>
      </c>
      <c r="E60" s="242" t="str">
        <f>IF(D60="SEGUNDO PAGO O POSTERIORES",E59,IF('RELACIÓN DE FACTURAS'!P64="","",'RELACIÓN DE FACTURAS'!P64))</f>
        <v/>
      </c>
      <c r="F60" s="243" t="str">
        <f>IF(D60="SEGUNDO PAGO O POSTERIORES",F59,IF('RELACIÓN DE FACTURAS'!R64="","",'RELACIÓN DE FACTURAS'!R64))</f>
        <v/>
      </c>
      <c r="G60" s="244" t="str">
        <f>IF(D60="","",IF(AND(D60="NUEVA FACTURA",'RELACIÓN DE FACTURAS'!Q64=""),"",IF(AND(D60="NUEVA FACTURA",'RELACIÓN DE FACTURAS'!Q64&lt;&gt;""),'RELACIÓN DE FACTURAS'!Q64,IF(D60="SEGUNDO PAGO O POSTERIORES",G59,""))))</f>
        <v/>
      </c>
      <c r="H60" s="245"/>
      <c r="I60" s="246" t="str">
        <f>IF(D60="","",IF(J60="","REVISAR",IF(OR(J60&lt;EXPEDIENTE!$I$25,J60&gt;EXPEDIENTE!$I$27),"SI","NO")))</f>
        <v/>
      </c>
      <c r="J60" s="247" t="str">
        <f t="shared" si="8"/>
        <v/>
      </c>
      <c r="K60" s="244" t="str">
        <f>IF(D60="","",IF('RELACIÓN DE FACTURAS'!AF64="","",'RELACIÓN DE FACTURAS'!AF64))</f>
        <v/>
      </c>
      <c r="L60" s="245"/>
      <c r="M60" s="246" t="str">
        <f>IF(D60="","",IF(N60="","REVISAR",IF(OR(N60&lt;EXPEDIENTE!$I$25,N60&gt;EXPEDIENTE!$I$29),"SI","NO")))</f>
        <v/>
      </c>
      <c r="N60" s="248" t="str">
        <f t="shared" si="9"/>
        <v/>
      </c>
      <c r="O60" s="249">
        <f>IF(N60&lt;EXPEDIENTE!$I$25,-1,IF(N60&gt;EXPEDIENTE!$I$29,1,0))</f>
        <v>0</v>
      </c>
      <c r="P60" s="250" t="str">
        <f t="shared" si="10"/>
        <v/>
      </c>
      <c r="Q60" s="245"/>
      <c r="R60" s="251"/>
      <c r="S60" s="252" t="str">
        <f>IF(OR(Q60="",R60=""),"",IF(Q60&gt;EXPEDIENTE!$I$27,"",MIN(DATE(YEAR(Q60),MONTH(Q60),DAY(Q60)+R60),EXPEDIENTE!$I$29)))</f>
        <v/>
      </c>
      <c r="T60" s="253" t="str">
        <f>IF(D60="","",IF(AND(P60="NO",Q60="",S60=""),"NO",IF(Q60&gt;EXPEDIENTE!$I$27,"ENTREGA FUERA PLAZO",IF(OR(Q60="",R60=""),"PDTE",IF(S60&lt;N60,"SI","NO")))))</f>
        <v/>
      </c>
      <c r="U60" s="254" t="str">
        <f>IF('RELACIÓN DE FACTURAS'!X64="","",'RELACIÓN DE FACTURAS'!X64)</f>
        <v/>
      </c>
      <c r="V60" s="255" t="str">
        <f>IF('RELACIÓN DE FACTURAS'!Y64="","",'RELACIÓN DE FACTURAS'!Y64)</f>
        <v/>
      </c>
      <c r="W60" s="256"/>
      <c r="X60" s="277" t="str">
        <f t="shared" si="11"/>
        <v/>
      </c>
      <c r="Y60" s="257"/>
    </row>
    <row r="61" spans="2:25" ht="39.950000000000003" customHeight="1" x14ac:dyDescent="0.2">
      <c r="B61" s="120">
        <f>IF(Y61&lt;&gt;"",MAX($B$5:B60)+1,0)</f>
        <v>0</v>
      </c>
      <c r="C61" s="122">
        <v>57</v>
      </c>
      <c r="D61" s="241" t="str">
        <f>IF('RELACIÓN DE FACTURAS'!O65="","",'RELACIÓN DE FACTURAS'!O65)</f>
        <v/>
      </c>
      <c r="E61" s="242" t="str">
        <f>IF(D61="SEGUNDO PAGO O POSTERIORES",E60,IF('RELACIÓN DE FACTURAS'!P65="","",'RELACIÓN DE FACTURAS'!P65))</f>
        <v/>
      </c>
      <c r="F61" s="243" t="str">
        <f>IF(D61="SEGUNDO PAGO O POSTERIORES",F60,IF('RELACIÓN DE FACTURAS'!R65="","",'RELACIÓN DE FACTURAS'!R65))</f>
        <v/>
      </c>
      <c r="G61" s="244" t="str">
        <f>IF(D61="","",IF(AND(D61="NUEVA FACTURA",'RELACIÓN DE FACTURAS'!Q65=""),"",IF(AND(D61="NUEVA FACTURA",'RELACIÓN DE FACTURAS'!Q65&lt;&gt;""),'RELACIÓN DE FACTURAS'!Q65,IF(D61="SEGUNDO PAGO O POSTERIORES",G60,""))))</f>
        <v/>
      </c>
      <c r="H61" s="245"/>
      <c r="I61" s="246" t="str">
        <f>IF(D61="","",IF(J61="","REVISAR",IF(OR(J61&lt;EXPEDIENTE!$I$25,J61&gt;EXPEDIENTE!$I$27),"SI","NO")))</f>
        <v/>
      </c>
      <c r="J61" s="247" t="str">
        <f t="shared" si="8"/>
        <v/>
      </c>
      <c r="K61" s="244" t="str">
        <f>IF(D61="","",IF('RELACIÓN DE FACTURAS'!AF65="","",'RELACIÓN DE FACTURAS'!AF65))</f>
        <v/>
      </c>
      <c r="L61" s="245"/>
      <c r="M61" s="246" t="str">
        <f>IF(D61="","",IF(N61="","REVISAR",IF(OR(N61&lt;EXPEDIENTE!$I$25,N61&gt;EXPEDIENTE!$I$29),"SI","NO")))</f>
        <v/>
      </c>
      <c r="N61" s="248" t="str">
        <f t="shared" si="9"/>
        <v/>
      </c>
      <c r="O61" s="249">
        <f>IF(N61&lt;EXPEDIENTE!$I$25,-1,IF(N61&gt;EXPEDIENTE!$I$29,1,0))</f>
        <v>0</v>
      </c>
      <c r="P61" s="250" t="str">
        <f t="shared" si="10"/>
        <v/>
      </c>
      <c r="Q61" s="245"/>
      <c r="R61" s="251"/>
      <c r="S61" s="252" t="str">
        <f>IF(OR(Q61="",R61=""),"",IF(Q61&gt;EXPEDIENTE!$I$27,"",MIN(DATE(YEAR(Q61),MONTH(Q61),DAY(Q61)+R61),EXPEDIENTE!$I$29)))</f>
        <v/>
      </c>
      <c r="T61" s="253" t="str">
        <f>IF(D61="","",IF(AND(P61="NO",Q61="",S61=""),"NO",IF(Q61&gt;EXPEDIENTE!$I$27,"ENTREGA FUERA PLAZO",IF(OR(Q61="",R61=""),"PDTE",IF(S61&lt;N61,"SI","NO")))))</f>
        <v/>
      </c>
      <c r="U61" s="254" t="str">
        <f>IF('RELACIÓN DE FACTURAS'!X65="","",'RELACIÓN DE FACTURAS'!X65)</f>
        <v/>
      </c>
      <c r="V61" s="255" t="str">
        <f>IF('RELACIÓN DE FACTURAS'!Y65="","",'RELACIÓN DE FACTURAS'!Y65)</f>
        <v/>
      </c>
      <c r="W61" s="256"/>
      <c r="X61" s="277" t="str">
        <f t="shared" si="11"/>
        <v/>
      </c>
      <c r="Y61" s="257"/>
    </row>
    <row r="62" spans="2:25" ht="39.950000000000003" customHeight="1" x14ac:dyDescent="0.2">
      <c r="B62" s="120">
        <f>IF(Y62&lt;&gt;"",MAX($B$5:B61)+1,0)</f>
        <v>0</v>
      </c>
      <c r="C62" s="122">
        <v>58</v>
      </c>
      <c r="D62" s="241" t="str">
        <f>IF('RELACIÓN DE FACTURAS'!O66="","",'RELACIÓN DE FACTURAS'!O66)</f>
        <v/>
      </c>
      <c r="E62" s="242" t="str">
        <f>IF(D62="SEGUNDO PAGO O POSTERIORES",E61,IF('RELACIÓN DE FACTURAS'!P66="","",'RELACIÓN DE FACTURAS'!P66))</f>
        <v/>
      </c>
      <c r="F62" s="243" t="str">
        <f>IF(D62="SEGUNDO PAGO O POSTERIORES",F61,IF('RELACIÓN DE FACTURAS'!R66="","",'RELACIÓN DE FACTURAS'!R66))</f>
        <v/>
      </c>
      <c r="G62" s="244" t="str">
        <f>IF(D62="","",IF(AND(D62="NUEVA FACTURA",'RELACIÓN DE FACTURAS'!Q66=""),"",IF(AND(D62="NUEVA FACTURA",'RELACIÓN DE FACTURAS'!Q66&lt;&gt;""),'RELACIÓN DE FACTURAS'!Q66,IF(D62="SEGUNDO PAGO O POSTERIORES",G61,""))))</f>
        <v/>
      </c>
      <c r="H62" s="245"/>
      <c r="I62" s="246" t="str">
        <f>IF(D62="","",IF(J62="","REVISAR",IF(OR(J62&lt;EXPEDIENTE!$I$25,J62&gt;EXPEDIENTE!$I$27),"SI","NO")))</f>
        <v/>
      </c>
      <c r="J62" s="247" t="str">
        <f t="shared" si="8"/>
        <v/>
      </c>
      <c r="K62" s="244" t="str">
        <f>IF(D62="","",IF('RELACIÓN DE FACTURAS'!AF66="","",'RELACIÓN DE FACTURAS'!AF66))</f>
        <v/>
      </c>
      <c r="L62" s="245"/>
      <c r="M62" s="246" t="str">
        <f>IF(D62="","",IF(N62="","REVISAR",IF(OR(N62&lt;EXPEDIENTE!$I$25,N62&gt;EXPEDIENTE!$I$29),"SI","NO")))</f>
        <v/>
      </c>
      <c r="N62" s="248" t="str">
        <f t="shared" si="9"/>
        <v/>
      </c>
      <c r="O62" s="249">
        <f>IF(N62&lt;EXPEDIENTE!$I$25,-1,IF(N62&gt;EXPEDIENTE!$I$29,1,0))</f>
        <v>0</v>
      </c>
      <c r="P62" s="250" t="str">
        <f t="shared" si="10"/>
        <v/>
      </c>
      <c r="Q62" s="245"/>
      <c r="R62" s="251"/>
      <c r="S62" s="252" t="str">
        <f>IF(OR(Q62="",R62=""),"",IF(Q62&gt;EXPEDIENTE!$I$27,"",MIN(DATE(YEAR(Q62),MONTH(Q62),DAY(Q62)+R62),EXPEDIENTE!$I$29)))</f>
        <v/>
      </c>
      <c r="T62" s="253" t="str">
        <f>IF(D62="","",IF(AND(P62="NO",Q62="",S62=""),"NO",IF(Q62&gt;EXPEDIENTE!$I$27,"ENTREGA FUERA PLAZO",IF(OR(Q62="",R62=""),"PDTE",IF(S62&lt;N62,"SI","NO")))))</f>
        <v/>
      </c>
      <c r="U62" s="254" t="str">
        <f>IF('RELACIÓN DE FACTURAS'!X66="","",'RELACIÓN DE FACTURAS'!X66)</f>
        <v/>
      </c>
      <c r="V62" s="255" t="str">
        <f>IF('RELACIÓN DE FACTURAS'!Y66="","",'RELACIÓN DE FACTURAS'!Y66)</f>
        <v/>
      </c>
      <c r="W62" s="256"/>
      <c r="X62" s="277" t="str">
        <f t="shared" si="11"/>
        <v/>
      </c>
      <c r="Y62" s="257"/>
    </row>
    <row r="63" spans="2:25" ht="39.950000000000003" customHeight="1" x14ac:dyDescent="0.2">
      <c r="B63" s="120">
        <f>IF(Y63&lt;&gt;"",MAX($B$5:B62)+1,0)</f>
        <v>0</v>
      </c>
      <c r="C63" s="122">
        <v>59</v>
      </c>
      <c r="D63" s="241" t="str">
        <f>IF('RELACIÓN DE FACTURAS'!O67="","",'RELACIÓN DE FACTURAS'!O67)</f>
        <v/>
      </c>
      <c r="E63" s="242" t="str">
        <f>IF(D63="SEGUNDO PAGO O POSTERIORES",E62,IF('RELACIÓN DE FACTURAS'!P67="","",'RELACIÓN DE FACTURAS'!P67))</f>
        <v/>
      </c>
      <c r="F63" s="243" t="str">
        <f>IF(D63="SEGUNDO PAGO O POSTERIORES",F62,IF('RELACIÓN DE FACTURAS'!R67="","",'RELACIÓN DE FACTURAS'!R67))</f>
        <v/>
      </c>
      <c r="G63" s="244" t="str">
        <f>IF(D63="","",IF(AND(D63="NUEVA FACTURA",'RELACIÓN DE FACTURAS'!Q67=""),"",IF(AND(D63="NUEVA FACTURA",'RELACIÓN DE FACTURAS'!Q67&lt;&gt;""),'RELACIÓN DE FACTURAS'!Q67,IF(D63="SEGUNDO PAGO O POSTERIORES",G62,""))))</f>
        <v/>
      </c>
      <c r="H63" s="245"/>
      <c r="I63" s="246" t="str">
        <f>IF(D63="","",IF(J63="","REVISAR",IF(OR(J63&lt;EXPEDIENTE!$I$25,J63&gt;EXPEDIENTE!$I$27),"SI","NO")))</f>
        <v/>
      </c>
      <c r="J63" s="247" t="str">
        <f t="shared" si="8"/>
        <v/>
      </c>
      <c r="K63" s="244" t="str">
        <f>IF(D63="","",IF('RELACIÓN DE FACTURAS'!AF67="","",'RELACIÓN DE FACTURAS'!AF67))</f>
        <v/>
      </c>
      <c r="L63" s="245"/>
      <c r="M63" s="246" t="str">
        <f>IF(D63="","",IF(N63="","REVISAR",IF(OR(N63&lt;EXPEDIENTE!$I$25,N63&gt;EXPEDIENTE!$I$29),"SI","NO")))</f>
        <v/>
      </c>
      <c r="N63" s="248" t="str">
        <f t="shared" si="9"/>
        <v/>
      </c>
      <c r="O63" s="249">
        <f>IF(N63&lt;EXPEDIENTE!$I$25,-1,IF(N63&gt;EXPEDIENTE!$I$29,1,0))</f>
        <v>0</v>
      </c>
      <c r="P63" s="250" t="str">
        <f t="shared" si="10"/>
        <v/>
      </c>
      <c r="Q63" s="245"/>
      <c r="R63" s="251"/>
      <c r="S63" s="252" t="str">
        <f>IF(OR(Q63="",R63=""),"",IF(Q63&gt;EXPEDIENTE!$I$27,"",MIN(DATE(YEAR(Q63),MONTH(Q63),DAY(Q63)+R63),EXPEDIENTE!$I$29)))</f>
        <v/>
      </c>
      <c r="T63" s="253" t="str">
        <f>IF(D63="","",IF(AND(P63="NO",Q63="",S63=""),"NO",IF(Q63&gt;EXPEDIENTE!$I$27,"ENTREGA FUERA PLAZO",IF(OR(Q63="",R63=""),"PDTE",IF(S63&lt;N63,"SI","NO")))))</f>
        <v/>
      </c>
      <c r="U63" s="254" t="str">
        <f>IF('RELACIÓN DE FACTURAS'!X67="","",'RELACIÓN DE FACTURAS'!X67)</f>
        <v/>
      </c>
      <c r="V63" s="255" t="str">
        <f>IF('RELACIÓN DE FACTURAS'!Y67="","",'RELACIÓN DE FACTURAS'!Y67)</f>
        <v/>
      </c>
      <c r="W63" s="256"/>
      <c r="X63" s="277" t="str">
        <f t="shared" si="11"/>
        <v/>
      </c>
      <c r="Y63" s="257"/>
    </row>
    <row r="64" spans="2:25" ht="39.950000000000003" customHeight="1" x14ac:dyDescent="0.2">
      <c r="B64" s="120">
        <f>IF(Y64&lt;&gt;"",MAX($B$5:B63)+1,0)</f>
        <v>0</v>
      </c>
      <c r="C64" s="122">
        <v>60</v>
      </c>
      <c r="D64" s="241" t="str">
        <f>IF('RELACIÓN DE FACTURAS'!O68="","",'RELACIÓN DE FACTURAS'!O68)</f>
        <v/>
      </c>
      <c r="E64" s="242" t="str">
        <f>IF(D64="SEGUNDO PAGO O POSTERIORES",E63,IF('RELACIÓN DE FACTURAS'!P68="","",'RELACIÓN DE FACTURAS'!P68))</f>
        <v/>
      </c>
      <c r="F64" s="243" t="str">
        <f>IF(D64="SEGUNDO PAGO O POSTERIORES",F63,IF('RELACIÓN DE FACTURAS'!R68="","",'RELACIÓN DE FACTURAS'!R68))</f>
        <v/>
      </c>
      <c r="G64" s="244" t="str">
        <f>IF(D64="","",IF(AND(D64="NUEVA FACTURA",'RELACIÓN DE FACTURAS'!Q68=""),"",IF(AND(D64="NUEVA FACTURA",'RELACIÓN DE FACTURAS'!Q68&lt;&gt;""),'RELACIÓN DE FACTURAS'!Q68,IF(D64="SEGUNDO PAGO O POSTERIORES",G63,""))))</f>
        <v/>
      </c>
      <c r="H64" s="245"/>
      <c r="I64" s="246" t="str">
        <f>IF(D64="","",IF(J64="","REVISAR",IF(OR(J64&lt;EXPEDIENTE!$I$25,J64&gt;EXPEDIENTE!$I$27),"SI","NO")))</f>
        <v/>
      </c>
      <c r="J64" s="247" t="str">
        <f t="shared" si="8"/>
        <v/>
      </c>
      <c r="K64" s="244" t="str">
        <f>IF(D64="","",IF('RELACIÓN DE FACTURAS'!AF68="","",'RELACIÓN DE FACTURAS'!AF68))</f>
        <v/>
      </c>
      <c r="L64" s="245"/>
      <c r="M64" s="246" t="str">
        <f>IF(D64="","",IF(N64="","REVISAR",IF(OR(N64&lt;EXPEDIENTE!$I$25,N64&gt;EXPEDIENTE!$I$29),"SI","NO")))</f>
        <v/>
      </c>
      <c r="N64" s="248" t="str">
        <f t="shared" si="9"/>
        <v/>
      </c>
      <c r="O64" s="249">
        <f>IF(N64&lt;EXPEDIENTE!$I$25,-1,IF(N64&gt;EXPEDIENTE!$I$29,1,0))</f>
        <v>0</v>
      </c>
      <c r="P64" s="250" t="str">
        <f t="shared" si="10"/>
        <v/>
      </c>
      <c r="Q64" s="245"/>
      <c r="R64" s="251"/>
      <c r="S64" s="252" t="str">
        <f>IF(OR(Q64="",R64=""),"",IF(Q64&gt;EXPEDIENTE!$I$27,"",MIN(DATE(YEAR(Q64),MONTH(Q64),DAY(Q64)+R64),EXPEDIENTE!$I$29)))</f>
        <v/>
      </c>
      <c r="T64" s="253" t="str">
        <f>IF(D64="","",IF(AND(P64="NO",Q64="",S64=""),"NO",IF(Q64&gt;EXPEDIENTE!$I$27,"ENTREGA FUERA PLAZO",IF(OR(Q64="",R64=""),"PDTE",IF(S64&lt;N64,"SI","NO")))))</f>
        <v/>
      </c>
      <c r="U64" s="254" t="str">
        <f>IF('RELACIÓN DE FACTURAS'!X68="","",'RELACIÓN DE FACTURAS'!X68)</f>
        <v/>
      </c>
      <c r="V64" s="255" t="str">
        <f>IF('RELACIÓN DE FACTURAS'!Y68="","",'RELACIÓN DE FACTURAS'!Y68)</f>
        <v/>
      </c>
      <c r="W64" s="256"/>
      <c r="X64" s="277" t="str">
        <f t="shared" si="11"/>
        <v/>
      </c>
      <c r="Y64" s="257"/>
    </row>
    <row r="65" spans="2:25" ht="39.950000000000003" customHeight="1" x14ac:dyDescent="0.2">
      <c r="B65" s="120">
        <f>IF(Y65&lt;&gt;"",MAX($B$5:B64)+1,0)</f>
        <v>0</v>
      </c>
      <c r="C65" s="122">
        <v>61</v>
      </c>
      <c r="D65" s="241" t="str">
        <f>IF('RELACIÓN DE FACTURAS'!O69="","",'RELACIÓN DE FACTURAS'!O69)</f>
        <v/>
      </c>
      <c r="E65" s="242" t="str">
        <f>IF(D65="SEGUNDO PAGO O POSTERIORES",E64,IF('RELACIÓN DE FACTURAS'!P69="","",'RELACIÓN DE FACTURAS'!P69))</f>
        <v/>
      </c>
      <c r="F65" s="243" t="str">
        <f>IF(D65="SEGUNDO PAGO O POSTERIORES",F64,IF('RELACIÓN DE FACTURAS'!R69="","",'RELACIÓN DE FACTURAS'!R69))</f>
        <v/>
      </c>
      <c r="G65" s="244" t="str">
        <f>IF(D65="","",IF(AND(D65="NUEVA FACTURA",'RELACIÓN DE FACTURAS'!Q69=""),"",IF(AND(D65="NUEVA FACTURA",'RELACIÓN DE FACTURAS'!Q69&lt;&gt;""),'RELACIÓN DE FACTURAS'!Q69,IF(D65="SEGUNDO PAGO O POSTERIORES",G64,""))))</f>
        <v/>
      </c>
      <c r="H65" s="245"/>
      <c r="I65" s="246" t="str">
        <f>IF(D65="","",IF(J65="","REVISAR",IF(OR(J65&lt;EXPEDIENTE!$I$25,J65&gt;EXPEDIENTE!$I$27),"SI","NO")))</f>
        <v/>
      </c>
      <c r="J65" s="247" t="str">
        <f t="shared" si="8"/>
        <v/>
      </c>
      <c r="K65" s="244" t="str">
        <f>IF(D65="","",IF('RELACIÓN DE FACTURAS'!AF69="","",'RELACIÓN DE FACTURAS'!AF69))</f>
        <v/>
      </c>
      <c r="L65" s="245"/>
      <c r="M65" s="246" t="str">
        <f>IF(D65="","",IF(N65="","REVISAR",IF(OR(N65&lt;EXPEDIENTE!$I$25,N65&gt;EXPEDIENTE!$I$29),"SI","NO")))</f>
        <v/>
      </c>
      <c r="N65" s="248" t="str">
        <f t="shared" si="9"/>
        <v/>
      </c>
      <c r="O65" s="249">
        <f>IF(N65&lt;EXPEDIENTE!$I$25,-1,IF(N65&gt;EXPEDIENTE!$I$29,1,0))</f>
        <v>0</v>
      </c>
      <c r="P65" s="250" t="str">
        <f t="shared" si="10"/>
        <v/>
      </c>
      <c r="Q65" s="245"/>
      <c r="R65" s="251"/>
      <c r="S65" s="252" t="str">
        <f>IF(OR(Q65="",R65=""),"",IF(Q65&gt;EXPEDIENTE!$I$27,"",MIN(DATE(YEAR(Q65),MONTH(Q65),DAY(Q65)+R65),EXPEDIENTE!$I$29)))</f>
        <v/>
      </c>
      <c r="T65" s="253" t="str">
        <f>IF(D65="","",IF(AND(P65="NO",Q65="",S65=""),"NO",IF(Q65&gt;EXPEDIENTE!$I$27,"ENTREGA FUERA PLAZO",IF(OR(Q65="",R65=""),"PDTE",IF(S65&lt;N65,"SI","NO")))))</f>
        <v/>
      </c>
      <c r="U65" s="254" t="str">
        <f>IF('RELACIÓN DE FACTURAS'!X69="","",'RELACIÓN DE FACTURAS'!X69)</f>
        <v/>
      </c>
      <c r="V65" s="255" t="str">
        <f>IF('RELACIÓN DE FACTURAS'!Y69="","",'RELACIÓN DE FACTURAS'!Y69)</f>
        <v/>
      </c>
      <c r="W65" s="256"/>
      <c r="X65" s="277" t="str">
        <f t="shared" si="11"/>
        <v/>
      </c>
      <c r="Y65" s="257"/>
    </row>
    <row r="66" spans="2:25" ht="39.950000000000003" customHeight="1" x14ac:dyDescent="0.2">
      <c r="B66" s="120">
        <f>IF(Y66&lt;&gt;"",MAX($B$5:B65)+1,0)</f>
        <v>0</v>
      </c>
      <c r="C66" s="122">
        <v>62</v>
      </c>
      <c r="D66" s="241" t="str">
        <f>IF('RELACIÓN DE FACTURAS'!O70="","",'RELACIÓN DE FACTURAS'!O70)</f>
        <v/>
      </c>
      <c r="E66" s="242" t="str">
        <f>IF(D66="SEGUNDO PAGO O POSTERIORES",E65,IF('RELACIÓN DE FACTURAS'!P70="","",'RELACIÓN DE FACTURAS'!P70))</f>
        <v/>
      </c>
      <c r="F66" s="243" t="str">
        <f>IF(D66="SEGUNDO PAGO O POSTERIORES",F65,IF('RELACIÓN DE FACTURAS'!R70="","",'RELACIÓN DE FACTURAS'!R70))</f>
        <v/>
      </c>
      <c r="G66" s="244" t="str">
        <f>IF(D66="","",IF(AND(D66="NUEVA FACTURA",'RELACIÓN DE FACTURAS'!Q70=""),"",IF(AND(D66="NUEVA FACTURA",'RELACIÓN DE FACTURAS'!Q70&lt;&gt;""),'RELACIÓN DE FACTURAS'!Q70,IF(D66="SEGUNDO PAGO O POSTERIORES",G65,""))))</f>
        <v/>
      </c>
      <c r="H66" s="245"/>
      <c r="I66" s="246" t="str">
        <f>IF(D66="","",IF(J66="","REVISAR",IF(OR(J66&lt;EXPEDIENTE!$I$25,J66&gt;EXPEDIENTE!$I$27),"SI","NO")))</f>
        <v/>
      </c>
      <c r="J66" s="247" t="str">
        <f t="shared" si="8"/>
        <v/>
      </c>
      <c r="K66" s="244" t="str">
        <f>IF(D66="","",IF('RELACIÓN DE FACTURAS'!AF70="","",'RELACIÓN DE FACTURAS'!AF70))</f>
        <v/>
      </c>
      <c r="L66" s="245"/>
      <c r="M66" s="246" t="str">
        <f>IF(D66="","",IF(N66="","REVISAR",IF(OR(N66&lt;EXPEDIENTE!$I$25,N66&gt;EXPEDIENTE!$I$29),"SI","NO")))</f>
        <v/>
      </c>
      <c r="N66" s="248" t="str">
        <f t="shared" si="9"/>
        <v/>
      </c>
      <c r="O66" s="249">
        <f>IF(N66&lt;EXPEDIENTE!$I$25,-1,IF(N66&gt;EXPEDIENTE!$I$29,1,0))</f>
        <v>0</v>
      </c>
      <c r="P66" s="250" t="str">
        <f t="shared" si="10"/>
        <v/>
      </c>
      <c r="Q66" s="245"/>
      <c r="R66" s="251"/>
      <c r="S66" s="252" t="str">
        <f>IF(OR(Q66="",R66=""),"",IF(Q66&gt;EXPEDIENTE!$I$27,"",MIN(DATE(YEAR(Q66),MONTH(Q66),DAY(Q66)+R66),EXPEDIENTE!$I$29)))</f>
        <v/>
      </c>
      <c r="T66" s="253" t="str">
        <f>IF(D66="","",IF(AND(P66="NO",Q66="",S66=""),"NO",IF(Q66&gt;EXPEDIENTE!$I$27,"ENTREGA FUERA PLAZO",IF(OR(Q66="",R66=""),"PDTE",IF(S66&lt;N66,"SI","NO")))))</f>
        <v/>
      </c>
      <c r="U66" s="254" t="str">
        <f>IF('RELACIÓN DE FACTURAS'!X70="","",'RELACIÓN DE FACTURAS'!X70)</f>
        <v/>
      </c>
      <c r="V66" s="255" t="str">
        <f>IF('RELACIÓN DE FACTURAS'!Y70="","",'RELACIÓN DE FACTURAS'!Y70)</f>
        <v/>
      </c>
      <c r="W66" s="256"/>
      <c r="X66" s="277" t="str">
        <f t="shared" si="11"/>
        <v/>
      </c>
      <c r="Y66" s="257"/>
    </row>
    <row r="67" spans="2:25" ht="39.950000000000003" customHeight="1" x14ac:dyDescent="0.2">
      <c r="B67" s="120">
        <f>IF(Y67&lt;&gt;"",MAX($B$5:B66)+1,0)</f>
        <v>0</v>
      </c>
      <c r="C67" s="122">
        <v>63</v>
      </c>
      <c r="D67" s="241" t="str">
        <f>IF('RELACIÓN DE FACTURAS'!O71="","",'RELACIÓN DE FACTURAS'!O71)</f>
        <v/>
      </c>
      <c r="E67" s="242" t="str">
        <f>IF(D67="SEGUNDO PAGO O POSTERIORES",E66,IF('RELACIÓN DE FACTURAS'!P71="","",'RELACIÓN DE FACTURAS'!P71))</f>
        <v/>
      </c>
      <c r="F67" s="243" t="str">
        <f>IF(D67="SEGUNDO PAGO O POSTERIORES",F66,IF('RELACIÓN DE FACTURAS'!R71="","",'RELACIÓN DE FACTURAS'!R71))</f>
        <v/>
      </c>
      <c r="G67" s="244" t="str">
        <f>IF(D67="","",IF(AND(D67="NUEVA FACTURA",'RELACIÓN DE FACTURAS'!Q71=""),"",IF(AND(D67="NUEVA FACTURA",'RELACIÓN DE FACTURAS'!Q71&lt;&gt;""),'RELACIÓN DE FACTURAS'!Q71,IF(D67="SEGUNDO PAGO O POSTERIORES",G66,""))))</f>
        <v/>
      </c>
      <c r="H67" s="245"/>
      <c r="I67" s="246" t="str">
        <f>IF(D67="","",IF(J67="","REVISAR",IF(OR(J67&lt;EXPEDIENTE!$I$25,J67&gt;EXPEDIENTE!$I$27),"SI","NO")))</f>
        <v/>
      </c>
      <c r="J67" s="247" t="str">
        <f t="shared" si="8"/>
        <v/>
      </c>
      <c r="K67" s="244" t="str">
        <f>IF(D67="","",IF('RELACIÓN DE FACTURAS'!AF71="","",'RELACIÓN DE FACTURAS'!AF71))</f>
        <v/>
      </c>
      <c r="L67" s="245"/>
      <c r="M67" s="246" t="str">
        <f>IF(D67="","",IF(N67="","REVISAR",IF(OR(N67&lt;EXPEDIENTE!$I$25,N67&gt;EXPEDIENTE!$I$29),"SI","NO")))</f>
        <v/>
      </c>
      <c r="N67" s="248" t="str">
        <f t="shared" si="9"/>
        <v/>
      </c>
      <c r="O67" s="249">
        <f>IF(N67&lt;EXPEDIENTE!$I$25,-1,IF(N67&gt;EXPEDIENTE!$I$29,1,0))</f>
        <v>0</v>
      </c>
      <c r="P67" s="250" t="str">
        <f t="shared" si="10"/>
        <v/>
      </c>
      <c r="Q67" s="245"/>
      <c r="R67" s="251"/>
      <c r="S67" s="252" t="str">
        <f>IF(OR(Q67="",R67=""),"",IF(Q67&gt;EXPEDIENTE!$I$27,"",MIN(DATE(YEAR(Q67),MONTH(Q67),DAY(Q67)+R67),EXPEDIENTE!$I$29)))</f>
        <v/>
      </c>
      <c r="T67" s="253" t="str">
        <f>IF(D67="","",IF(AND(P67="NO",Q67="",S67=""),"NO",IF(Q67&gt;EXPEDIENTE!$I$27,"ENTREGA FUERA PLAZO",IF(OR(Q67="",R67=""),"PDTE",IF(S67&lt;N67,"SI","NO")))))</f>
        <v/>
      </c>
      <c r="U67" s="254" t="str">
        <f>IF('RELACIÓN DE FACTURAS'!X71="","",'RELACIÓN DE FACTURAS'!X71)</f>
        <v/>
      </c>
      <c r="V67" s="255" t="str">
        <f>IF('RELACIÓN DE FACTURAS'!Y71="","",'RELACIÓN DE FACTURAS'!Y71)</f>
        <v/>
      </c>
      <c r="W67" s="256"/>
      <c r="X67" s="277" t="str">
        <f t="shared" si="11"/>
        <v/>
      </c>
      <c r="Y67" s="257"/>
    </row>
    <row r="68" spans="2:25" ht="39.950000000000003" customHeight="1" x14ac:dyDescent="0.2">
      <c r="B68" s="120">
        <f>IF(Y68&lt;&gt;"",MAX($B$5:B67)+1,0)</f>
        <v>0</v>
      </c>
      <c r="C68" s="122">
        <v>64</v>
      </c>
      <c r="D68" s="241" t="str">
        <f>IF('RELACIÓN DE FACTURAS'!O72="","",'RELACIÓN DE FACTURAS'!O72)</f>
        <v/>
      </c>
      <c r="E68" s="242" t="str">
        <f>IF(D68="SEGUNDO PAGO O POSTERIORES",E67,IF('RELACIÓN DE FACTURAS'!P72="","",'RELACIÓN DE FACTURAS'!P72))</f>
        <v/>
      </c>
      <c r="F68" s="243" t="str">
        <f>IF(D68="SEGUNDO PAGO O POSTERIORES",F67,IF('RELACIÓN DE FACTURAS'!R72="","",'RELACIÓN DE FACTURAS'!R72))</f>
        <v/>
      </c>
      <c r="G68" s="244" t="str">
        <f>IF(D68="","",IF(AND(D68="NUEVA FACTURA",'RELACIÓN DE FACTURAS'!Q72=""),"",IF(AND(D68="NUEVA FACTURA",'RELACIÓN DE FACTURAS'!Q72&lt;&gt;""),'RELACIÓN DE FACTURAS'!Q72,IF(D68="SEGUNDO PAGO O POSTERIORES",G67,""))))</f>
        <v/>
      </c>
      <c r="H68" s="245"/>
      <c r="I68" s="246" t="str">
        <f>IF(D68="","",IF(J68="","REVISAR",IF(OR(J68&lt;EXPEDIENTE!$I$25,J68&gt;EXPEDIENTE!$I$27),"SI","NO")))</f>
        <v/>
      </c>
      <c r="J68" s="247" t="str">
        <f t="shared" si="8"/>
        <v/>
      </c>
      <c r="K68" s="244" t="str">
        <f>IF(D68="","",IF('RELACIÓN DE FACTURAS'!AF72="","",'RELACIÓN DE FACTURAS'!AF72))</f>
        <v/>
      </c>
      <c r="L68" s="245"/>
      <c r="M68" s="246" t="str">
        <f>IF(D68="","",IF(N68="","REVISAR",IF(OR(N68&lt;EXPEDIENTE!$I$25,N68&gt;EXPEDIENTE!$I$29),"SI","NO")))</f>
        <v/>
      </c>
      <c r="N68" s="248" t="str">
        <f t="shared" si="9"/>
        <v/>
      </c>
      <c r="O68" s="249">
        <f>IF(N68&lt;EXPEDIENTE!$I$25,-1,IF(N68&gt;EXPEDIENTE!$I$29,1,0))</f>
        <v>0</v>
      </c>
      <c r="P68" s="250" t="str">
        <f t="shared" si="10"/>
        <v/>
      </c>
      <c r="Q68" s="245"/>
      <c r="R68" s="251"/>
      <c r="S68" s="252" t="str">
        <f>IF(OR(Q68="",R68=""),"",IF(Q68&gt;EXPEDIENTE!$I$27,"",MIN(DATE(YEAR(Q68),MONTH(Q68),DAY(Q68)+R68),EXPEDIENTE!$I$29)))</f>
        <v/>
      </c>
      <c r="T68" s="253" t="str">
        <f>IF(D68="","",IF(AND(P68="NO",Q68="",S68=""),"NO",IF(Q68&gt;EXPEDIENTE!$I$27,"ENTREGA FUERA PLAZO",IF(OR(Q68="",R68=""),"PDTE",IF(S68&lt;N68,"SI","NO")))))</f>
        <v/>
      </c>
      <c r="U68" s="254" t="str">
        <f>IF('RELACIÓN DE FACTURAS'!X72="","",'RELACIÓN DE FACTURAS'!X72)</f>
        <v/>
      </c>
      <c r="V68" s="255" t="str">
        <f>IF('RELACIÓN DE FACTURAS'!Y72="","",'RELACIÓN DE FACTURAS'!Y72)</f>
        <v/>
      </c>
      <c r="W68" s="256"/>
      <c r="X68" s="277" t="str">
        <f t="shared" si="11"/>
        <v/>
      </c>
      <c r="Y68" s="257"/>
    </row>
    <row r="69" spans="2:25" ht="39.950000000000003" customHeight="1" x14ac:dyDescent="0.2">
      <c r="B69" s="120">
        <f>IF(Y69&lt;&gt;"",MAX($B$5:B68)+1,0)</f>
        <v>0</v>
      </c>
      <c r="C69" s="122">
        <v>65</v>
      </c>
      <c r="D69" s="241" t="str">
        <f>IF('RELACIÓN DE FACTURAS'!O73="","",'RELACIÓN DE FACTURAS'!O73)</f>
        <v/>
      </c>
      <c r="E69" s="242" t="str">
        <f>IF(D69="SEGUNDO PAGO O POSTERIORES",E68,IF('RELACIÓN DE FACTURAS'!P73="","",'RELACIÓN DE FACTURAS'!P73))</f>
        <v/>
      </c>
      <c r="F69" s="243" t="str">
        <f>IF(D69="SEGUNDO PAGO O POSTERIORES",F68,IF('RELACIÓN DE FACTURAS'!R73="","",'RELACIÓN DE FACTURAS'!R73))</f>
        <v/>
      </c>
      <c r="G69" s="244" t="str">
        <f>IF(D69="","",IF(AND(D69="NUEVA FACTURA",'RELACIÓN DE FACTURAS'!Q73=""),"",IF(AND(D69="NUEVA FACTURA",'RELACIÓN DE FACTURAS'!Q73&lt;&gt;""),'RELACIÓN DE FACTURAS'!Q73,IF(D69="SEGUNDO PAGO O POSTERIORES",G68,""))))</f>
        <v/>
      </c>
      <c r="H69" s="245"/>
      <c r="I69" s="246" t="str">
        <f>IF(D69="","",IF(J69="","REVISAR",IF(OR(J69&lt;EXPEDIENTE!$I$25,J69&gt;EXPEDIENTE!$I$27),"SI","NO")))</f>
        <v/>
      </c>
      <c r="J69" s="247" t="str">
        <f t="shared" si="8"/>
        <v/>
      </c>
      <c r="K69" s="244" t="str">
        <f>IF(D69="","",IF('RELACIÓN DE FACTURAS'!AF73="","",'RELACIÓN DE FACTURAS'!AF73))</f>
        <v/>
      </c>
      <c r="L69" s="245"/>
      <c r="M69" s="246" t="str">
        <f>IF(D69="","",IF(N69="","REVISAR",IF(OR(N69&lt;EXPEDIENTE!$I$25,N69&gt;EXPEDIENTE!$I$29),"SI","NO")))</f>
        <v/>
      </c>
      <c r="N69" s="248" t="str">
        <f t="shared" si="9"/>
        <v/>
      </c>
      <c r="O69" s="249">
        <f>IF(N69&lt;EXPEDIENTE!$I$25,-1,IF(N69&gt;EXPEDIENTE!$I$29,1,0))</f>
        <v>0</v>
      </c>
      <c r="P69" s="250" t="str">
        <f t="shared" si="10"/>
        <v/>
      </c>
      <c r="Q69" s="245"/>
      <c r="R69" s="251"/>
      <c r="S69" s="252" t="str">
        <f>IF(OR(Q69="",R69=""),"",IF(Q69&gt;EXPEDIENTE!$I$27,"",MIN(DATE(YEAR(Q69),MONTH(Q69),DAY(Q69)+R69),EXPEDIENTE!$I$29)))</f>
        <v/>
      </c>
      <c r="T69" s="253" t="str">
        <f>IF(D69="","",IF(AND(P69="NO",Q69="",S69=""),"NO",IF(Q69&gt;EXPEDIENTE!$I$27,"ENTREGA FUERA PLAZO",IF(OR(Q69="",R69=""),"PDTE",IF(S69&lt;N69,"SI","NO")))))</f>
        <v/>
      </c>
      <c r="U69" s="254" t="str">
        <f>IF('RELACIÓN DE FACTURAS'!X73="","",'RELACIÓN DE FACTURAS'!X73)</f>
        <v/>
      </c>
      <c r="V69" s="255" t="str">
        <f>IF('RELACIÓN DE FACTURAS'!Y73="","",'RELACIÓN DE FACTURAS'!Y73)</f>
        <v/>
      </c>
      <c r="W69" s="256"/>
      <c r="X69" s="277" t="str">
        <f t="shared" si="11"/>
        <v/>
      </c>
      <c r="Y69" s="257"/>
    </row>
    <row r="70" spans="2:25" ht="39.950000000000003" customHeight="1" x14ac:dyDescent="0.2">
      <c r="B70" s="120">
        <f>IF(Y70&lt;&gt;"",MAX($B$5:B69)+1,0)</f>
        <v>0</v>
      </c>
      <c r="C70" s="122">
        <v>66</v>
      </c>
      <c r="D70" s="241" t="str">
        <f>IF('RELACIÓN DE FACTURAS'!O74="","",'RELACIÓN DE FACTURAS'!O74)</f>
        <v/>
      </c>
      <c r="E70" s="242" t="str">
        <f>IF(D70="SEGUNDO PAGO O POSTERIORES",E69,IF('RELACIÓN DE FACTURAS'!P74="","",'RELACIÓN DE FACTURAS'!P74))</f>
        <v/>
      </c>
      <c r="F70" s="243" t="str">
        <f>IF(D70="SEGUNDO PAGO O POSTERIORES",F69,IF('RELACIÓN DE FACTURAS'!R74="","",'RELACIÓN DE FACTURAS'!R74))</f>
        <v/>
      </c>
      <c r="G70" s="244" t="str">
        <f>IF(D70="","",IF(AND(D70="NUEVA FACTURA",'RELACIÓN DE FACTURAS'!Q74=""),"",IF(AND(D70="NUEVA FACTURA",'RELACIÓN DE FACTURAS'!Q74&lt;&gt;""),'RELACIÓN DE FACTURAS'!Q74,IF(D70="SEGUNDO PAGO O POSTERIORES",G69,""))))</f>
        <v/>
      </c>
      <c r="H70" s="245"/>
      <c r="I70" s="246" t="str">
        <f>IF(D70="","",IF(J70="","REVISAR",IF(OR(J70&lt;EXPEDIENTE!$I$25,J70&gt;EXPEDIENTE!$I$27),"SI","NO")))</f>
        <v/>
      </c>
      <c r="J70" s="247" t="str">
        <f t="shared" si="8"/>
        <v/>
      </c>
      <c r="K70" s="244" t="str">
        <f>IF(D70="","",IF('RELACIÓN DE FACTURAS'!AF74="","",'RELACIÓN DE FACTURAS'!AF74))</f>
        <v/>
      </c>
      <c r="L70" s="245"/>
      <c r="M70" s="246" t="str">
        <f>IF(D70="","",IF(N70="","REVISAR",IF(OR(N70&lt;EXPEDIENTE!$I$25,N70&gt;EXPEDIENTE!$I$29),"SI","NO")))</f>
        <v/>
      </c>
      <c r="N70" s="248" t="str">
        <f t="shared" si="9"/>
        <v/>
      </c>
      <c r="O70" s="249">
        <f>IF(N70&lt;EXPEDIENTE!$I$25,-1,IF(N70&gt;EXPEDIENTE!$I$29,1,0))</f>
        <v>0</v>
      </c>
      <c r="P70" s="250" t="str">
        <f t="shared" si="10"/>
        <v/>
      </c>
      <c r="Q70" s="245"/>
      <c r="R70" s="251"/>
      <c r="S70" s="252" t="str">
        <f>IF(OR(Q70="",R70=""),"",IF(Q70&gt;EXPEDIENTE!$I$27,"",MIN(DATE(YEAR(Q70),MONTH(Q70),DAY(Q70)+R70),EXPEDIENTE!$I$29)))</f>
        <v/>
      </c>
      <c r="T70" s="253" t="str">
        <f>IF(D70="","",IF(AND(P70="NO",Q70="",S70=""),"NO",IF(Q70&gt;EXPEDIENTE!$I$27,"ENTREGA FUERA PLAZO",IF(OR(Q70="",R70=""),"PDTE",IF(S70&lt;N70,"SI","NO")))))</f>
        <v/>
      </c>
      <c r="U70" s="254" t="str">
        <f>IF('RELACIÓN DE FACTURAS'!X74="","",'RELACIÓN DE FACTURAS'!X74)</f>
        <v/>
      </c>
      <c r="V70" s="255" t="str">
        <f>IF('RELACIÓN DE FACTURAS'!Y74="","",'RELACIÓN DE FACTURAS'!Y74)</f>
        <v/>
      </c>
      <c r="W70" s="256"/>
      <c r="X70" s="277" t="str">
        <f t="shared" si="11"/>
        <v/>
      </c>
      <c r="Y70" s="257"/>
    </row>
    <row r="71" spans="2:25" ht="39.950000000000003" customHeight="1" x14ac:dyDescent="0.2">
      <c r="B71" s="120">
        <f>IF(Y71&lt;&gt;"",MAX($B$5:B70)+1,0)</f>
        <v>0</v>
      </c>
      <c r="C71" s="122">
        <v>67</v>
      </c>
      <c r="D71" s="241" t="str">
        <f>IF('RELACIÓN DE FACTURAS'!O75="","",'RELACIÓN DE FACTURAS'!O75)</f>
        <v/>
      </c>
      <c r="E71" s="242" t="str">
        <f>IF(D71="SEGUNDO PAGO O POSTERIORES",E70,IF('RELACIÓN DE FACTURAS'!P75="","",'RELACIÓN DE FACTURAS'!P75))</f>
        <v/>
      </c>
      <c r="F71" s="243" t="str">
        <f>IF(D71="SEGUNDO PAGO O POSTERIORES",F70,IF('RELACIÓN DE FACTURAS'!R75="","",'RELACIÓN DE FACTURAS'!R75))</f>
        <v/>
      </c>
      <c r="G71" s="244" t="str">
        <f>IF(D71="","",IF(AND(D71="NUEVA FACTURA",'RELACIÓN DE FACTURAS'!Q75=""),"",IF(AND(D71="NUEVA FACTURA",'RELACIÓN DE FACTURAS'!Q75&lt;&gt;""),'RELACIÓN DE FACTURAS'!Q75,IF(D71="SEGUNDO PAGO O POSTERIORES",G70,""))))</f>
        <v/>
      </c>
      <c r="H71" s="245"/>
      <c r="I71" s="246" t="str">
        <f>IF(D71="","",IF(J71="","REVISAR",IF(OR(J71&lt;EXPEDIENTE!$I$25,J71&gt;EXPEDIENTE!$I$27),"SI","NO")))</f>
        <v/>
      </c>
      <c r="J71" s="247" t="str">
        <f t="shared" si="8"/>
        <v/>
      </c>
      <c r="K71" s="244" t="str">
        <f>IF(D71="","",IF('RELACIÓN DE FACTURAS'!AF75="","",'RELACIÓN DE FACTURAS'!AF75))</f>
        <v/>
      </c>
      <c r="L71" s="245"/>
      <c r="M71" s="246" t="str">
        <f>IF(D71="","",IF(N71="","REVISAR",IF(OR(N71&lt;EXPEDIENTE!$I$25,N71&gt;EXPEDIENTE!$I$29),"SI","NO")))</f>
        <v/>
      </c>
      <c r="N71" s="248" t="str">
        <f t="shared" si="9"/>
        <v/>
      </c>
      <c r="O71" s="249">
        <f>IF(N71&lt;EXPEDIENTE!$I$25,-1,IF(N71&gt;EXPEDIENTE!$I$29,1,0))</f>
        <v>0</v>
      </c>
      <c r="P71" s="250" t="str">
        <f t="shared" si="10"/>
        <v/>
      </c>
      <c r="Q71" s="245"/>
      <c r="R71" s="251"/>
      <c r="S71" s="252" t="str">
        <f>IF(OR(Q71="",R71=""),"",IF(Q71&gt;EXPEDIENTE!$I$27,"",MIN(DATE(YEAR(Q71),MONTH(Q71),DAY(Q71)+R71),EXPEDIENTE!$I$29)))</f>
        <v/>
      </c>
      <c r="T71" s="253" t="str">
        <f>IF(D71="","",IF(AND(P71="NO",Q71="",S71=""),"NO",IF(Q71&gt;EXPEDIENTE!$I$27,"ENTREGA FUERA PLAZO",IF(OR(Q71="",R71=""),"PDTE",IF(S71&lt;N71,"SI","NO")))))</f>
        <v/>
      </c>
      <c r="U71" s="254" t="str">
        <f>IF('RELACIÓN DE FACTURAS'!X75="","",'RELACIÓN DE FACTURAS'!X75)</f>
        <v/>
      </c>
      <c r="V71" s="255" t="str">
        <f>IF('RELACIÓN DE FACTURAS'!Y75="","",'RELACIÓN DE FACTURAS'!Y75)</f>
        <v/>
      </c>
      <c r="W71" s="256"/>
      <c r="X71" s="277" t="str">
        <f t="shared" si="11"/>
        <v/>
      </c>
      <c r="Y71" s="257"/>
    </row>
    <row r="72" spans="2:25" ht="39.950000000000003" customHeight="1" x14ac:dyDescent="0.2">
      <c r="B72" s="120">
        <f>IF(Y72&lt;&gt;"",MAX($B$5:B71)+1,0)</f>
        <v>0</v>
      </c>
      <c r="C72" s="122">
        <v>68</v>
      </c>
      <c r="D72" s="241" t="str">
        <f>IF('RELACIÓN DE FACTURAS'!O76="","",'RELACIÓN DE FACTURAS'!O76)</f>
        <v/>
      </c>
      <c r="E72" s="242" t="str">
        <f>IF(D72="SEGUNDO PAGO O POSTERIORES",E71,IF('RELACIÓN DE FACTURAS'!P76="","",'RELACIÓN DE FACTURAS'!P76))</f>
        <v/>
      </c>
      <c r="F72" s="243" t="str">
        <f>IF(D72="SEGUNDO PAGO O POSTERIORES",F71,IF('RELACIÓN DE FACTURAS'!R76="","",'RELACIÓN DE FACTURAS'!R76))</f>
        <v/>
      </c>
      <c r="G72" s="244" t="str">
        <f>IF(D72="","",IF(AND(D72="NUEVA FACTURA",'RELACIÓN DE FACTURAS'!Q76=""),"",IF(AND(D72="NUEVA FACTURA",'RELACIÓN DE FACTURAS'!Q76&lt;&gt;""),'RELACIÓN DE FACTURAS'!Q76,IF(D72="SEGUNDO PAGO O POSTERIORES",G71,""))))</f>
        <v/>
      </c>
      <c r="H72" s="245"/>
      <c r="I72" s="246" t="str">
        <f>IF(D72="","",IF(J72="","REVISAR",IF(OR(J72&lt;EXPEDIENTE!$I$25,J72&gt;EXPEDIENTE!$I$27),"SI","NO")))</f>
        <v/>
      </c>
      <c r="J72" s="247" t="str">
        <f t="shared" si="8"/>
        <v/>
      </c>
      <c r="K72" s="244" t="str">
        <f>IF(D72="","",IF('RELACIÓN DE FACTURAS'!AF76="","",'RELACIÓN DE FACTURAS'!AF76))</f>
        <v/>
      </c>
      <c r="L72" s="245"/>
      <c r="M72" s="246" t="str">
        <f>IF(D72="","",IF(N72="","REVISAR",IF(OR(N72&lt;EXPEDIENTE!$I$25,N72&gt;EXPEDIENTE!$I$29),"SI","NO")))</f>
        <v/>
      </c>
      <c r="N72" s="248" t="str">
        <f t="shared" si="9"/>
        <v/>
      </c>
      <c r="O72" s="249">
        <f>IF(N72&lt;EXPEDIENTE!$I$25,-1,IF(N72&gt;EXPEDIENTE!$I$29,1,0))</f>
        <v>0</v>
      </c>
      <c r="P72" s="250" t="str">
        <f t="shared" si="10"/>
        <v/>
      </c>
      <c r="Q72" s="245"/>
      <c r="R72" s="251"/>
      <c r="S72" s="252" t="str">
        <f>IF(OR(Q72="",R72=""),"",IF(Q72&gt;EXPEDIENTE!$I$27,"",MIN(DATE(YEAR(Q72),MONTH(Q72),DAY(Q72)+R72),EXPEDIENTE!$I$29)))</f>
        <v/>
      </c>
      <c r="T72" s="253" t="str">
        <f>IF(D72="","",IF(AND(P72="NO",Q72="",S72=""),"NO",IF(Q72&gt;EXPEDIENTE!$I$27,"ENTREGA FUERA PLAZO",IF(OR(Q72="",R72=""),"PDTE",IF(S72&lt;N72,"SI","NO")))))</f>
        <v/>
      </c>
      <c r="U72" s="254" t="str">
        <f>IF('RELACIÓN DE FACTURAS'!X76="","",'RELACIÓN DE FACTURAS'!X76)</f>
        <v/>
      </c>
      <c r="V72" s="255" t="str">
        <f>IF('RELACIÓN DE FACTURAS'!Y76="","",'RELACIÓN DE FACTURAS'!Y76)</f>
        <v/>
      </c>
      <c r="W72" s="256"/>
      <c r="X72" s="277" t="str">
        <f t="shared" si="11"/>
        <v/>
      </c>
      <c r="Y72" s="257"/>
    </row>
    <row r="73" spans="2:25" ht="39.950000000000003" customHeight="1" x14ac:dyDescent="0.2">
      <c r="B73" s="120">
        <f>IF(Y73&lt;&gt;"",MAX($B$5:B72)+1,0)</f>
        <v>0</v>
      </c>
      <c r="C73" s="122">
        <v>69</v>
      </c>
      <c r="D73" s="241" t="str">
        <f>IF('RELACIÓN DE FACTURAS'!O77="","",'RELACIÓN DE FACTURAS'!O77)</f>
        <v/>
      </c>
      <c r="E73" s="242" t="str">
        <f>IF(D73="SEGUNDO PAGO O POSTERIORES",E72,IF('RELACIÓN DE FACTURAS'!P77="","",'RELACIÓN DE FACTURAS'!P77))</f>
        <v/>
      </c>
      <c r="F73" s="243" t="str">
        <f>IF(D73="SEGUNDO PAGO O POSTERIORES",F72,IF('RELACIÓN DE FACTURAS'!R77="","",'RELACIÓN DE FACTURAS'!R77))</f>
        <v/>
      </c>
      <c r="G73" s="244" t="str">
        <f>IF(D73="","",IF(AND(D73="NUEVA FACTURA",'RELACIÓN DE FACTURAS'!Q77=""),"",IF(AND(D73="NUEVA FACTURA",'RELACIÓN DE FACTURAS'!Q77&lt;&gt;""),'RELACIÓN DE FACTURAS'!Q77,IF(D73="SEGUNDO PAGO O POSTERIORES",G72,""))))</f>
        <v/>
      </c>
      <c r="H73" s="245"/>
      <c r="I73" s="246" t="str">
        <f>IF(D73="","",IF(J73="","REVISAR",IF(OR(J73&lt;EXPEDIENTE!$I$25,J73&gt;EXPEDIENTE!$I$27),"SI","NO")))</f>
        <v/>
      </c>
      <c r="J73" s="247" t="str">
        <f t="shared" si="8"/>
        <v/>
      </c>
      <c r="K73" s="244" t="str">
        <f>IF(D73="","",IF('RELACIÓN DE FACTURAS'!AF77="","",'RELACIÓN DE FACTURAS'!AF77))</f>
        <v/>
      </c>
      <c r="L73" s="245"/>
      <c r="M73" s="246" t="str">
        <f>IF(D73="","",IF(N73="","REVISAR",IF(OR(N73&lt;EXPEDIENTE!$I$25,N73&gt;EXPEDIENTE!$I$29),"SI","NO")))</f>
        <v/>
      </c>
      <c r="N73" s="248" t="str">
        <f t="shared" si="9"/>
        <v/>
      </c>
      <c r="O73" s="249">
        <f>IF(N73&lt;EXPEDIENTE!$I$25,-1,IF(N73&gt;EXPEDIENTE!$I$29,1,0))</f>
        <v>0</v>
      </c>
      <c r="P73" s="250" t="str">
        <f t="shared" si="10"/>
        <v/>
      </c>
      <c r="Q73" s="245"/>
      <c r="R73" s="251"/>
      <c r="S73" s="252" t="str">
        <f>IF(OR(Q73="",R73=""),"",IF(Q73&gt;EXPEDIENTE!$I$27,"",MIN(DATE(YEAR(Q73),MONTH(Q73),DAY(Q73)+R73),EXPEDIENTE!$I$29)))</f>
        <v/>
      </c>
      <c r="T73" s="253" t="str">
        <f>IF(D73="","",IF(AND(P73="NO",Q73="",S73=""),"NO",IF(Q73&gt;EXPEDIENTE!$I$27,"ENTREGA FUERA PLAZO",IF(OR(Q73="",R73=""),"PDTE",IF(S73&lt;N73,"SI","NO")))))</f>
        <v/>
      </c>
      <c r="U73" s="254" t="str">
        <f>IF('RELACIÓN DE FACTURAS'!X77="","",'RELACIÓN DE FACTURAS'!X77)</f>
        <v/>
      </c>
      <c r="V73" s="255" t="str">
        <f>IF('RELACIÓN DE FACTURAS'!Y77="","",'RELACIÓN DE FACTURAS'!Y77)</f>
        <v/>
      </c>
      <c r="W73" s="256"/>
      <c r="X73" s="277" t="str">
        <f t="shared" si="11"/>
        <v/>
      </c>
      <c r="Y73" s="257"/>
    </row>
    <row r="74" spans="2:25" ht="39.950000000000003" customHeight="1" x14ac:dyDescent="0.2">
      <c r="B74" s="120">
        <f>IF(Y74&lt;&gt;"",MAX($B$5:B73)+1,0)</f>
        <v>0</v>
      </c>
      <c r="C74" s="122">
        <v>70</v>
      </c>
      <c r="D74" s="241" t="str">
        <f>IF('RELACIÓN DE FACTURAS'!O78="","",'RELACIÓN DE FACTURAS'!O78)</f>
        <v/>
      </c>
      <c r="E74" s="242" t="str">
        <f>IF(D74="SEGUNDO PAGO O POSTERIORES",E73,IF('RELACIÓN DE FACTURAS'!P78="","",'RELACIÓN DE FACTURAS'!P78))</f>
        <v/>
      </c>
      <c r="F74" s="243" t="str">
        <f>IF(D74="SEGUNDO PAGO O POSTERIORES",F73,IF('RELACIÓN DE FACTURAS'!R78="","",'RELACIÓN DE FACTURAS'!R78))</f>
        <v/>
      </c>
      <c r="G74" s="244" t="str">
        <f>IF(D74="","",IF(AND(D74="NUEVA FACTURA",'RELACIÓN DE FACTURAS'!Q78=""),"",IF(AND(D74="NUEVA FACTURA",'RELACIÓN DE FACTURAS'!Q78&lt;&gt;""),'RELACIÓN DE FACTURAS'!Q78,IF(D74="SEGUNDO PAGO O POSTERIORES",G73,""))))</f>
        <v/>
      </c>
      <c r="H74" s="245"/>
      <c r="I74" s="246" t="str">
        <f>IF(D74="","",IF(J74="","REVISAR",IF(OR(J74&lt;EXPEDIENTE!$I$25,J74&gt;EXPEDIENTE!$I$27),"SI","NO")))</f>
        <v/>
      </c>
      <c r="J74" s="247" t="str">
        <f t="shared" si="8"/>
        <v/>
      </c>
      <c r="K74" s="244" t="str">
        <f>IF(D74="","",IF('RELACIÓN DE FACTURAS'!AF78="","",'RELACIÓN DE FACTURAS'!AF78))</f>
        <v/>
      </c>
      <c r="L74" s="245"/>
      <c r="M74" s="246" t="str">
        <f>IF(D74="","",IF(N74="","REVISAR",IF(OR(N74&lt;EXPEDIENTE!$I$25,N74&gt;EXPEDIENTE!$I$29),"SI","NO")))</f>
        <v/>
      </c>
      <c r="N74" s="248" t="str">
        <f t="shared" si="9"/>
        <v/>
      </c>
      <c r="O74" s="249">
        <f>IF(N74&lt;EXPEDIENTE!$I$25,-1,IF(N74&gt;EXPEDIENTE!$I$29,1,0))</f>
        <v>0</v>
      </c>
      <c r="P74" s="250" t="str">
        <f t="shared" si="10"/>
        <v/>
      </c>
      <c r="Q74" s="245"/>
      <c r="R74" s="251"/>
      <c r="S74" s="252" t="str">
        <f>IF(OR(Q74="",R74=""),"",IF(Q74&gt;EXPEDIENTE!$I$27,"",MIN(DATE(YEAR(Q74),MONTH(Q74),DAY(Q74)+R74),EXPEDIENTE!$I$29)))</f>
        <v/>
      </c>
      <c r="T74" s="253" t="str">
        <f>IF(D74="","",IF(AND(P74="NO",Q74="",S74=""),"NO",IF(Q74&gt;EXPEDIENTE!$I$27,"ENTREGA FUERA PLAZO",IF(OR(Q74="",R74=""),"PDTE",IF(S74&lt;N74,"SI","NO")))))</f>
        <v/>
      </c>
      <c r="U74" s="254" t="str">
        <f>IF('RELACIÓN DE FACTURAS'!X78="","",'RELACIÓN DE FACTURAS'!X78)</f>
        <v/>
      </c>
      <c r="V74" s="255" t="str">
        <f>IF('RELACIÓN DE FACTURAS'!Y78="","",'RELACIÓN DE FACTURAS'!Y78)</f>
        <v/>
      </c>
      <c r="W74" s="256"/>
      <c r="X74" s="277" t="str">
        <f t="shared" si="11"/>
        <v/>
      </c>
      <c r="Y74" s="257"/>
    </row>
    <row r="75" spans="2:25" ht="39.950000000000003" customHeight="1" x14ac:dyDescent="0.2">
      <c r="B75" s="120">
        <f>IF(Y75&lt;&gt;"",MAX($B$5:B74)+1,0)</f>
        <v>0</v>
      </c>
      <c r="C75" s="122">
        <v>71</v>
      </c>
      <c r="D75" s="241" t="str">
        <f>IF('RELACIÓN DE FACTURAS'!O79="","",'RELACIÓN DE FACTURAS'!O79)</f>
        <v/>
      </c>
      <c r="E75" s="242" t="str">
        <f>IF(D75="SEGUNDO PAGO O POSTERIORES",E74,IF('RELACIÓN DE FACTURAS'!P79="","",'RELACIÓN DE FACTURAS'!P79))</f>
        <v/>
      </c>
      <c r="F75" s="243" t="str">
        <f>IF(D75="SEGUNDO PAGO O POSTERIORES",F74,IF('RELACIÓN DE FACTURAS'!R79="","",'RELACIÓN DE FACTURAS'!R79))</f>
        <v/>
      </c>
      <c r="G75" s="244" t="str">
        <f>IF(D75="","",IF(AND(D75="NUEVA FACTURA",'RELACIÓN DE FACTURAS'!Q79=""),"",IF(AND(D75="NUEVA FACTURA",'RELACIÓN DE FACTURAS'!Q79&lt;&gt;""),'RELACIÓN DE FACTURAS'!Q79,IF(D75="SEGUNDO PAGO O POSTERIORES",G74,""))))</f>
        <v/>
      </c>
      <c r="H75" s="245"/>
      <c r="I75" s="246" t="str">
        <f>IF(D75="","",IF(J75="","REVISAR",IF(OR(J75&lt;EXPEDIENTE!$I$25,J75&gt;EXPEDIENTE!$I$27),"SI","NO")))</f>
        <v/>
      </c>
      <c r="J75" s="247" t="str">
        <f t="shared" si="8"/>
        <v/>
      </c>
      <c r="K75" s="244" t="str">
        <f>IF(D75="","",IF('RELACIÓN DE FACTURAS'!AF79="","",'RELACIÓN DE FACTURAS'!AF79))</f>
        <v/>
      </c>
      <c r="L75" s="245"/>
      <c r="M75" s="246" t="str">
        <f>IF(D75="","",IF(N75="","REVISAR",IF(OR(N75&lt;EXPEDIENTE!$I$25,N75&gt;EXPEDIENTE!$I$29),"SI","NO")))</f>
        <v/>
      </c>
      <c r="N75" s="248" t="str">
        <f t="shared" si="9"/>
        <v/>
      </c>
      <c r="O75" s="249">
        <f>IF(N75&lt;EXPEDIENTE!$I$25,-1,IF(N75&gt;EXPEDIENTE!$I$29,1,0))</f>
        <v>0</v>
      </c>
      <c r="P75" s="250" t="str">
        <f t="shared" si="10"/>
        <v/>
      </c>
      <c r="Q75" s="245"/>
      <c r="R75" s="251"/>
      <c r="S75" s="252" t="str">
        <f>IF(OR(Q75="",R75=""),"",IF(Q75&gt;EXPEDIENTE!$I$27,"",MIN(DATE(YEAR(Q75),MONTH(Q75),DAY(Q75)+R75),EXPEDIENTE!$I$29)))</f>
        <v/>
      </c>
      <c r="T75" s="253" t="str">
        <f>IF(D75="","",IF(AND(P75="NO",Q75="",S75=""),"NO",IF(Q75&gt;EXPEDIENTE!$I$27,"ENTREGA FUERA PLAZO",IF(OR(Q75="",R75=""),"PDTE",IF(S75&lt;N75,"SI","NO")))))</f>
        <v/>
      </c>
      <c r="U75" s="254" t="str">
        <f>IF('RELACIÓN DE FACTURAS'!X79="","",'RELACIÓN DE FACTURAS'!X79)</f>
        <v/>
      </c>
      <c r="V75" s="255" t="str">
        <f>IF('RELACIÓN DE FACTURAS'!Y79="","",'RELACIÓN DE FACTURAS'!Y79)</f>
        <v/>
      </c>
      <c r="W75" s="256"/>
      <c r="X75" s="277" t="str">
        <f t="shared" si="11"/>
        <v/>
      </c>
      <c r="Y75" s="257"/>
    </row>
    <row r="76" spans="2:25" ht="39.950000000000003" customHeight="1" x14ac:dyDescent="0.2">
      <c r="B76" s="120">
        <f>IF(Y76&lt;&gt;"",MAX($B$5:B75)+1,0)</f>
        <v>0</v>
      </c>
      <c r="C76" s="122">
        <v>72</v>
      </c>
      <c r="D76" s="241" t="str">
        <f>IF('RELACIÓN DE FACTURAS'!O80="","",'RELACIÓN DE FACTURAS'!O80)</f>
        <v/>
      </c>
      <c r="E76" s="242" t="str">
        <f>IF(D76="SEGUNDO PAGO O POSTERIORES",E75,IF('RELACIÓN DE FACTURAS'!P80="","",'RELACIÓN DE FACTURAS'!P80))</f>
        <v/>
      </c>
      <c r="F76" s="243" t="str">
        <f>IF(D76="SEGUNDO PAGO O POSTERIORES",F75,IF('RELACIÓN DE FACTURAS'!R80="","",'RELACIÓN DE FACTURAS'!R80))</f>
        <v/>
      </c>
      <c r="G76" s="244" t="str">
        <f>IF(D76="","",IF(AND(D76="NUEVA FACTURA",'RELACIÓN DE FACTURAS'!Q80=""),"",IF(AND(D76="NUEVA FACTURA",'RELACIÓN DE FACTURAS'!Q80&lt;&gt;""),'RELACIÓN DE FACTURAS'!Q80,IF(D76="SEGUNDO PAGO O POSTERIORES",G75,""))))</f>
        <v/>
      </c>
      <c r="H76" s="245"/>
      <c r="I76" s="246" t="str">
        <f>IF(D76="","",IF(J76="","REVISAR",IF(OR(J76&lt;EXPEDIENTE!$I$25,J76&gt;EXPEDIENTE!$I$27),"SI","NO")))</f>
        <v/>
      </c>
      <c r="J76" s="247" t="str">
        <f t="shared" si="8"/>
        <v/>
      </c>
      <c r="K76" s="244" t="str">
        <f>IF(D76="","",IF('RELACIÓN DE FACTURAS'!AF80="","",'RELACIÓN DE FACTURAS'!AF80))</f>
        <v/>
      </c>
      <c r="L76" s="245"/>
      <c r="M76" s="246" t="str">
        <f>IF(D76="","",IF(N76="","REVISAR",IF(OR(N76&lt;EXPEDIENTE!$I$25,N76&gt;EXPEDIENTE!$I$29),"SI","NO")))</f>
        <v/>
      </c>
      <c r="N76" s="248" t="str">
        <f t="shared" si="9"/>
        <v/>
      </c>
      <c r="O76" s="249">
        <f>IF(N76&lt;EXPEDIENTE!$I$25,-1,IF(N76&gt;EXPEDIENTE!$I$29,1,0))</f>
        <v>0</v>
      </c>
      <c r="P76" s="250" t="str">
        <f t="shared" si="10"/>
        <v/>
      </c>
      <c r="Q76" s="245"/>
      <c r="R76" s="251"/>
      <c r="S76" s="252" t="str">
        <f>IF(OR(Q76="",R76=""),"",IF(Q76&gt;EXPEDIENTE!$I$27,"",MIN(DATE(YEAR(Q76),MONTH(Q76),DAY(Q76)+R76),EXPEDIENTE!$I$29)))</f>
        <v/>
      </c>
      <c r="T76" s="253" t="str">
        <f>IF(D76="","",IF(AND(P76="NO",Q76="",S76=""),"NO",IF(Q76&gt;EXPEDIENTE!$I$27,"ENTREGA FUERA PLAZO",IF(OR(Q76="",R76=""),"PDTE",IF(S76&lt;N76,"SI","NO")))))</f>
        <v/>
      </c>
      <c r="U76" s="254" t="str">
        <f>IF('RELACIÓN DE FACTURAS'!X80="","",'RELACIÓN DE FACTURAS'!X80)</f>
        <v/>
      </c>
      <c r="V76" s="255" t="str">
        <f>IF('RELACIÓN DE FACTURAS'!Y80="","",'RELACIÓN DE FACTURAS'!Y80)</f>
        <v/>
      </c>
      <c r="W76" s="256"/>
      <c r="X76" s="277" t="str">
        <f t="shared" si="11"/>
        <v/>
      </c>
      <c r="Y76" s="257"/>
    </row>
    <row r="77" spans="2:25" ht="39.950000000000003" customHeight="1" x14ac:dyDescent="0.2">
      <c r="B77" s="120">
        <f>IF(Y77&lt;&gt;"",MAX($B$5:B76)+1,0)</f>
        <v>0</v>
      </c>
      <c r="C77" s="122">
        <v>73</v>
      </c>
      <c r="D77" s="241" t="str">
        <f>IF('RELACIÓN DE FACTURAS'!O81="","",'RELACIÓN DE FACTURAS'!O81)</f>
        <v/>
      </c>
      <c r="E77" s="242" t="str">
        <f>IF(D77="SEGUNDO PAGO O POSTERIORES",E76,IF('RELACIÓN DE FACTURAS'!P81="","",'RELACIÓN DE FACTURAS'!P81))</f>
        <v/>
      </c>
      <c r="F77" s="243" t="str">
        <f>IF(D77="SEGUNDO PAGO O POSTERIORES",F76,IF('RELACIÓN DE FACTURAS'!R81="","",'RELACIÓN DE FACTURAS'!R81))</f>
        <v/>
      </c>
      <c r="G77" s="244" t="str">
        <f>IF(D77="","",IF(AND(D77="NUEVA FACTURA",'RELACIÓN DE FACTURAS'!Q81=""),"",IF(AND(D77="NUEVA FACTURA",'RELACIÓN DE FACTURAS'!Q81&lt;&gt;""),'RELACIÓN DE FACTURAS'!Q81,IF(D77="SEGUNDO PAGO O POSTERIORES",G76,""))))</f>
        <v/>
      </c>
      <c r="H77" s="245"/>
      <c r="I77" s="246" t="str">
        <f>IF(D77="","",IF(J77="","REVISAR",IF(OR(J77&lt;EXPEDIENTE!$I$25,J77&gt;EXPEDIENTE!$I$27),"SI","NO")))</f>
        <v/>
      </c>
      <c r="J77" s="247" t="str">
        <f t="shared" si="8"/>
        <v/>
      </c>
      <c r="K77" s="244" t="str">
        <f>IF(D77="","",IF('RELACIÓN DE FACTURAS'!AF81="","",'RELACIÓN DE FACTURAS'!AF81))</f>
        <v/>
      </c>
      <c r="L77" s="245"/>
      <c r="M77" s="246" t="str">
        <f>IF(D77="","",IF(N77="","REVISAR",IF(OR(N77&lt;EXPEDIENTE!$I$25,N77&gt;EXPEDIENTE!$I$29),"SI","NO")))</f>
        <v/>
      </c>
      <c r="N77" s="248" t="str">
        <f t="shared" si="9"/>
        <v/>
      </c>
      <c r="O77" s="249">
        <f>IF(N77&lt;EXPEDIENTE!$I$25,-1,IF(N77&gt;EXPEDIENTE!$I$29,1,0))</f>
        <v>0</v>
      </c>
      <c r="P77" s="250" t="str">
        <f t="shared" si="10"/>
        <v/>
      </c>
      <c r="Q77" s="245"/>
      <c r="R77" s="251"/>
      <c r="S77" s="252" t="str">
        <f>IF(OR(Q77="",R77=""),"",IF(Q77&gt;EXPEDIENTE!$I$27,"",MIN(DATE(YEAR(Q77),MONTH(Q77),DAY(Q77)+R77),EXPEDIENTE!$I$29)))</f>
        <v/>
      </c>
      <c r="T77" s="253" t="str">
        <f>IF(D77="","",IF(AND(P77="NO",Q77="",S77=""),"NO",IF(Q77&gt;EXPEDIENTE!$I$27,"ENTREGA FUERA PLAZO",IF(OR(Q77="",R77=""),"PDTE",IF(S77&lt;N77,"SI","NO")))))</f>
        <v/>
      </c>
      <c r="U77" s="254" t="str">
        <f>IF('RELACIÓN DE FACTURAS'!X81="","",'RELACIÓN DE FACTURAS'!X81)</f>
        <v/>
      </c>
      <c r="V77" s="255" t="str">
        <f>IF('RELACIÓN DE FACTURAS'!Y81="","",'RELACIÓN DE FACTURAS'!Y81)</f>
        <v/>
      </c>
      <c r="W77" s="256"/>
      <c r="X77" s="277" t="str">
        <f t="shared" si="11"/>
        <v/>
      </c>
      <c r="Y77" s="257"/>
    </row>
    <row r="78" spans="2:25" ht="39.950000000000003" customHeight="1" x14ac:dyDescent="0.2">
      <c r="B78" s="120">
        <f>IF(Y78&lt;&gt;"",MAX($B$5:B77)+1,0)</f>
        <v>0</v>
      </c>
      <c r="C78" s="122">
        <v>74</v>
      </c>
      <c r="D78" s="241" t="str">
        <f>IF('RELACIÓN DE FACTURAS'!O82="","",'RELACIÓN DE FACTURAS'!O82)</f>
        <v/>
      </c>
      <c r="E78" s="242" t="str">
        <f>IF(D78="SEGUNDO PAGO O POSTERIORES",E77,IF('RELACIÓN DE FACTURAS'!P82="","",'RELACIÓN DE FACTURAS'!P82))</f>
        <v/>
      </c>
      <c r="F78" s="243" t="str">
        <f>IF(D78="SEGUNDO PAGO O POSTERIORES",F77,IF('RELACIÓN DE FACTURAS'!R82="","",'RELACIÓN DE FACTURAS'!R82))</f>
        <v/>
      </c>
      <c r="G78" s="244" t="str">
        <f>IF(D78="","",IF(AND(D78="NUEVA FACTURA",'RELACIÓN DE FACTURAS'!Q82=""),"",IF(AND(D78="NUEVA FACTURA",'RELACIÓN DE FACTURAS'!Q82&lt;&gt;""),'RELACIÓN DE FACTURAS'!Q82,IF(D78="SEGUNDO PAGO O POSTERIORES",G77,""))))</f>
        <v/>
      </c>
      <c r="H78" s="245"/>
      <c r="I78" s="246" t="str">
        <f>IF(D78="","",IF(J78="","REVISAR",IF(OR(J78&lt;EXPEDIENTE!$I$25,J78&gt;EXPEDIENTE!$I$27),"SI","NO")))</f>
        <v/>
      </c>
      <c r="J78" s="247" t="str">
        <f t="shared" si="8"/>
        <v/>
      </c>
      <c r="K78" s="244" t="str">
        <f>IF(D78="","",IF('RELACIÓN DE FACTURAS'!AF82="","",'RELACIÓN DE FACTURAS'!AF82))</f>
        <v/>
      </c>
      <c r="L78" s="245"/>
      <c r="M78" s="246" t="str">
        <f>IF(D78="","",IF(N78="","REVISAR",IF(OR(N78&lt;EXPEDIENTE!$I$25,N78&gt;EXPEDIENTE!$I$29),"SI","NO")))</f>
        <v/>
      </c>
      <c r="N78" s="248" t="str">
        <f t="shared" si="9"/>
        <v/>
      </c>
      <c r="O78" s="249">
        <f>IF(N78&lt;EXPEDIENTE!$I$25,-1,IF(N78&gt;EXPEDIENTE!$I$29,1,0))</f>
        <v>0</v>
      </c>
      <c r="P78" s="250" t="str">
        <f t="shared" si="10"/>
        <v/>
      </c>
      <c r="Q78" s="245"/>
      <c r="R78" s="251"/>
      <c r="S78" s="252" t="str">
        <f>IF(OR(Q78="",R78=""),"",IF(Q78&gt;EXPEDIENTE!$I$27,"",MIN(DATE(YEAR(Q78),MONTH(Q78),DAY(Q78)+R78),EXPEDIENTE!$I$29)))</f>
        <v/>
      </c>
      <c r="T78" s="253" t="str">
        <f>IF(D78="","",IF(AND(P78="NO",Q78="",S78=""),"NO",IF(Q78&gt;EXPEDIENTE!$I$27,"ENTREGA FUERA PLAZO",IF(OR(Q78="",R78=""),"PDTE",IF(S78&lt;N78,"SI","NO")))))</f>
        <v/>
      </c>
      <c r="U78" s="254" t="str">
        <f>IF('RELACIÓN DE FACTURAS'!X82="","",'RELACIÓN DE FACTURAS'!X82)</f>
        <v/>
      </c>
      <c r="V78" s="255" t="str">
        <f>IF('RELACIÓN DE FACTURAS'!Y82="","",'RELACIÓN DE FACTURAS'!Y82)</f>
        <v/>
      </c>
      <c r="W78" s="256"/>
      <c r="X78" s="277" t="str">
        <f t="shared" si="11"/>
        <v/>
      </c>
      <c r="Y78" s="257"/>
    </row>
    <row r="79" spans="2:25" ht="39.950000000000003" customHeight="1" thickBot="1" x14ac:dyDescent="0.25">
      <c r="B79" s="120">
        <f>IF(Y79&lt;&gt;"",MAX($B$5:B78)+1,0)</f>
        <v>0</v>
      </c>
      <c r="C79" s="122">
        <v>75</v>
      </c>
      <c r="D79" s="258" t="str">
        <f>IF('RELACIÓN DE FACTURAS'!O83="","",'RELACIÓN DE FACTURAS'!O83)</f>
        <v/>
      </c>
      <c r="E79" s="259" t="str">
        <f>IF(D79="SEGUNDO PAGO O POSTERIORES",E43,IF('RELACIÓN DE FACTURAS'!P83="","",'RELACIÓN DE FACTURAS'!P83))</f>
        <v/>
      </c>
      <c r="F79" s="260" t="str">
        <f>IF(D79="SEGUNDO PAGO O POSTERIORES",F43,IF('RELACIÓN DE FACTURAS'!R83="","",'RELACIÓN DE FACTURAS'!R83))</f>
        <v/>
      </c>
      <c r="G79" s="261" t="str">
        <f>IF(D79="","",IF(AND(D79="NUEVA FACTURA",'RELACIÓN DE FACTURAS'!Q83=""),"",IF(AND(D79="NUEVA FACTURA",'RELACIÓN DE FACTURAS'!Q83&lt;&gt;""),'RELACIÓN DE FACTURAS'!Q83,IF(D79="SEGUNDO PAGO O POSTERIORES",G43,""))))</f>
        <v/>
      </c>
      <c r="H79" s="262"/>
      <c r="I79" s="263" t="str">
        <f>IF(D79="","",IF(J79="","REVISAR",IF(OR(J79&lt;EXPEDIENTE!$I$25,J79&gt;EXPEDIENTE!$I$27),"SI","NO")))</f>
        <v/>
      </c>
      <c r="J79" s="264" t="str">
        <f t="shared" si="4"/>
        <v/>
      </c>
      <c r="K79" s="261" t="str">
        <f>IF(D79="","",IF('RELACIÓN DE FACTURAS'!AF83="","",'RELACIÓN DE FACTURAS'!AF83))</f>
        <v/>
      </c>
      <c r="L79" s="262"/>
      <c r="M79" s="263" t="str">
        <f>IF(D79="","",IF(N79="","REVISAR",IF(OR(N79&lt;EXPEDIENTE!$I$25,N79&gt;EXPEDIENTE!$I$29),"SI","NO")))</f>
        <v/>
      </c>
      <c r="N79" s="265" t="str">
        <f t="shared" si="5"/>
        <v/>
      </c>
      <c r="O79" s="266">
        <f>IF(N79&lt;EXPEDIENTE!$I$25,-1,IF(N79&gt;EXPEDIENTE!$I$29,1,0))</f>
        <v>0</v>
      </c>
      <c r="P79" s="267" t="str">
        <f t="shared" si="6"/>
        <v/>
      </c>
      <c r="Q79" s="262"/>
      <c r="R79" s="268"/>
      <c r="S79" s="269" t="str">
        <f>IF(OR(Q79="",R79=""),"",IF(Q79&gt;EXPEDIENTE!$I$27,"",MIN(DATE(YEAR(Q79),MONTH(Q79),DAY(Q79)+R79),EXPEDIENTE!$I$29)))</f>
        <v/>
      </c>
      <c r="T79" s="270" t="str">
        <f>IF(D79="","",IF(AND(P79="NO",Q79="",S79=""),"NO",IF(Q79&gt;EXPEDIENTE!$I$27,"ENTREGA FUERA PLAZO",IF(OR(Q79="",R79=""),"PDTE",IF(S79&lt;N79,"SI","NO")))))</f>
        <v/>
      </c>
      <c r="U79" s="271" t="str">
        <f>IF('RELACIÓN DE FACTURAS'!X83="","",'RELACIÓN DE FACTURAS'!X83)</f>
        <v/>
      </c>
      <c r="V79" s="272" t="str">
        <f>IF('RELACIÓN DE FACTURAS'!Y83="","",'RELACIÓN DE FACTURAS'!Y83)</f>
        <v/>
      </c>
      <c r="W79" s="273"/>
      <c r="X79" s="278" t="str">
        <f t="shared" si="7"/>
        <v/>
      </c>
      <c r="Y79" s="274"/>
    </row>
    <row r="80" spans="2:25" x14ac:dyDescent="0.2">
      <c r="G80" s="124"/>
      <c r="H80" s="124"/>
      <c r="J80" s="124"/>
      <c r="K80" s="124"/>
      <c r="L80" s="124"/>
      <c r="N80" s="124"/>
      <c r="O80" s="124"/>
    </row>
    <row r="81" spans="21:22" x14ac:dyDescent="0.2">
      <c r="U81" s="275">
        <f>SUM(U5:U79)</f>
        <v>0</v>
      </c>
      <c r="V81" s="275">
        <f>SUM(V5:V79)</f>
        <v>0</v>
      </c>
    </row>
  </sheetData>
  <sheetProtection algorithmName="SHA-512" hashValue="ixQIvFcIkRew4FzHRulxmuvsAA6gtRBdgUjS7CzDZVhmEDRXSZU0wC8jroKAy28OgglHr7kgHFOGS+od3t0IRg==" saltValue="4vbqQwR+8BdDo5YBejvVaQ==" spinCount="100000" sheet="1" objects="1" scenarios="1" formatRows="0"/>
  <protectedRanges>
    <protectedRange algorithmName="SHA-512" hashValue="XTuwxXv4QdkfVyH9XCnSl1x5Eze1egaqLLDFunK+OcsnZWAFnJD6Cs1KjLtEN09WqP7ITAEh87R+ln8qhTGd8g==" saltValue="JDuadpQw4C0rjnMhXxq4yw==" spinCount="100000" sqref="Y5:Y79" name="Rango7"/>
    <protectedRange algorithmName="SHA-512" hashValue="fmyJowgWMvd6pTtENAizEoi8wHhgQUjuRrJVIK4v7lvOY3CZEGxVw0RV6jHhetNjnOOKCuGpEReAVN8Mwi25ag==" saltValue="sxceRhQpXa9Bs1VYWqryZA==" spinCount="100000" sqref="W5:W79" name="Rango6"/>
    <protectedRange algorithmName="SHA-512" hashValue="6MRbCER7X9gvuHYie7BGiDL7HrZ8biEzQDNQuj9Y0aB+AZVRwrMFOQgeLHzAHhKwDHzKVrUFDk8ug4zqrT/yQQ==" saltValue="gRNUtElGCQ1ZKSW7sGcbGw==" spinCount="100000" sqref="Q5:R79" name="Rango5"/>
    <protectedRange algorithmName="SHA-512" hashValue="05iWmhkm0ueS1zjLk8ZRDe13siNdF75uBMiZQG0TJUNQeSjiGDWT4xZ8OE7UxyutND+PhpGgRAUPr32MjctxzA==" saltValue="eRsYnYpSTi1B75g3EYZyzw==" spinCount="100000" sqref="L5:L79" name="Rango4"/>
    <protectedRange algorithmName="SHA-512" hashValue="fzPIZFxY6nqbydqQUIs8gOlGkqumYFVldmV8wPxJCjZLwzYIdF1X189oRgtWVpdcJpJZ1UfWyuPAzpf9cjWCsA==" saltValue="q1HiC46g2Mgk5HRn5/KdYw==" spinCount="100000" sqref="H5:H79" name="Rango3"/>
  </protectedRanges>
  <mergeCells count="20">
    <mergeCell ref="D2:F3"/>
    <mergeCell ref="I3:I4"/>
    <mergeCell ref="G2:I2"/>
    <mergeCell ref="K2:M2"/>
    <mergeCell ref="M3:M4"/>
    <mergeCell ref="J2:J4"/>
    <mergeCell ref="Q3:Q4"/>
    <mergeCell ref="S3:S4"/>
    <mergeCell ref="T3:T4"/>
    <mergeCell ref="N2:N4"/>
    <mergeCell ref="O2:O4"/>
    <mergeCell ref="R3:R4"/>
    <mergeCell ref="P3:P4"/>
    <mergeCell ref="P2:T2"/>
    <mergeCell ref="W2:W4"/>
    <mergeCell ref="X2:X4"/>
    <mergeCell ref="Y2:Y4"/>
    <mergeCell ref="U2:V2"/>
    <mergeCell ref="U3:U4"/>
    <mergeCell ref="V3:V4"/>
  </mergeCells>
  <conditionalFormatting sqref="H5:H79">
    <cfRule type="expression" dxfId="30" priority="49" stopIfTrue="1">
      <formula>AND($D5&lt;&gt;"",$G5="",$H5&lt;&gt;"")</formula>
    </cfRule>
    <cfRule type="expression" dxfId="29" priority="50">
      <formula>AND($D5&lt;&gt;"",$G5="")</formula>
    </cfRule>
    <cfRule type="expression" dxfId="28" priority="128">
      <formula>AND($D5&lt;&gt;"",$G5&lt;&gt;"",$H5&lt;&gt;"")</formula>
    </cfRule>
  </conditionalFormatting>
  <conditionalFormatting sqref="I5:I79">
    <cfRule type="cellIs" dxfId="27" priority="30" stopIfTrue="1" operator="equal">
      <formula>"SI"</formula>
    </cfRule>
  </conditionalFormatting>
  <conditionalFormatting sqref="I5:J79">
    <cfRule type="expression" dxfId="26" priority="48">
      <formula>$I5="REVISAR"</formula>
    </cfRule>
  </conditionalFormatting>
  <conditionalFormatting sqref="L5:L79">
    <cfRule type="expression" dxfId="25" priority="82" stopIfTrue="1">
      <formula>AND($D5&lt;&gt;"",$K5="",$L5&lt;&gt;"")</formula>
    </cfRule>
    <cfRule type="expression" dxfId="24" priority="83">
      <formula>AND($D5&lt;&gt;"",$K5="")</formula>
    </cfRule>
    <cfRule type="expression" dxfId="23" priority="85">
      <formula>AND($D5&lt;&gt;"",$K5&lt;&gt;"",$L5&lt;&gt;"")</formula>
    </cfRule>
  </conditionalFormatting>
  <conditionalFormatting sqref="M5">
    <cfRule type="cellIs" dxfId="22" priority="8" stopIfTrue="1" operator="equal">
      <formula>"SI"</formula>
    </cfRule>
  </conditionalFormatting>
  <conditionalFormatting sqref="M5:N79">
    <cfRule type="expression" dxfId="21" priority="47">
      <formula>$M5="REVISAR"</formula>
    </cfRule>
  </conditionalFormatting>
  <conditionalFormatting sqref="P5:P79">
    <cfRule type="cellIs" dxfId="20" priority="43" operator="equal">
      <formula>"PDTE"</formula>
    </cfRule>
  </conditionalFormatting>
  <conditionalFormatting sqref="Q5:Q79">
    <cfRule type="expression" dxfId="18" priority="6" stopIfTrue="1">
      <formula>AND(OR($P5="SI",$P5="PDTE"),$Q5&lt;&gt;"")</formula>
    </cfRule>
  </conditionalFormatting>
  <conditionalFormatting sqref="Q5:R79">
    <cfRule type="expression" dxfId="17" priority="129">
      <formula>AND($P5="NO",OR($Q5&lt;&gt;"",SR5&lt;&gt;""))</formula>
    </cfRule>
    <cfRule type="expression" dxfId="16" priority="130">
      <formula>$T5="PDTE"</formula>
    </cfRule>
  </conditionalFormatting>
  <conditionalFormatting sqref="R5:R79">
    <cfRule type="expression" dxfId="15" priority="5" stopIfTrue="1">
      <formula>AND($R5&lt;&gt;"",OR($R5&lt;30,$R5&gt;60))</formula>
    </cfRule>
    <cfRule type="expression" dxfId="14" priority="44" stopIfTrue="1">
      <formula>AND(OR($P5="SI",$P5="PDTE"),$R5&lt;&gt;"")</formula>
    </cfRule>
    <cfRule type="expression" dxfId="13" priority="131" stopIfTrue="1">
      <formula>AND(OR($P5="SI",$P5="PDTE"),$Q5&lt;&gt;"")</formula>
    </cfRule>
    <cfRule type="expression" dxfId="12" priority="132">
      <formula>$T5="PDTE"</formula>
    </cfRule>
    <cfRule type="expression" dxfId="11" priority="133">
      <formula>AND($P5="NO",$Q5&lt;&gt;"")</formula>
    </cfRule>
    <cfRule type="cellIs" dxfId="10" priority="142" operator="equal">
      <formula>"PDTE"</formula>
    </cfRule>
  </conditionalFormatting>
  <conditionalFormatting sqref="S5:S79">
    <cfRule type="expression" dxfId="9" priority="143" stopIfTrue="1">
      <formula>AND(OR($P5="SI",$P5="PDTE"),$S5&lt;&gt;"")</formula>
    </cfRule>
    <cfRule type="expression" dxfId="8" priority="202">
      <formula>AND($P5="NO",$S5&lt;&gt;"")</formula>
    </cfRule>
  </conditionalFormatting>
  <conditionalFormatting sqref="T5:T79">
    <cfRule type="expression" dxfId="7" priority="7">
      <formula>OR($T5="SI",$T5="ENTREGA FUERA PLAZO")</formula>
    </cfRule>
  </conditionalFormatting>
  <conditionalFormatting sqref="V5:V79">
    <cfRule type="expression" dxfId="6" priority="41">
      <formula>$V5&lt;&gt;$U5</formula>
    </cfRule>
  </conditionalFormatting>
  <conditionalFormatting sqref="X5:X79">
    <cfRule type="cellIs" dxfId="5" priority="3" operator="equal">
      <formula>"NO OK"</formula>
    </cfRule>
  </conditionalFormatting>
  <conditionalFormatting sqref="Y5:Y79">
    <cfRule type="expression" dxfId="4" priority="34" stopIfTrue="1">
      <formula>AND($Y5="",OR($X5="NO OK",$P5="SI",$U5&lt;&gt;$V5))</formula>
    </cfRule>
    <cfRule type="expression" dxfId="3" priority="35" stopIfTrue="1">
      <formula>OR(AND($X5="NO OK",$Y5&lt;&gt;""),AND($X5="OK",$U5&lt;&gt;$V5),AND($X5="OK",$P5="SI"))</formula>
    </cfRule>
    <cfRule type="expression" dxfId="2" priority="81">
      <formula>AND($X5="OK",$Y5&lt;&gt;"")</formula>
    </cfRule>
  </conditionalFormatting>
  <dataValidations disablePrompts="1" count="1">
    <dataValidation type="list" allowBlank="1" showInputMessage="1" showErrorMessage="1" sqref="W5:W79" xr:uid="{00000000-0002-0000-0500-000000000000}">
      <formula1>"SI,NO"</formula1>
    </dataValidation>
  </dataValidations>
  <pageMargins left="0.19685039370078741" right="0.19685039370078741" top="0.19685039370078741" bottom="0.19685039370078741" header="0.31496062992125984" footer="0.31496062992125984"/>
  <pageSetup paperSize="8" scale="34" orientation="landscape" r:id="rId1"/>
  <extLst>
    <ext xmlns:x14="http://schemas.microsoft.com/office/spreadsheetml/2009/9/main" uri="{78C0D931-6437-407d-A8EE-F0AAD7539E65}">
      <x14:conditionalFormattings>
        <x14:conditionalFormatting xmlns:xm="http://schemas.microsoft.com/office/excel/2006/main">
          <x14:cfRule type="expression" priority="2" stopIfTrue="1" id="{00000000-000E-0000-0500-000001000000}">
            <xm:f>OR(USUARIO!$C$2="",AUXILIAR!$AJ$6&lt;&gt;USUARIO!$C$2)</xm:f>
            <x14:dxf>
              <font>
                <color theme="0"/>
              </font>
              <fill>
                <patternFill patternType="none">
                  <bgColor auto="1"/>
                </patternFill>
              </fill>
              <border>
                <left/>
                <right/>
                <top/>
                <bottom/>
                <vertical/>
                <horizontal/>
              </border>
            </x14:dxf>
          </x14:cfRule>
          <xm:sqref>A2:XFD81</xm:sqref>
        </x14:conditionalFormatting>
        <x14:conditionalFormatting xmlns:xm="http://schemas.microsoft.com/office/excel/2006/main">
          <x14:cfRule type="cellIs" priority="208" stopIfTrue="1" operator="greaterThan" id="{77AA16E3-9FD9-4E4C-ADF9-9475EB1C7490}">
            <xm:f>EXPEDIENTE!$I$27</xm:f>
            <x14:dxf>
              <font>
                <b/>
                <i val="0"/>
              </font>
              <fill>
                <patternFill>
                  <bgColor rgb="FFFF6600"/>
                </patternFill>
              </fill>
            </x14:dxf>
          </x14:cfRule>
          <xm:sqref>Q5</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E87"/>
  <sheetViews>
    <sheetView showGridLines="0" workbookViewId="0"/>
  </sheetViews>
  <sheetFormatPr baseColWidth="10" defaultColWidth="11.42578125" defaultRowHeight="15" x14ac:dyDescent="0.2"/>
  <cols>
    <col min="1" max="1" width="1.7109375" style="120" customWidth="1"/>
    <col min="2" max="2" width="5.7109375" style="120" customWidth="1"/>
    <col min="3" max="3" width="15.7109375" style="120" customWidth="1"/>
    <col min="4" max="4" width="30.7109375" style="120" customWidth="1"/>
    <col min="5" max="5" width="45.85546875" style="120" customWidth="1"/>
    <col min="6" max="6" width="11.42578125" style="120"/>
    <col min="7" max="7" width="11.42578125" style="120" customWidth="1"/>
    <col min="8" max="16384" width="11.42578125" style="120"/>
  </cols>
  <sheetData>
    <row r="1" spans="2:5" ht="15.75" thickBot="1" x14ac:dyDescent="0.25"/>
    <row r="2" spans="2:5" ht="15" customHeight="1" thickBot="1" x14ac:dyDescent="0.25">
      <c r="C2" s="444" t="s">
        <v>157</v>
      </c>
      <c r="D2" s="445"/>
    </row>
    <row r="3" spans="2:5" ht="26.25" customHeight="1" x14ac:dyDescent="0.2">
      <c r="C3" s="279" t="s">
        <v>158</v>
      </c>
      <c r="D3" s="280">
        <f>'RELACIÓN DE FACTURAS'!X84</f>
        <v>0</v>
      </c>
    </row>
    <row r="4" spans="2:5" ht="26.25" customHeight="1" x14ac:dyDescent="0.2">
      <c r="C4" s="281" t="s">
        <v>159</v>
      </c>
      <c r="D4" s="282">
        <f>PAGOS!V81</f>
        <v>0</v>
      </c>
    </row>
    <row r="5" spans="2:5" ht="15.75" thickBot="1" x14ac:dyDescent="0.25"/>
    <row r="6" spans="2:5" ht="15" customHeight="1" thickBot="1" x14ac:dyDescent="0.25">
      <c r="C6" s="444" t="s">
        <v>85</v>
      </c>
      <c r="D6" s="445"/>
    </row>
    <row r="7" spans="2:5" ht="26.25" customHeight="1" x14ac:dyDescent="0.2">
      <c r="C7" s="283" t="s">
        <v>86</v>
      </c>
      <c r="D7" s="284" t="str">
        <f>IF(MIN(PAGOS!$N$5:$N$79)=0,"",MIN(PAGOS!$N$5:$N$79))</f>
        <v/>
      </c>
    </row>
    <row r="8" spans="2:5" ht="26.25" customHeight="1" x14ac:dyDescent="0.2">
      <c r="C8" s="285" t="s">
        <v>87</v>
      </c>
      <c r="D8" s="245" t="str">
        <f>IF(MAX(PAGOS!$N$5:$N$79)=0,"",MAX(PAGOS!$N$5:$N$79))</f>
        <v/>
      </c>
    </row>
    <row r="9" spans="2:5" ht="30" customHeight="1" x14ac:dyDescent="0.2">
      <c r="C9" s="286" t="s">
        <v>88</v>
      </c>
      <c r="D9" s="245" t="str">
        <f>IF(_xlfn.MINIFS(PAGOS!N5:N79,PAGOS!O5:O79,0)=0,"",_xlfn.MINIFS(PAGOS!N5:N79,PAGOS!O5:O79,0))</f>
        <v/>
      </c>
    </row>
    <row r="10" spans="2:5" ht="30" customHeight="1" x14ac:dyDescent="0.2">
      <c r="C10" s="286" t="s">
        <v>89</v>
      </c>
      <c r="D10" s="245" t="str">
        <f>IF(_xlfn.MAXIFS(PAGOS!N5:N79,PAGOS!O5:O79,0)=0,"",_xlfn.MAXIFS(PAGOS!N5:N79,PAGOS!O5:O79,0))</f>
        <v/>
      </c>
    </row>
    <row r="11" spans="2:5" ht="15.75" thickBot="1" x14ac:dyDescent="0.25"/>
    <row r="12" spans="2:5" s="143" customFormat="1" ht="20.100000000000001" customHeight="1" thickBot="1" x14ac:dyDescent="0.25">
      <c r="C12" s="287" t="s">
        <v>47</v>
      </c>
      <c r="D12" s="288" t="s">
        <v>1</v>
      </c>
      <c r="E12" s="289" t="s">
        <v>7</v>
      </c>
    </row>
    <row r="13" spans="2:5" ht="24.95" customHeight="1" x14ac:dyDescent="0.2">
      <c r="B13" s="120">
        <v>1</v>
      </c>
      <c r="C13" s="290" t="str">
        <f>IFERROR(VLOOKUP($B13,PAGOS!$B$5:$Y$79,4,0),"")</f>
        <v/>
      </c>
      <c r="D13" s="291" t="str">
        <f>IFERROR(VLOOKUP($B13,PAGOS!$B$5:$Y$79,5,0),"")</f>
        <v/>
      </c>
      <c r="E13" s="291" t="str">
        <f>IFERROR(VLOOKUP($B13,PAGOS!$B$5:$Y$79,24,0),"")</f>
        <v/>
      </c>
    </row>
    <row r="14" spans="2:5" ht="24.95" customHeight="1" x14ac:dyDescent="0.2">
      <c r="B14" s="120">
        <v>2</v>
      </c>
      <c r="C14" s="292" t="str">
        <f>IFERROR(VLOOKUP($B14,PAGOS!$B$5:$Y$79,4,0),"")</f>
        <v/>
      </c>
      <c r="D14" s="293" t="str">
        <f>IFERROR(VLOOKUP($B14,PAGOS!$B$5:$Y$79,5,0),"")</f>
        <v/>
      </c>
      <c r="E14" s="293" t="str">
        <f>IFERROR(VLOOKUP($B14,PAGOS!$B$5:$Y$79,24,0),"")</f>
        <v/>
      </c>
    </row>
    <row r="15" spans="2:5" ht="24.95" customHeight="1" x14ac:dyDescent="0.2">
      <c r="B15" s="120">
        <v>3</v>
      </c>
      <c r="C15" s="292" t="str">
        <f>IFERROR(VLOOKUP($B15,PAGOS!$B$5:$Y$79,4,0),"")</f>
        <v/>
      </c>
      <c r="D15" s="293" t="str">
        <f>IFERROR(VLOOKUP($B15,PAGOS!$B$5:$Y$79,5,0),"")</f>
        <v/>
      </c>
      <c r="E15" s="293" t="str">
        <f>IFERROR(VLOOKUP($B15,PAGOS!$B$5:$Y$79,24,0),"")</f>
        <v/>
      </c>
    </row>
    <row r="16" spans="2:5" ht="24.95" customHeight="1" x14ac:dyDescent="0.2">
      <c r="B16" s="120">
        <v>4</v>
      </c>
      <c r="C16" s="292" t="str">
        <f>IFERROR(VLOOKUP($B16,PAGOS!$B$5:$Y$79,4,0),"")</f>
        <v/>
      </c>
      <c r="D16" s="293" t="str">
        <f>IFERROR(VLOOKUP($B16,PAGOS!$B$5:$Y$79,5,0),"")</f>
        <v/>
      </c>
      <c r="E16" s="293" t="str">
        <f>IFERROR(VLOOKUP($B16,PAGOS!$B$5:$Y$79,24,0),"")</f>
        <v/>
      </c>
    </row>
    <row r="17" spans="2:5" ht="24.95" customHeight="1" x14ac:dyDescent="0.2">
      <c r="B17" s="120">
        <v>5</v>
      </c>
      <c r="C17" s="292" t="str">
        <f>IFERROR(VLOOKUP($B17,PAGOS!$B$5:$Y$79,4,0),"")</f>
        <v/>
      </c>
      <c r="D17" s="293" t="str">
        <f>IFERROR(VLOOKUP($B17,PAGOS!$B$5:$Y$79,5,0),"")</f>
        <v/>
      </c>
      <c r="E17" s="293" t="str">
        <f>IFERROR(VLOOKUP($B17,PAGOS!$B$5:$Y$79,24,0),"")</f>
        <v/>
      </c>
    </row>
    <row r="18" spans="2:5" ht="24.95" customHeight="1" x14ac:dyDescent="0.2">
      <c r="B18" s="120">
        <v>6</v>
      </c>
      <c r="C18" s="292" t="str">
        <f>IFERROR(VLOOKUP($B18,PAGOS!$B$5:$Y$79,4,0),"")</f>
        <v/>
      </c>
      <c r="D18" s="293" t="str">
        <f>IFERROR(VLOOKUP($B18,PAGOS!$B$5:$Y$79,5,0),"")</f>
        <v/>
      </c>
      <c r="E18" s="293" t="str">
        <f>IFERROR(VLOOKUP($B18,PAGOS!$B$5:$Y$79,24,0),"")</f>
        <v/>
      </c>
    </row>
    <row r="19" spans="2:5" ht="24.95" customHeight="1" x14ac:dyDescent="0.2">
      <c r="B19" s="120">
        <v>7</v>
      </c>
      <c r="C19" s="292" t="str">
        <f>IFERROR(VLOOKUP($B19,PAGOS!$B$5:$Y$79,4,0),"")</f>
        <v/>
      </c>
      <c r="D19" s="293" t="str">
        <f>IFERROR(VLOOKUP($B19,PAGOS!$B$5:$Y$79,5,0),"")</f>
        <v/>
      </c>
      <c r="E19" s="293" t="str">
        <f>IFERROR(VLOOKUP($B19,PAGOS!$B$5:$Y$79,24,0),"")</f>
        <v/>
      </c>
    </row>
    <row r="20" spans="2:5" ht="24.95" customHeight="1" x14ac:dyDescent="0.2">
      <c r="B20" s="120">
        <v>8</v>
      </c>
      <c r="C20" s="292" t="str">
        <f>IFERROR(VLOOKUP($B20,PAGOS!$B$5:$Y$79,4,0),"")</f>
        <v/>
      </c>
      <c r="D20" s="293" t="str">
        <f>IFERROR(VLOOKUP($B20,PAGOS!$B$5:$Y$79,5,0),"")</f>
        <v/>
      </c>
      <c r="E20" s="293" t="str">
        <f>IFERROR(VLOOKUP($B20,PAGOS!$B$5:$Y$79,24,0),"")</f>
        <v/>
      </c>
    </row>
    <row r="21" spans="2:5" ht="24.95" customHeight="1" x14ac:dyDescent="0.2">
      <c r="B21" s="120">
        <v>9</v>
      </c>
      <c r="C21" s="292" t="str">
        <f>IFERROR(VLOOKUP($B21,PAGOS!$B$5:$Y$79,4,0),"")</f>
        <v/>
      </c>
      <c r="D21" s="293" t="str">
        <f>IFERROR(VLOOKUP($B21,PAGOS!$B$5:$Y$79,5,0),"")</f>
        <v/>
      </c>
      <c r="E21" s="293" t="str">
        <f>IFERROR(VLOOKUP($B21,PAGOS!$B$5:$Y$79,24,0),"")</f>
        <v/>
      </c>
    </row>
    <row r="22" spans="2:5" ht="24.95" customHeight="1" x14ac:dyDescent="0.2">
      <c r="B22" s="120">
        <v>10</v>
      </c>
      <c r="C22" s="292" t="str">
        <f>IFERROR(VLOOKUP($B22,PAGOS!$B$5:$Y$79,4,0),"")</f>
        <v/>
      </c>
      <c r="D22" s="293" t="str">
        <f>IFERROR(VLOOKUP($B22,PAGOS!$B$5:$Y$79,5,0),"")</f>
        <v/>
      </c>
      <c r="E22" s="293" t="str">
        <f>IFERROR(VLOOKUP($B22,PAGOS!$B$5:$Y$79,24,0),"")</f>
        <v/>
      </c>
    </row>
    <row r="23" spans="2:5" ht="24.95" customHeight="1" x14ac:dyDescent="0.2">
      <c r="B23" s="120">
        <v>11</v>
      </c>
      <c r="C23" s="292" t="str">
        <f>IFERROR(VLOOKUP($B23,PAGOS!$B$5:$Y$79,4,0),"")</f>
        <v/>
      </c>
      <c r="D23" s="293" t="str">
        <f>IFERROR(VLOOKUP($B23,PAGOS!$B$5:$Y$79,5,0),"")</f>
        <v/>
      </c>
      <c r="E23" s="293" t="str">
        <f>IFERROR(VLOOKUP($B23,PAGOS!$B$5:$Y$79,24,0),"")</f>
        <v/>
      </c>
    </row>
    <row r="24" spans="2:5" ht="24.95" customHeight="1" x14ac:dyDescent="0.2">
      <c r="B24" s="120">
        <v>12</v>
      </c>
      <c r="C24" s="292" t="str">
        <f>IFERROR(VLOOKUP($B24,PAGOS!$B$5:$Y$79,4,0),"")</f>
        <v/>
      </c>
      <c r="D24" s="293" t="str">
        <f>IFERROR(VLOOKUP($B24,PAGOS!$B$5:$Y$79,5,0),"")</f>
        <v/>
      </c>
      <c r="E24" s="293" t="str">
        <f>IFERROR(VLOOKUP($B24,PAGOS!$B$5:$Y$79,24,0),"")</f>
        <v/>
      </c>
    </row>
    <row r="25" spans="2:5" ht="24.95" customHeight="1" x14ac:dyDescent="0.2">
      <c r="B25" s="120">
        <v>13</v>
      </c>
      <c r="C25" s="292" t="str">
        <f>IFERROR(VLOOKUP($B25,PAGOS!$B$5:$Y$79,4,0),"")</f>
        <v/>
      </c>
      <c r="D25" s="293" t="str">
        <f>IFERROR(VLOOKUP($B25,PAGOS!$B$5:$Y$79,5,0),"")</f>
        <v/>
      </c>
      <c r="E25" s="293" t="str">
        <f>IFERROR(VLOOKUP($B25,PAGOS!$B$5:$Y$79,24,0),"")</f>
        <v/>
      </c>
    </row>
    <row r="26" spans="2:5" ht="24.95" customHeight="1" x14ac:dyDescent="0.2">
      <c r="B26" s="120">
        <v>14</v>
      </c>
      <c r="C26" s="292" t="str">
        <f>IFERROR(VLOOKUP($B26,PAGOS!$B$5:$Y$79,4,0),"")</f>
        <v/>
      </c>
      <c r="D26" s="293" t="str">
        <f>IFERROR(VLOOKUP($B26,PAGOS!$B$5:$Y$79,5,0),"")</f>
        <v/>
      </c>
      <c r="E26" s="293" t="str">
        <f>IFERROR(VLOOKUP($B26,PAGOS!$B$5:$Y$79,24,0),"")</f>
        <v/>
      </c>
    </row>
    <row r="27" spans="2:5" ht="24.95" customHeight="1" x14ac:dyDescent="0.2">
      <c r="B27" s="120">
        <v>15</v>
      </c>
      <c r="C27" s="292" t="str">
        <f>IFERROR(VLOOKUP($B27,PAGOS!$B$5:$Y$79,4,0),"")</f>
        <v/>
      </c>
      <c r="D27" s="293" t="str">
        <f>IFERROR(VLOOKUP($B27,PAGOS!$B$5:$Y$79,5,0),"")</f>
        <v/>
      </c>
      <c r="E27" s="293" t="str">
        <f>IFERROR(VLOOKUP($B27,PAGOS!$B$5:$Y$79,24,0),"")</f>
        <v/>
      </c>
    </row>
    <row r="28" spans="2:5" ht="24.95" customHeight="1" x14ac:dyDescent="0.2">
      <c r="B28" s="120">
        <v>16</v>
      </c>
      <c r="C28" s="292" t="str">
        <f>IFERROR(VLOOKUP($B28,PAGOS!$B$5:$Y$79,4,0),"")</f>
        <v/>
      </c>
      <c r="D28" s="293" t="str">
        <f>IFERROR(VLOOKUP($B28,PAGOS!$B$5:$Y$79,5,0),"")</f>
        <v/>
      </c>
      <c r="E28" s="293" t="str">
        <f>IFERROR(VLOOKUP($B28,PAGOS!$B$5:$Y$79,24,0),"")</f>
        <v/>
      </c>
    </row>
    <row r="29" spans="2:5" ht="24.95" customHeight="1" x14ac:dyDescent="0.2">
      <c r="B29" s="120">
        <v>17</v>
      </c>
      <c r="C29" s="292" t="str">
        <f>IFERROR(VLOOKUP($B29,PAGOS!$B$5:$Y$79,4,0),"")</f>
        <v/>
      </c>
      <c r="D29" s="293" t="str">
        <f>IFERROR(VLOOKUP($B29,PAGOS!$B$5:$Y$79,5,0),"")</f>
        <v/>
      </c>
      <c r="E29" s="293" t="str">
        <f>IFERROR(VLOOKUP($B29,PAGOS!$B$5:$Y$79,24,0),"")</f>
        <v/>
      </c>
    </row>
    <row r="30" spans="2:5" ht="24.95" customHeight="1" x14ac:dyDescent="0.2">
      <c r="B30" s="120">
        <v>18</v>
      </c>
      <c r="C30" s="292" t="str">
        <f>IFERROR(VLOOKUP($B30,PAGOS!$B$5:$Y$79,4,0),"")</f>
        <v/>
      </c>
      <c r="D30" s="293" t="str">
        <f>IFERROR(VLOOKUP($B30,PAGOS!$B$5:$Y$79,5,0),"")</f>
        <v/>
      </c>
      <c r="E30" s="293" t="str">
        <f>IFERROR(VLOOKUP($B30,PAGOS!$B$5:$Y$79,24,0),"")</f>
        <v/>
      </c>
    </row>
    <row r="31" spans="2:5" ht="24.95" customHeight="1" x14ac:dyDescent="0.2">
      <c r="B31" s="120">
        <v>19</v>
      </c>
      <c r="C31" s="292" t="str">
        <f>IFERROR(VLOOKUP($B31,PAGOS!$B$5:$Y$79,4,0),"")</f>
        <v/>
      </c>
      <c r="D31" s="293" t="str">
        <f>IFERROR(VLOOKUP($B31,PAGOS!$B$5:$Y$79,5,0),"")</f>
        <v/>
      </c>
      <c r="E31" s="293" t="str">
        <f>IFERROR(VLOOKUP($B31,PAGOS!$B$5:$Y$79,24,0),"")</f>
        <v/>
      </c>
    </row>
    <row r="32" spans="2:5" ht="24.95" customHeight="1" x14ac:dyDescent="0.2">
      <c r="B32" s="120">
        <v>20</v>
      </c>
      <c r="C32" s="292" t="str">
        <f>IFERROR(VLOOKUP($B32,PAGOS!$B$5:$Y$79,4,0),"")</f>
        <v/>
      </c>
      <c r="D32" s="293" t="str">
        <f>IFERROR(VLOOKUP($B32,PAGOS!$B$5:$Y$79,5,0),"")</f>
        <v/>
      </c>
      <c r="E32" s="293" t="str">
        <f>IFERROR(VLOOKUP($B32,PAGOS!$B$5:$Y$79,24,0),"")</f>
        <v/>
      </c>
    </row>
    <row r="33" spans="2:5" ht="24.95" customHeight="1" x14ac:dyDescent="0.2">
      <c r="B33" s="120">
        <v>21</v>
      </c>
      <c r="C33" s="292" t="str">
        <f>IFERROR(VLOOKUP($B33,PAGOS!$B$5:$Y$79,4,0),"")</f>
        <v/>
      </c>
      <c r="D33" s="293" t="str">
        <f>IFERROR(VLOOKUP($B33,PAGOS!$B$5:$Y$79,5,0),"")</f>
        <v/>
      </c>
      <c r="E33" s="293" t="str">
        <f>IFERROR(VLOOKUP($B33,PAGOS!$B$5:$Y$79,24,0),"")</f>
        <v/>
      </c>
    </row>
    <row r="34" spans="2:5" ht="24.95" customHeight="1" x14ac:dyDescent="0.2">
      <c r="B34" s="120">
        <v>22</v>
      </c>
      <c r="C34" s="292" t="str">
        <f>IFERROR(VLOOKUP($B34,PAGOS!$B$5:$Y$79,4,0),"")</f>
        <v/>
      </c>
      <c r="D34" s="293" t="str">
        <f>IFERROR(VLOOKUP($B34,PAGOS!$B$5:$Y$79,5,0),"")</f>
        <v/>
      </c>
      <c r="E34" s="293" t="str">
        <f>IFERROR(VLOOKUP($B34,PAGOS!$B$5:$Y$79,24,0),"")</f>
        <v/>
      </c>
    </row>
    <row r="35" spans="2:5" ht="24.95" customHeight="1" x14ac:dyDescent="0.2">
      <c r="B35" s="120">
        <v>23</v>
      </c>
      <c r="C35" s="292" t="str">
        <f>IFERROR(VLOOKUP($B35,PAGOS!$B$5:$Y$79,4,0),"")</f>
        <v/>
      </c>
      <c r="D35" s="293" t="str">
        <f>IFERROR(VLOOKUP($B35,PAGOS!$B$5:$Y$79,5,0),"")</f>
        <v/>
      </c>
      <c r="E35" s="293" t="str">
        <f>IFERROR(VLOOKUP($B35,PAGOS!$B$5:$Y$79,24,0),"")</f>
        <v/>
      </c>
    </row>
    <row r="36" spans="2:5" ht="24.95" customHeight="1" x14ac:dyDescent="0.2">
      <c r="B36" s="120">
        <v>24</v>
      </c>
      <c r="C36" s="292" t="str">
        <f>IFERROR(VLOOKUP($B36,PAGOS!$B$5:$Y$79,4,0),"")</f>
        <v/>
      </c>
      <c r="D36" s="293" t="str">
        <f>IFERROR(VLOOKUP($B36,PAGOS!$B$5:$Y$79,5,0),"")</f>
        <v/>
      </c>
      <c r="E36" s="293" t="str">
        <f>IFERROR(VLOOKUP($B36,PAGOS!$B$5:$Y$79,24,0),"")</f>
        <v/>
      </c>
    </row>
    <row r="37" spans="2:5" ht="24.95" customHeight="1" x14ac:dyDescent="0.2">
      <c r="B37" s="120">
        <v>25</v>
      </c>
      <c r="C37" s="292" t="str">
        <f>IFERROR(VLOOKUP($B37,PAGOS!$B$5:$Y$79,4,0),"")</f>
        <v/>
      </c>
      <c r="D37" s="293" t="str">
        <f>IFERROR(VLOOKUP($B37,PAGOS!$B$5:$Y$79,5,0),"")</f>
        <v/>
      </c>
      <c r="E37" s="293" t="str">
        <f>IFERROR(VLOOKUP($B37,PAGOS!$B$5:$Y$79,24,0),"")</f>
        <v/>
      </c>
    </row>
    <row r="38" spans="2:5" ht="24.95" customHeight="1" x14ac:dyDescent="0.2">
      <c r="B38" s="120">
        <v>26</v>
      </c>
      <c r="C38" s="292" t="str">
        <f>IFERROR(VLOOKUP($B38,PAGOS!$B$5:$Y$79,4,0),"")</f>
        <v/>
      </c>
      <c r="D38" s="293" t="str">
        <f>IFERROR(VLOOKUP($B38,PAGOS!$B$5:$Y$79,5,0),"")</f>
        <v/>
      </c>
      <c r="E38" s="293" t="str">
        <f>IFERROR(VLOOKUP($B38,PAGOS!$B$5:$Y$79,24,0),"")</f>
        <v/>
      </c>
    </row>
    <row r="39" spans="2:5" ht="24.95" customHeight="1" x14ac:dyDescent="0.2">
      <c r="B39" s="120">
        <v>27</v>
      </c>
      <c r="C39" s="292" t="str">
        <f>IFERROR(VLOOKUP($B39,PAGOS!$B$5:$Y$79,4,0),"")</f>
        <v/>
      </c>
      <c r="D39" s="293" t="str">
        <f>IFERROR(VLOOKUP($B39,PAGOS!$B$5:$Y$79,5,0),"")</f>
        <v/>
      </c>
      <c r="E39" s="293" t="str">
        <f>IFERROR(VLOOKUP($B39,PAGOS!$B$5:$Y$79,24,0),"")</f>
        <v/>
      </c>
    </row>
    <row r="40" spans="2:5" ht="24.95" customHeight="1" x14ac:dyDescent="0.2">
      <c r="B40" s="120">
        <v>28</v>
      </c>
      <c r="C40" s="292" t="str">
        <f>IFERROR(VLOOKUP($B40,PAGOS!$B$5:$Y$79,4,0),"")</f>
        <v/>
      </c>
      <c r="D40" s="293" t="str">
        <f>IFERROR(VLOOKUP($B40,PAGOS!$B$5:$Y$79,5,0),"")</f>
        <v/>
      </c>
      <c r="E40" s="293" t="str">
        <f>IFERROR(VLOOKUP($B40,PAGOS!$B$5:$Y$79,24,0),"")</f>
        <v/>
      </c>
    </row>
    <row r="41" spans="2:5" ht="24.95" customHeight="1" x14ac:dyDescent="0.2">
      <c r="B41" s="120">
        <v>29</v>
      </c>
      <c r="C41" s="292" t="str">
        <f>IFERROR(VLOOKUP($B41,PAGOS!$B$5:$Y$79,4,0),"")</f>
        <v/>
      </c>
      <c r="D41" s="293" t="str">
        <f>IFERROR(VLOOKUP($B41,PAGOS!$B$5:$Y$79,5,0),"")</f>
        <v/>
      </c>
      <c r="E41" s="293" t="str">
        <f>IFERROR(VLOOKUP($B41,PAGOS!$B$5:$Y$79,24,0),"")</f>
        <v/>
      </c>
    </row>
    <row r="42" spans="2:5" ht="24.95" customHeight="1" x14ac:dyDescent="0.2">
      <c r="B42" s="120">
        <v>30</v>
      </c>
      <c r="C42" s="292" t="str">
        <f>IFERROR(VLOOKUP($B42,PAGOS!$B$5:$Y$79,4,0),"")</f>
        <v/>
      </c>
      <c r="D42" s="293" t="str">
        <f>IFERROR(VLOOKUP($B42,PAGOS!$B$5:$Y$79,5,0),"")</f>
        <v/>
      </c>
      <c r="E42" s="293" t="str">
        <f>IFERROR(VLOOKUP($B42,PAGOS!$B$5:$Y$79,24,0),"")</f>
        <v/>
      </c>
    </row>
    <row r="43" spans="2:5" ht="24.95" customHeight="1" x14ac:dyDescent="0.2">
      <c r="B43" s="120">
        <v>31</v>
      </c>
      <c r="C43" s="292" t="str">
        <f>IFERROR(VLOOKUP($B43,PAGOS!$B$5:$Y$79,4,0),"")</f>
        <v/>
      </c>
      <c r="D43" s="293" t="str">
        <f>IFERROR(VLOOKUP($B43,PAGOS!$B$5:$Y$79,5,0),"")</f>
        <v/>
      </c>
      <c r="E43" s="293" t="str">
        <f>IFERROR(VLOOKUP($B43,PAGOS!$B$5:$Y$79,24,0),"")</f>
        <v/>
      </c>
    </row>
    <row r="44" spans="2:5" ht="24.95" customHeight="1" x14ac:dyDescent="0.2">
      <c r="B44" s="120">
        <v>32</v>
      </c>
      <c r="C44" s="292" t="str">
        <f>IFERROR(VLOOKUP($B44,PAGOS!$B$5:$Y$79,4,0),"")</f>
        <v/>
      </c>
      <c r="D44" s="293" t="str">
        <f>IFERROR(VLOOKUP($B44,PAGOS!$B$5:$Y$79,5,0),"")</f>
        <v/>
      </c>
      <c r="E44" s="293" t="str">
        <f>IFERROR(VLOOKUP($B44,PAGOS!$B$5:$Y$79,24,0),"")</f>
        <v/>
      </c>
    </row>
    <row r="45" spans="2:5" ht="24.95" customHeight="1" x14ac:dyDescent="0.2">
      <c r="B45" s="120">
        <v>33</v>
      </c>
      <c r="C45" s="292" t="str">
        <f>IFERROR(VLOOKUP($B45,PAGOS!$B$5:$Y$79,4,0),"")</f>
        <v/>
      </c>
      <c r="D45" s="293" t="str">
        <f>IFERROR(VLOOKUP($B45,PAGOS!$B$5:$Y$79,5,0),"")</f>
        <v/>
      </c>
      <c r="E45" s="293" t="str">
        <f>IFERROR(VLOOKUP($B45,PAGOS!$B$5:$Y$79,24,0),"")</f>
        <v/>
      </c>
    </row>
    <row r="46" spans="2:5" ht="24.95" customHeight="1" x14ac:dyDescent="0.2">
      <c r="B46" s="120">
        <v>34</v>
      </c>
      <c r="C46" s="292" t="str">
        <f>IFERROR(VLOOKUP($B46,PAGOS!$B$5:$Y$79,4,0),"")</f>
        <v/>
      </c>
      <c r="D46" s="293" t="str">
        <f>IFERROR(VLOOKUP($B46,PAGOS!$B$5:$Y$79,5,0),"")</f>
        <v/>
      </c>
      <c r="E46" s="293" t="str">
        <f>IFERROR(VLOOKUP($B46,PAGOS!$B$5:$Y$79,24,0),"")</f>
        <v/>
      </c>
    </row>
    <row r="47" spans="2:5" ht="24.95" customHeight="1" x14ac:dyDescent="0.2">
      <c r="B47" s="120">
        <v>35</v>
      </c>
      <c r="C47" s="292" t="str">
        <f>IFERROR(VLOOKUP($B47,PAGOS!$B$5:$Y$79,4,0),"")</f>
        <v/>
      </c>
      <c r="D47" s="293" t="str">
        <f>IFERROR(VLOOKUP($B47,PAGOS!$B$5:$Y$79,5,0),"")</f>
        <v/>
      </c>
      <c r="E47" s="293" t="str">
        <f>IFERROR(VLOOKUP($B47,PAGOS!$B$5:$Y$79,24,0),"")</f>
        <v/>
      </c>
    </row>
    <row r="48" spans="2:5" ht="24.95" customHeight="1" x14ac:dyDescent="0.2">
      <c r="B48" s="120">
        <v>36</v>
      </c>
      <c r="C48" s="292" t="str">
        <f>IFERROR(VLOOKUP($B48,PAGOS!$B$5:$Y$79,4,0),"")</f>
        <v/>
      </c>
      <c r="D48" s="293" t="str">
        <f>IFERROR(VLOOKUP($B48,PAGOS!$B$5:$Y$79,5,0),"")</f>
        <v/>
      </c>
      <c r="E48" s="293" t="str">
        <f>IFERROR(VLOOKUP($B48,PAGOS!$B$5:$Y$79,24,0),"")</f>
        <v/>
      </c>
    </row>
    <row r="49" spans="2:5" ht="24.95" customHeight="1" x14ac:dyDescent="0.2">
      <c r="B49" s="120">
        <v>37</v>
      </c>
      <c r="C49" s="292" t="str">
        <f>IFERROR(VLOOKUP($B49,PAGOS!$B$5:$Y$79,4,0),"")</f>
        <v/>
      </c>
      <c r="D49" s="293" t="str">
        <f>IFERROR(VLOOKUP($B49,PAGOS!$B$5:$Y$79,5,0),"")</f>
        <v/>
      </c>
      <c r="E49" s="293" t="str">
        <f>IFERROR(VLOOKUP($B49,PAGOS!$B$5:$Y$79,24,0),"")</f>
        <v/>
      </c>
    </row>
    <row r="50" spans="2:5" ht="24.95" customHeight="1" x14ac:dyDescent="0.2">
      <c r="B50" s="120">
        <v>38</v>
      </c>
      <c r="C50" s="292" t="str">
        <f>IFERROR(VLOOKUP($B50,PAGOS!$B$5:$Y$79,4,0),"")</f>
        <v/>
      </c>
      <c r="D50" s="293" t="str">
        <f>IFERROR(VLOOKUP($B50,PAGOS!$B$5:$Y$79,5,0),"")</f>
        <v/>
      </c>
      <c r="E50" s="293" t="str">
        <f>IFERROR(VLOOKUP($B50,PAGOS!$B$5:$Y$79,24,0),"")</f>
        <v/>
      </c>
    </row>
    <row r="51" spans="2:5" ht="24.95" customHeight="1" x14ac:dyDescent="0.2">
      <c r="B51" s="120">
        <v>39</v>
      </c>
      <c r="C51" s="292" t="str">
        <f>IFERROR(VLOOKUP($B51,PAGOS!$B$5:$Y$79,4,0),"")</f>
        <v/>
      </c>
      <c r="D51" s="293" t="str">
        <f>IFERROR(VLOOKUP($B51,PAGOS!$B$5:$Y$79,5,0),"")</f>
        <v/>
      </c>
      <c r="E51" s="293" t="str">
        <f>IFERROR(VLOOKUP($B51,PAGOS!$B$5:$Y$79,24,0),"")</f>
        <v/>
      </c>
    </row>
    <row r="52" spans="2:5" ht="24.95" customHeight="1" x14ac:dyDescent="0.2">
      <c r="B52" s="120">
        <v>40</v>
      </c>
      <c r="C52" s="292" t="str">
        <f>IFERROR(VLOOKUP($B52,PAGOS!$B$5:$Y$79,4,0),"")</f>
        <v/>
      </c>
      <c r="D52" s="293" t="str">
        <f>IFERROR(VLOOKUP($B52,PAGOS!$B$5:$Y$79,5,0),"")</f>
        <v/>
      </c>
      <c r="E52" s="293" t="str">
        <f>IFERROR(VLOOKUP($B52,PAGOS!$B$5:$Y$79,24,0),"")</f>
        <v/>
      </c>
    </row>
    <row r="53" spans="2:5" ht="24.95" customHeight="1" x14ac:dyDescent="0.2">
      <c r="B53" s="120">
        <v>41</v>
      </c>
      <c r="C53" s="292" t="str">
        <f>IFERROR(VLOOKUP($B53,PAGOS!$B$5:$Y$79,4,0),"")</f>
        <v/>
      </c>
      <c r="D53" s="293" t="str">
        <f>IFERROR(VLOOKUP($B53,PAGOS!$B$5:$Y$79,5,0),"")</f>
        <v/>
      </c>
      <c r="E53" s="293" t="str">
        <f>IFERROR(VLOOKUP($B53,PAGOS!$B$5:$Y$79,24,0),"")</f>
        <v/>
      </c>
    </row>
    <row r="54" spans="2:5" ht="24.95" customHeight="1" x14ac:dyDescent="0.2">
      <c r="B54" s="120">
        <v>42</v>
      </c>
      <c r="C54" s="292" t="str">
        <f>IFERROR(VLOOKUP($B54,PAGOS!$B$5:$Y$79,4,0),"")</f>
        <v/>
      </c>
      <c r="D54" s="293" t="str">
        <f>IFERROR(VLOOKUP($B54,PAGOS!$B$5:$Y$79,5,0),"")</f>
        <v/>
      </c>
      <c r="E54" s="293" t="str">
        <f>IFERROR(VLOOKUP($B54,PAGOS!$B$5:$Y$79,24,0),"")</f>
        <v/>
      </c>
    </row>
    <row r="55" spans="2:5" ht="24.95" customHeight="1" x14ac:dyDescent="0.2">
      <c r="B55" s="120">
        <v>43</v>
      </c>
      <c r="C55" s="292" t="str">
        <f>IFERROR(VLOOKUP($B55,PAGOS!$B$5:$Y$79,4,0),"")</f>
        <v/>
      </c>
      <c r="D55" s="293" t="str">
        <f>IFERROR(VLOOKUP($B55,PAGOS!$B$5:$Y$79,5,0),"")</f>
        <v/>
      </c>
      <c r="E55" s="293" t="str">
        <f>IFERROR(VLOOKUP($B55,PAGOS!$B$5:$Y$79,24,0),"")</f>
        <v/>
      </c>
    </row>
    <row r="56" spans="2:5" ht="24.95" customHeight="1" x14ac:dyDescent="0.2">
      <c r="B56" s="120">
        <v>44</v>
      </c>
      <c r="C56" s="292" t="str">
        <f>IFERROR(VLOOKUP($B56,PAGOS!$B$5:$Y$79,4,0),"")</f>
        <v/>
      </c>
      <c r="D56" s="293" t="str">
        <f>IFERROR(VLOOKUP($B56,PAGOS!$B$5:$Y$79,5,0),"")</f>
        <v/>
      </c>
      <c r="E56" s="293" t="str">
        <f>IFERROR(VLOOKUP($B56,PAGOS!$B$5:$Y$79,24,0),"")</f>
        <v/>
      </c>
    </row>
    <row r="57" spans="2:5" ht="24.95" customHeight="1" x14ac:dyDescent="0.2">
      <c r="B57" s="120">
        <v>45</v>
      </c>
      <c r="C57" s="292" t="str">
        <f>IFERROR(VLOOKUP($B57,PAGOS!$B$5:$Y$79,4,0),"")</f>
        <v/>
      </c>
      <c r="D57" s="293" t="str">
        <f>IFERROR(VLOOKUP($B57,PAGOS!$B$5:$Y$79,5,0),"")</f>
        <v/>
      </c>
      <c r="E57" s="293" t="str">
        <f>IFERROR(VLOOKUP($B57,PAGOS!$B$5:$Y$79,24,0),"")</f>
        <v/>
      </c>
    </row>
    <row r="58" spans="2:5" ht="24.95" customHeight="1" x14ac:dyDescent="0.2">
      <c r="B58" s="120">
        <v>46</v>
      </c>
      <c r="C58" s="292" t="str">
        <f>IFERROR(VLOOKUP($B58,PAGOS!$B$5:$Y$79,4,0),"")</f>
        <v/>
      </c>
      <c r="D58" s="293" t="str">
        <f>IFERROR(VLOOKUP($B58,PAGOS!$B$5:$Y$79,5,0),"")</f>
        <v/>
      </c>
      <c r="E58" s="293" t="str">
        <f>IFERROR(VLOOKUP($B58,PAGOS!$B$5:$Y$79,24,0),"")</f>
        <v/>
      </c>
    </row>
    <row r="59" spans="2:5" ht="24.95" customHeight="1" x14ac:dyDescent="0.2">
      <c r="B59" s="120">
        <v>47</v>
      </c>
      <c r="C59" s="292" t="str">
        <f>IFERROR(VLOOKUP($B59,PAGOS!$B$5:$Y$79,4,0),"")</f>
        <v/>
      </c>
      <c r="D59" s="293" t="str">
        <f>IFERROR(VLOOKUP($B59,PAGOS!$B$5:$Y$79,5,0),"")</f>
        <v/>
      </c>
      <c r="E59" s="293" t="str">
        <f>IFERROR(VLOOKUP($B59,PAGOS!$B$5:$Y$79,24,0),"")</f>
        <v/>
      </c>
    </row>
    <row r="60" spans="2:5" ht="24.95" customHeight="1" x14ac:dyDescent="0.2">
      <c r="B60" s="120">
        <v>48</v>
      </c>
      <c r="C60" s="292" t="str">
        <f>IFERROR(VLOOKUP($B60,PAGOS!$B$5:$Y$79,4,0),"")</f>
        <v/>
      </c>
      <c r="D60" s="293" t="str">
        <f>IFERROR(VLOOKUP($B60,PAGOS!$B$5:$Y$79,5,0),"")</f>
        <v/>
      </c>
      <c r="E60" s="293" t="str">
        <f>IFERROR(VLOOKUP($B60,PAGOS!$B$5:$Y$79,24,0),"")</f>
        <v/>
      </c>
    </row>
    <row r="61" spans="2:5" ht="24.95" customHeight="1" x14ac:dyDescent="0.2">
      <c r="B61" s="120">
        <v>49</v>
      </c>
      <c r="C61" s="292" t="str">
        <f>IFERROR(VLOOKUP($B61,PAGOS!$B$5:$Y$79,4,0),"")</f>
        <v/>
      </c>
      <c r="D61" s="293" t="str">
        <f>IFERROR(VLOOKUP($B61,PAGOS!$B$5:$Y$79,5,0),"")</f>
        <v/>
      </c>
      <c r="E61" s="293" t="str">
        <f>IFERROR(VLOOKUP($B61,PAGOS!$B$5:$Y$79,24,0),"")</f>
        <v/>
      </c>
    </row>
    <row r="62" spans="2:5" ht="24.95" customHeight="1" x14ac:dyDescent="0.2">
      <c r="B62" s="120">
        <v>50</v>
      </c>
      <c r="C62" s="292" t="str">
        <f>IFERROR(VLOOKUP($B62,PAGOS!$B$5:$Y$79,4,0),"")</f>
        <v/>
      </c>
      <c r="D62" s="293" t="str">
        <f>IFERROR(VLOOKUP($B62,PAGOS!$B$5:$Y$79,5,0),"")</f>
        <v/>
      </c>
      <c r="E62" s="293" t="str">
        <f>IFERROR(VLOOKUP($B62,PAGOS!$B$5:$Y$79,24,0),"")</f>
        <v/>
      </c>
    </row>
    <row r="63" spans="2:5" ht="24.95" customHeight="1" x14ac:dyDescent="0.2">
      <c r="B63" s="120">
        <v>51</v>
      </c>
      <c r="C63" s="292" t="str">
        <f>IFERROR(VLOOKUP($B63,PAGOS!$B$5:$Y$79,4,0),"")</f>
        <v/>
      </c>
      <c r="D63" s="293" t="str">
        <f>IFERROR(VLOOKUP($B63,PAGOS!$B$5:$Y$79,5,0),"")</f>
        <v/>
      </c>
      <c r="E63" s="293" t="str">
        <f>IFERROR(VLOOKUP($B63,PAGOS!$B$5:$Y$79,24,0),"")</f>
        <v/>
      </c>
    </row>
    <row r="64" spans="2:5" ht="24.95" customHeight="1" x14ac:dyDescent="0.2">
      <c r="B64" s="120">
        <v>52</v>
      </c>
      <c r="C64" s="292" t="str">
        <f>IFERROR(VLOOKUP($B64,PAGOS!$B$5:$Y$79,4,0),"")</f>
        <v/>
      </c>
      <c r="D64" s="293" t="str">
        <f>IFERROR(VLOOKUP($B64,PAGOS!$B$5:$Y$79,5,0),"")</f>
        <v/>
      </c>
      <c r="E64" s="293" t="str">
        <f>IFERROR(VLOOKUP($B64,PAGOS!$B$5:$Y$79,24,0),"")</f>
        <v/>
      </c>
    </row>
    <row r="65" spans="2:5" ht="24.95" customHeight="1" x14ac:dyDescent="0.2">
      <c r="B65" s="120">
        <v>53</v>
      </c>
      <c r="C65" s="292" t="str">
        <f>IFERROR(VLOOKUP($B65,PAGOS!$B$5:$Y$79,4,0),"")</f>
        <v/>
      </c>
      <c r="D65" s="293" t="str">
        <f>IFERROR(VLOOKUP($B65,PAGOS!$B$5:$Y$79,5,0),"")</f>
        <v/>
      </c>
      <c r="E65" s="293" t="str">
        <f>IFERROR(VLOOKUP($B65,PAGOS!$B$5:$Y$79,24,0),"")</f>
        <v/>
      </c>
    </row>
    <row r="66" spans="2:5" ht="24.95" customHeight="1" x14ac:dyDescent="0.2">
      <c r="B66" s="120">
        <v>54</v>
      </c>
      <c r="C66" s="292" t="str">
        <f>IFERROR(VLOOKUP($B66,PAGOS!$B$5:$Y$79,4,0),"")</f>
        <v/>
      </c>
      <c r="D66" s="293" t="str">
        <f>IFERROR(VLOOKUP($B66,PAGOS!$B$5:$Y$79,5,0),"")</f>
        <v/>
      </c>
      <c r="E66" s="293" t="str">
        <f>IFERROR(VLOOKUP($B66,PAGOS!$B$5:$Y$79,24,0),"")</f>
        <v/>
      </c>
    </row>
    <row r="67" spans="2:5" ht="24.95" customHeight="1" x14ac:dyDescent="0.2">
      <c r="B67" s="120">
        <v>55</v>
      </c>
      <c r="C67" s="292" t="str">
        <f>IFERROR(VLOOKUP($B67,PAGOS!$B$5:$Y$79,4,0),"")</f>
        <v/>
      </c>
      <c r="D67" s="293" t="str">
        <f>IFERROR(VLOOKUP($B67,PAGOS!$B$5:$Y$79,5,0),"")</f>
        <v/>
      </c>
      <c r="E67" s="293" t="str">
        <f>IFERROR(VLOOKUP($B67,PAGOS!$B$5:$Y$79,24,0),"")</f>
        <v/>
      </c>
    </row>
    <row r="68" spans="2:5" ht="24.95" customHeight="1" x14ac:dyDescent="0.2">
      <c r="B68" s="120">
        <v>56</v>
      </c>
      <c r="C68" s="292" t="str">
        <f>IFERROR(VLOOKUP($B68,PAGOS!$B$5:$Y$79,4,0),"")</f>
        <v/>
      </c>
      <c r="D68" s="293" t="str">
        <f>IFERROR(VLOOKUP($B68,PAGOS!$B$5:$Y$79,5,0),"")</f>
        <v/>
      </c>
      <c r="E68" s="293" t="str">
        <f>IFERROR(VLOOKUP($B68,PAGOS!$B$5:$Y$79,24,0),"")</f>
        <v/>
      </c>
    </row>
    <row r="69" spans="2:5" ht="24.95" customHeight="1" x14ac:dyDescent="0.2">
      <c r="B69" s="120">
        <v>57</v>
      </c>
      <c r="C69" s="292" t="str">
        <f>IFERROR(VLOOKUP($B69,PAGOS!$B$5:$Y$79,4,0),"")</f>
        <v/>
      </c>
      <c r="D69" s="293" t="str">
        <f>IFERROR(VLOOKUP($B69,PAGOS!$B$5:$Y$79,5,0),"")</f>
        <v/>
      </c>
      <c r="E69" s="293" t="str">
        <f>IFERROR(VLOOKUP($B69,PAGOS!$B$5:$Y$79,24,0),"")</f>
        <v/>
      </c>
    </row>
    <row r="70" spans="2:5" ht="24.95" customHeight="1" x14ac:dyDescent="0.2">
      <c r="B70" s="120">
        <v>58</v>
      </c>
      <c r="C70" s="292" t="str">
        <f>IFERROR(VLOOKUP($B70,PAGOS!$B$5:$Y$79,4,0),"")</f>
        <v/>
      </c>
      <c r="D70" s="293" t="str">
        <f>IFERROR(VLOOKUP($B70,PAGOS!$B$5:$Y$79,5,0),"")</f>
        <v/>
      </c>
      <c r="E70" s="293" t="str">
        <f>IFERROR(VLOOKUP($B70,PAGOS!$B$5:$Y$79,24,0),"")</f>
        <v/>
      </c>
    </row>
    <row r="71" spans="2:5" ht="24.95" customHeight="1" x14ac:dyDescent="0.2">
      <c r="B71" s="120">
        <v>59</v>
      </c>
      <c r="C71" s="292" t="str">
        <f>IFERROR(VLOOKUP($B71,PAGOS!$B$5:$Y$79,4,0),"")</f>
        <v/>
      </c>
      <c r="D71" s="293" t="str">
        <f>IFERROR(VLOOKUP($B71,PAGOS!$B$5:$Y$79,5,0),"")</f>
        <v/>
      </c>
      <c r="E71" s="293" t="str">
        <f>IFERROR(VLOOKUP($B71,PAGOS!$B$5:$Y$79,24,0),"")</f>
        <v/>
      </c>
    </row>
    <row r="72" spans="2:5" ht="24.95" customHeight="1" x14ac:dyDescent="0.2">
      <c r="B72" s="120">
        <v>60</v>
      </c>
      <c r="C72" s="292" t="str">
        <f>IFERROR(VLOOKUP($B72,PAGOS!$B$5:$Y$79,4,0),"")</f>
        <v/>
      </c>
      <c r="D72" s="293" t="str">
        <f>IFERROR(VLOOKUP($B72,PAGOS!$B$5:$Y$79,5,0),"")</f>
        <v/>
      </c>
      <c r="E72" s="293" t="str">
        <f>IFERROR(VLOOKUP($B72,PAGOS!$B$5:$Y$79,24,0),"")</f>
        <v/>
      </c>
    </row>
    <row r="73" spans="2:5" ht="24.95" customHeight="1" x14ac:dyDescent="0.2">
      <c r="B73" s="120">
        <v>61</v>
      </c>
      <c r="C73" s="292" t="str">
        <f>IFERROR(VLOOKUP($B73,PAGOS!$B$5:$Y$79,4,0),"")</f>
        <v/>
      </c>
      <c r="D73" s="293" t="str">
        <f>IFERROR(VLOOKUP($B73,PAGOS!$B$5:$Y$79,5,0),"")</f>
        <v/>
      </c>
      <c r="E73" s="293" t="str">
        <f>IFERROR(VLOOKUP($B73,PAGOS!$B$5:$Y$79,24,0),"")</f>
        <v/>
      </c>
    </row>
    <row r="74" spans="2:5" ht="24.95" customHeight="1" x14ac:dyDescent="0.2">
      <c r="B74" s="120">
        <v>62</v>
      </c>
      <c r="C74" s="292" t="str">
        <f>IFERROR(VLOOKUP($B74,PAGOS!$B$5:$Y$79,4,0),"")</f>
        <v/>
      </c>
      <c r="D74" s="293" t="str">
        <f>IFERROR(VLOOKUP($B74,PAGOS!$B$5:$Y$79,5,0),"")</f>
        <v/>
      </c>
      <c r="E74" s="293" t="str">
        <f>IFERROR(VLOOKUP($B74,PAGOS!$B$5:$Y$79,24,0),"")</f>
        <v/>
      </c>
    </row>
    <row r="75" spans="2:5" ht="24.95" customHeight="1" x14ac:dyDescent="0.2">
      <c r="B75" s="120">
        <v>63</v>
      </c>
      <c r="C75" s="292" t="str">
        <f>IFERROR(VLOOKUP($B75,PAGOS!$B$5:$Y$79,4,0),"")</f>
        <v/>
      </c>
      <c r="D75" s="293" t="str">
        <f>IFERROR(VLOOKUP($B75,PAGOS!$B$5:$Y$79,5,0),"")</f>
        <v/>
      </c>
      <c r="E75" s="293" t="str">
        <f>IFERROR(VLOOKUP($B75,PAGOS!$B$5:$Y$79,24,0),"")</f>
        <v/>
      </c>
    </row>
    <row r="76" spans="2:5" ht="24.95" customHeight="1" x14ac:dyDescent="0.2">
      <c r="B76" s="120">
        <v>64</v>
      </c>
      <c r="C76" s="292" t="str">
        <f>IFERROR(VLOOKUP($B76,PAGOS!$B$5:$Y$79,4,0),"")</f>
        <v/>
      </c>
      <c r="D76" s="293" t="str">
        <f>IFERROR(VLOOKUP($B76,PAGOS!$B$5:$Y$79,5,0),"")</f>
        <v/>
      </c>
      <c r="E76" s="293" t="str">
        <f>IFERROR(VLOOKUP($B76,PAGOS!$B$5:$Y$79,24,0),"")</f>
        <v/>
      </c>
    </row>
    <row r="77" spans="2:5" ht="24.95" customHeight="1" x14ac:dyDescent="0.2">
      <c r="B77" s="120">
        <v>65</v>
      </c>
      <c r="C77" s="292" t="str">
        <f>IFERROR(VLOOKUP($B77,PAGOS!$B$5:$Y$79,4,0),"")</f>
        <v/>
      </c>
      <c r="D77" s="293" t="str">
        <f>IFERROR(VLOOKUP($B77,PAGOS!$B$5:$Y$79,5,0),"")</f>
        <v/>
      </c>
      <c r="E77" s="293" t="str">
        <f>IFERROR(VLOOKUP($B77,PAGOS!$B$5:$Y$79,24,0),"")</f>
        <v/>
      </c>
    </row>
    <row r="78" spans="2:5" ht="24.95" customHeight="1" x14ac:dyDescent="0.2">
      <c r="B78" s="120">
        <v>66</v>
      </c>
      <c r="C78" s="292" t="str">
        <f>IFERROR(VLOOKUP($B78,PAGOS!$B$5:$Y$79,4,0),"")</f>
        <v/>
      </c>
      <c r="D78" s="293" t="str">
        <f>IFERROR(VLOOKUP($B78,PAGOS!$B$5:$Y$79,5,0),"")</f>
        <v/>
      </c>
      <c r="E78" s="293" t="str">
        <f>IFERROR(VLOOKUP($B78,PAGOS!$B$5:$Y$79,24,0),"")</f>
        <v/>
      </c>
    </row>
    <row r="79" spans="2:5" ht="24.95" customHeight="1" x14ac:dyDescent="0.2">
      <c r="B79" s="120">
        <v>67</v>
      </c>
      <c r="C79" s="292" t="str">
        <f>IFERROR(VLOOKUP($B79,PAGOS!$B$5:$Y$79,4,0),"")</f>
        <v/>
      </c>
      <c r="D79" s="293" t="str">
        <f>IFERROR(VLOOKUP($B79,PAGOS!$B$5:$Y$79,5,0),"")</f>
        <v/>
      </c>
      <c r="E79" s="293" t="str">
        <f>IFERROR(VLOOKUP($B79,PAGOS!$B$5:$Y$79,24,0),"")</f>
        <v/>
      </c>
    </row>
    <row r="80" spans="2:5" ht="24.95" customHeight="1" x14ac:dyDescent="0.2">
      <c r="B80" s="120">
        <v>68</v>
      </c>
      <c r="C80" s="292" t="str">
        <f>IFERROR(VLOOKUP($B80,PAGOS!$B$5:$Y$79,4,0),"")</f>
        <v/>
      </c>
      <c r="D80" s="293" t="str">
        <f>IFERROR(VLOOKUP($B80,PAGOS!$B$5:$Y$79,5,0),"")</f>
        <v/>
      </c>
      <c r="E80" s="293" t="str">
        <f>IFERROR(VLOOKUP($B80,PAGOS!$B$5:$Y$79,24,0),"")</f>
        <v/>
      </c>
    </row>
    <row r="81" spans="2:5" ht="24.95" customHeight="1" x14ac:dyDescent="0.2">
      <c r="B81" s="120">
        <v>69</v>
      </c>
      <c r="C81" s="292" t="str">
        <f>IFERROR(VLOOKUP($B81,PAGOS!$B$5:$Y$79,4,0),"")</f>
        <v/>
      </c>
      <c r="D81" s="293" t="str">
        <f>IFERROR(VLOOKUP($B81,PAGOS!$B$5:$Y$79,5,0),"")</f>
        <v/>
      </c>
      <c r="E81" s="293" t="str">
        <f>IFERROR(VLOOKUP($B81,PAGOS!$B$5:$Y$79,24,0),"")</f>
        <v/>
      </c>
    </row>
    <row r="82" spans="2:5" ht="24.95" customHeight="1" x14ac:dyDescent="0.2">
      <c r="B82" s="120">
        <v>70</v>
      </c>
      <c r="C82" s="292" t="str">
        <f>IFERROR(VLOOKUP($B82,PAGOS!$B$5:$Y$79,4,0),"")</f>
        <v/>
      </c>
      <c r="D82" s="293" t="str">
        <f>IFERROR(VLOOKUP($B82,PAGOS!$B$5:$Y$79,5,0),"")</f>
        <v/>
      </c>
      <c r="E82" s="293" t="str">
        <f>IFERROR(VLOOKUP($B82,PAGOS!$B$5:$Y$79,24,0),"")</f>
        <v/>
      </c>
    </row>
    <row r="83" spans="2:5" ht="24.95" customHeight="1" x14ac:dyDescent="0.2">
      <c r="B83" s="120">
        <v>71</v>
      </c>
      <c r="C83" s="292" t="str">
        <f>IFERROR(VLOOKUP($B83,PAGOS!$B$5:$Y$79,4,0),"")</f>
        <v/>
      </c>
      <c r="D83" s="293" t="str">
        <f>IFERROR(VLOOKUP($B83,PAGOS!$B$5:$Y$79,5,0),"")</f>
        <v/>
      </c>
      <c r="E83" s="293" t="str">
        <f>IFERROR(VLOOKUP($B83,PAGOS!$B$5:$Y$79,24,0),"")</f>
        <v/>
      </c>
    </row>
    <row r="84" spans="2:5" ht="24.95" customHeight="1" x14ac:dyDescent="0.2">
      <c r="B84" s="120">
        <v>72</v>
      </c>
      <c r="C84" s="292" t="str">
        <f>IFERROR(VLOOKUP($B84,PAGOS!$B$5:$Y$79,4,0),"")</f>
        <v/>
      </c>
      <c r="D84" s="293" t="str">
        <f>IFERROR(VLOOKUP($B84,PAGOS!$B$5:$Y$79,5,0),"")</f>
        <v/>
      </c>
      <c r="E84" s="293" t="str">
        <f>IFERROR(VLOOKUP($B84,PAGOS!$B$5:$Y$79,24,0),"")</f>
        <v/>
      </c>
    </row>
    <row r="85" spans="2:5" ht="24.95" customHeight="1" x14ac:dyDescent="0.2">
      <c r="B85" s="120">
        <v>73</v>
      </c>
      <c r="C85" s="292" t="str">
        <f>IFERROR(VLOOKUP($B85,PAGOS!$B$5:$Y$79,4,0),"")</f>
        <v/>
      </c>
      <c r="D85" s="293" t="str">
        <f>IFERROR(VLOOKUP($B85,PAGOS!$B$5:$Y$79,5,0),"")</f>
        <v/>
      </c>
      <c r="E85" s="293" t="str">
        <f>IFERROR(VLOOKUP($B85,PAGOS!$B$5:$Y$79,24,0),"")</f>
        <v/>
      </c>
    </row>
    <row r="86" spans="2:5" ht="24.95" customHeight="1" x14ac:dyDescent="0.2">
      <c r="B86" s="120">
        <v>74</v>
      </c>
      <c r="C86" s="292" t="str">
        <f>IFERROR(VLOOKUP($B86,PAGOS!$B$5:$Y$79,4,0),"")</f>
        <v/>
      </c>
      <c r="D86" s="293" t="str">
        <f>IFERROR(VLOOKUP($B86,PAGOS!$B$5:$Y$79,5,0),"")</f>
        <v/>
      </c>
      <c r="E86" s="293" t="str">
        <f>IFERROR(VLOOKUP($B86,PAGOS!$B$5:$Y$79,24,0),"")</f>
        <v/>
      </c>
    </row>
    <row r="87" spans="2:5" ht="24.95" customHeight="1" x14ac:dyDescent="0.2">
      <c r="B87" s="120">
        <v>75</v>
      </c>
      <c r="C87" s="292" t="str">
        <f>IFERROR(VLOOKUP($B87,PAGOS!$B$5:$Y$79,4,0),"")</f>
        <v/>
      </c>
      <c r="D87" s="293" t="str">
        <f>IFERROR(VLOOKUP($B87,PAGOS!$B$5:$Y$79,5,0),"")</f>
        <v/>
      </c>
      <c r="E87" s="293" t="str">
        <f>IFERROR(VLOOKUP($B87,PAGOS!$B$5:$Y$79,24,0),"")</f>
        <v/>
      </c>
    </row>
  </sheetData>
  <sheetProtection algorithmName="SHA-512" hashValue="EDLEUXZg2GXlqE8cZO5huS1A1qmf3TIe9sSqvQlAJJDKqJkcgXZun6jHSCg19Eek1a94fwdYwDY3ceQk9hRKcw==" saltValue="Au6wMFgkkRdytTpGIRw3lw==" spinCount="100000" sheet="1" objects="1" scenarios="1"/>
  <mergeCells count="2">
    <mergeCell ref="C6:D6"/>
    <mergeCell ref="C2:D2"/>
  </mergeCells>
  <pageMargins left="0.59055118110236227" right="0.59055118110236227" top="0.59055118110236227" bottom="0.59055118110236227" header="0.31496062992125984" footer="0.31496062992125984"/>
  <pageSetup paperSize="9" scale="94" fitToHeight="2" orientation="portrait" r:id="rId1"/>
  <extLst>
    <ext xmlns:x14="http://schemas.microsoft.com/office/spreadsheetml/2009/9/main" uri="{78C0D931-6437-407d-A8EE-F0AAD7539E65}">
      <x14:conditionalFormattings>
        <x14:conditionalFormatting xmlns:xm="http://schemas.microsoft.com/office/excel/2006/main">
          <x14:cfRule type="expression" priority="203" id="{00000000-000E-0000-0600-000001000000}">
            <xm:f>OR(USUARIO!$C$2="",AUXILIAR!$AJ$6&lt;&gt;USUARIO!$C$2)</xm:f>
            <x14:dxf>
              <font>
                <color theme="0"/>
              </font>
              <fill>
                <patternFill patternType="solid">
                  <bgColor theme="0"/>
                </patternFill>
              </fill>
              <border>
                <left/>
                <right/>
                <top/>
                <bottom/>
                <vertical/>
                <horizontal/>
              </border>
            </x14:dxf>
          </x14:cfRule>
          <xm:sqref>B1:E87</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outlinePr summaryRight="0"/>
  </sheetPr>
  <dimension ref="A1:AJ81"/>
  <sheetViews>
    <sheetView showGridLines="0" zoomScaleNormal="100" workbookViewId="0"/>
  </sheetViews>
  <sheetFormatPr baseColWidth="10" defaultColWidth="11.42578125" defaultRowHeight="15" outlineLevelCol="1" x14ac:dyDescent="0.2"/>
  <cols>
    <col min="1" max="1" width="1.7109375" style="2" customWidth="1" collapsed="1"/>
    <col min="2" max="2" width="10.7109375" style="3" hidden="1" customWidth="1" outlineLevel="1"/>
    <col min="3" max="3" width="5.7109375" style="3" hidden="1" customWidth="1" outlineLevel="1"/>
    <col min="4" max="4" width="11.42578125" style="3" hidden="1" customWidth="1" outlineLevel="1"/>
    <col min="5" max="5" width="5.7109375" style="3" hidden="1" customWidth="1" outlineLevel="1"/>
    <col min="6" max="6" width="125.7109375" style="2" hidden="1" customWidth="1" outlineLevel="1"/>
    <col min="7" max="9" width="30.7109375" style="2" hidden="1" customWidth="1" outlineLevel="1"/>
    <col min="10" max="12" width="5.7109375" style="3" hidden="1" customWidth="1" outlineLevel="1"/>
    <col min="13" max="13" width="10.7109375" style="3" hidden="1" customWidth="1" outlineLevel="1"/>
    <col min="14" max="14" width="5.7109375" style="2" hidden="1" customWidth="1" outlineLevel="1"/>
    <col min="15" max="15" width="27.85546875" style="2" hidden="1" customWidth="1" outlineLevel="1"/>
    <col min="16" max="16" width="30.7109375" style="2" hidden="1" customWidth="1" outlineLevel="1"/>
    <col min="17" max="17" width="5.7109375" style="2" hidden="1" customWidth="1" outlineLevel="1"/>
    <col min="18" max="18" width="37.7109375" style="2" hidden="1" customWidth="1" outlineLevel="1"/>
    <col min="19" max="19" width="11.28515625" style="2" hidden="1" customWidth="1" outlineLevel="1"/>
    <col min="20" max="20" width="8.7109375" style="2" hidden="1" customWidth="1" outlineLevel="1"/>
    <col min="21" max="21" width="21.7109375" style="2" hidden="1" customWidth="1" outlineLevel="1"/>
    <col min="22" max="22" width="8.7109375" style="2" hidden="1" customWidth="1" outlineLevel="1"/>
    <col min="23" max="23" width="5.7109375" style="2" hidden="1" customWidth="1" outlineLevel="1"/>
    <col min="24" max="24" width="30.7109375" style="2" hidden="1" customWidth="1" outlineLevel="1"/>
    <col min="25" max="25" width="5.7109375" style="2" hidden="1" customWidth="1" outlineLevel="1"/>
    <col min="26" max="26" width="5.28515625" style="2" hidden="1" customWidth="1" outlineLevel="1"/>
    <col min="27" max="28" width="40.7109375" style="2" hidden="1" customWidth="1" outlineLevel="1"/>
    <col min="29" max="29" width="5.7109375" style="2" hidden="1" customWidth="1" outlineLevel="1"/>
    <col min="30" max="30" width="40.7109375" style="2" hidden="1" customWidth="1" outlineLevel="1"/>
    <col min="31" max="31" width="5.7109375" style="2" hidden="1" customWidth="1" outlineLevel="1"/>
    <col min="32" max="32" width="5.7109375" style="3" hidden="1" customWidth="1" outlineLevel="1"/>
    <col min="33" max="33" width="50.28515625" style="2" hidden="1" customWidth="1" outlineLevel="1"/>
    <col min="34" max="34" width="5.7109375" style="2" hidden="1" customWidth="1" outlineLevel="1"/>
    <col min="35" max="35" width="25.7109375" style="2" hidden="1" customWidth="1" outlineLevel="1"/>
    <col min="36" max="36" width="15.7109375" style="3" hidden="1" customWidth="1" outlineLevel="1"/>
    <col min="37" max="16384" width="11.42578125" style="2"/>
  </cols>
  <sheetData>
    <row r="1" spans="1:36" x14ac:dyDescent="0.2">
      <c r="A1" s="295"/>
    </row>
    <row r="3" spans="1:36" x14ac:dyDescent="0.2">
      <c r="B3" s="449" t="s">
        <v>169</v>
      </c>
      <c r="C3" s="449"/>
      <c r="D3" s="449"/>
      <c r="E3" s="449"/>
      <c r="F3" s="449"/>
      <c r="G3" s="449"/>
      <c r="H3" s="449"/>
      <c r="I3" s="449"/>
      <c r="J3" s="449"/>
      <c r="K3" s="449"/>
      <c r="L3" s="449"/>
      <c r="M3" s="449"/>
      <c r="O3" s="449" t="s">
        <v>170</v>
      </c>
      <c r="P3" s="449"/>
      <c r="R3" s="449" t="s">
        <v>171</v>
      </c>
      <c r="S3" s="449"/>
      <c r="U3" s="314" t="s">
        <v>233</v>
      </c>
      <c r="V3" s="314"/>
      <c r="X3" s="82" t="s">
        <v>175</v>
      </c>
      <c r="Z3" s="449" t="s">
        <v>23</v>
      </c>
      <c r="AA3" s="449"/>
      <c r="AB3" s="449"/>
      <c r="AC3" s="449"/>
      <c r="AD3" s="449"/>
      <c r="AF3" s="449" t="s">
        <v>222</v>
      </c>
      <c r="AG3" s="449"/>
      <c r="AI3" s="449" t="s">
        <v>179</v>
      </c>
      <c r="AJ3" s="449"/>
    </row>
    <row r="4" spans="1:36" ht="15.75" thickBot="1" x14ac:dyDescent="0.25"/>
    <row r="5" spans="1:36" ht="15.75" thickBot="1" x14ac:dyDescent="0.25">
      <c r="D5" s="452" t="s">
        <v>162</v>
      </c>
      <c r="E5" s="452" t="s">
        <v>165</v>
      </c>
      <c r="F5" s="452" t="s">
        <v>163</v>
      </c>
      <c r="G5" s="452" t="s">
        <v>164</v>
      </c>
      <c r="H5" s="452"/>
      <c r="I5" s="452"/>
      <c r="J5" s="452" t="s">
        <v>160</v>
      </c>
      <c r="K5" s="452"/>
      <c r="L5" s="452"/>
      <c r="M5" s="452"/>
      <c r="O5" s="450" t="s">
        <v>230</v>
      </c>
      <c r="P5" s="4" t="str">
        <f>VLOOKUP(AUXILIAR!$B$7,AUXILIAR!$D$7:$I$81,4,FALSE)</f>
        <v>nº 82, de 11 de abril de 2023</v>
      </c>
      <c r="R5" s="2" t="s">
        <v>172</v>
      </c>
      <c r="S5" s="5" t="s">
        <v>228</v>
      </c>
      <c r="U5" s="2" t="s">
        <v>234</v>
      </c>
      <c r="V5" s="5" t="s">
        <v>161</v>
      </c>
      <c r="X5" s="4" t="s">
        <v>40</v>
      </c>
      <c r="Z5" s="2" t="str">
        <f>M7</f>
        <v>APRO</v>
      </c>
      <c r="AI5" s="98" t="s">
        <v>207</v>
      </c>
      <c r="AJ5" s="99" t="s">
        <v>208</v>
      </c>
    </row>
    <row r="6" spans="1:36" x14ac:dyDescent="0.25">
      <c r="D6" s="452"/>
      <c r="E6" s="452"/>
      <c r="F6" s="452"/>
      <c r="G6" s="76" t="s">
        <v>166</v>
      </c>
      <c r="H6" s="76" t="s">
        <v>168</v>
      </c>
      <c r="I6" s="76" t="s">
        <v>167</v>
      </c>
      <c r="J6" s="453" t="str">
        <f>IF(COUNTIF($J$7:$J$81,"SÍ")=0,"",IF(COUNTIF($J$7:$J$81,"SÍ")=1,"SÍ",IF(COUNTIF($J$7:$J$81,"SÍ")&gt;1,"NO")))</f>
        <v>SÍ</v>
      </c>
      <c r="K6" s="453"/>
      <c r="L6" s="453"/>
      <c r="M6" s="453"/>
      <c r="O6" s="451"/>
      <c r="P6" s="4" t="str">
        <f>VLOOKUP(AUXILIAR!$B$7,AUXILIAR!$D$7:$I$81,5,FALSE)</f>
        <v>nº 265, de 15 de noviembre de 2025</v>
      </c>
      <c r="S6" s="100" t="str">
        <f>IF($S$5="SÍ","Bloquear celda F25 de EXPEDIENTE","")</f>
        <v/>
      </c>
      <c r="V6" s="315" t="str">
        <f>IF($V$5="NO","Ocultar columna AF en RELACIÓN FACTURAS","")</f>
        <v/>
      </c>
      <c r="X6" s="4" t="s">
        <v>66</v>
      </c>
      <c r="Z6" s="4">
        <v>1</v>
      </c>
      <c r="AA6" s="316" t="s">
        <v>236</v>
      </c>
      <c r="AB6" s="4" t="str">
        <f t="shared" ref="AB6:AB15" si="0">IF(AA6="",11,AA6)</f>
        <v>Adquisición de activos materiales nuevos</v>
      </c>
      <c r="AC6" s="4">
        <f t="shared" ref="AC6:AC15" si="1">IF(AB6&lt;&gt;11,Z6,11)</f>
        <v>1</v>
      </c>
      <c r="AD6" s="4" t="str">
        <f t="shared" ref="AD6:AD15" si="2">IFERROR(VLOOKUP(SMALL($AC$6:$AC$15,Z6),$Z$6:$AA$15,2,FALSE),"X")</f>
        <v>Adquisición de activos materiales nuevos</v>
      </c>
      <c r="AF6" s="6">
        <v>0</v>
      </c>
      <c r="AG6" s="4" t="s">
        <v>94</v>
      </c>
      <c r="AI6" s="96" t="s">
        <v>209</v>
      </c>
      <c r="AJ6" s="63">
        <v>2130</v>
      </c>
    </row>
    <row r="7" spans="1:36" ht="15.75" thickBot="1" x14ac:dyDescent="0.3">
      <c r="B7" s="6" t="str">
        <f>M7</f>
        <v>APRO</v>
      </c>
      <c r="C7" s="3">
        <v>1</v>
      </c>
      <c r="D7" s="5" t="s">
        <v>231</v>
      </c>
      <c r="E7" s="11">
        <v>7</v>
      </c>
      <c r="F7" s="8" t="s">
        <v>238</v>
      </c>
      <c r="G7" s="9" t="s">
        <v>232</v>
      </c>
      <c r="H7" s="9" t="s">
        <v>240</v>
      </c>
      <c r="I7" s="9"/>
      <c r="J7" s="5" t="s">
        <v>161</v>
      </c>
      <c r="K7" s="6">
        <f>IF(J7="",76,C7)</f>
        <v>1</v>
      </c>
      <c r="L7" s="6">
        <f>IF(K7&lt;&gt;76,C7,76)</f>
        <v>1</v>
      </c>
      <c r="M7" s="6" t="str">
        <f>IFERROR(VLOOKUP(SMALL($L$7:$L$81,C7),$C$7:$D$81,2,FALSE),"X")</f>
        <v>APRO</v>
      </c>
      <c r="O7" s="451"/>
      <c r="P7" s="4">
        <f>VLOOKUP(AUXILIAR!$B$7,AUXILIAR!$D$7:$I$81,6,FALSE)</f>
        <v>0</v>
      </c>
      <c r="Z7" s="4">
        <v>2</v>
      </c>
      <c r="AA7" s="316"/>
      <c r="AB7" s="4">
        <f t="shared" si="0"/>
        <v>11</v>
      </c>
      <c r="AC7" s="4">
        <f t="shared" si="1"/>
        <v>11</v>
      </c>
      <c r="AD7" s="4" t="str">
        <f t="shared" si="2"/>
        <v>X</v>
      </c>
      <c r="AF7" s="6">
        <v>1</v>
      </c>
      <c r="AG7" s="4" t="s">
        <v>227</v>
      </c>
      <c r="AI7" s="97" t="s">
        <v>218</v>
      </c>
      <c r="AJ7" s="65">
        <v>2130</v>
      </c>
    </row>
    <row r="8" spans="1:36" x14ac:dyDescent="0.25">
      <c r="C8" s="3">
        <v>2</v>
      </c>
      <c r="D8" s="5"/>
      <c r="E8" s="11"/>
      <c r="F8" s="8"/>
      <c r="G8" s="9"/>
      <c r="H8" s="9"/>
      <c r="I8" s="9"/>
      <c r="J8" s="5"/>
      <c r="K8" s="6">
        <f t="shared" ref="K8:K12" si="3">IF(J8="",76,C8)</f>
        <v>76</v>
      </c>
      <c r="L8" s="6">
        <f t="shared" ref="L8:L12" si="4">IF(K8&lt;&gt;76,C8,76)</f>
        <v>76</v>
      </c>
      <c r="M8" s="6" t="str">
        <f t="shared" ref="M8:M71" si="5">IFERROR(VLOOKUP(SMALL($L$7:$L$81,C8),$C$7:$D$81,2,FALSE),"X")</f>
        <v>X</v>
      </c>
      <c r="R8" s="2" t="s">
        <v>173</v>
      </c>
      <c r="S8" s="10"/>
      <c r="U8" s="2" t="s">
        <v>235</v>
      </c>
      <c r="V8" s="5" t="s">
        <v>161</v>
      </c>
      <c r="Z8" s="4">
        <v>3</v>
      </c>
      <c r="AA8" s="316"/>
      <c r="AB8" s="4">
        <f t="shared" si="0"/>
        <v>11</v>
      </c>
      <c r="AC8" s="4">
        <f t="shared" si="1"/>
        <v>11</v>
      </c>
      <c r="AD8" s="4" t="str">
        <f t="shared" si="2"/>
        <v>X</v>
      </c>
      <c r="AF8" s="6">
        <v>2</v>
      </c>
      <c r="AG8" s="4" t="s">
        <v>45</v>
      </c>
      <c r="AI8" s="448" t="s">
        <v>210</v>
      </c>
      <c r="AJ8" s="95" t="s">
        <v>208</v>
      </c>
    </row>
    <row r="9" spans="1:36" x14ac:dyDescent="0.25">
      <c r="C9" s="3">
        <v>3</v>
      </c>
      <c r="D9" s="5"/>
      <c r="E9" s="11"/>
      <c r="F9" s="8"/>
      <c r="G9" s="9"/>
      <c r="H9" s="9"/>
      <c r="I9" s="9"/>
      <c r="J9" s="5"/>
      <c r="K9" s="6">
        <f t="shared" si="3"/>
        <v>76</v>
      </c>
      <c r="L9" s="6">
        <f t="shared" si="4"/>
        <v>76</v>
      </c>
      <c r="M9" s="6" t="str">
        <f t="shared" si="5"/>
        <v>X</v>
      </c>
      <c r="O9" s="12" t="s">
        <v>29</v>
      </c>
      <c r="P9" s="9">
        <v>2025</v>
      </c>
      <c r="V9" s="315" t="str">
        <f>IF($V$8="NO","Ocultar columna AG en RELACIÓN FACTURAS","")</f>
        <v/>
      </c>
      <c r="Z9" s="4">
        <v>4</v>
      </c>
      <c r="AA9" s="316"/>
      <c r="AB9" s="4">
        <f t="shared" si="0"/>
        <v>11</v>
      </c>
      <c r="AC9" s="4">
        <f t="shared" si="1"/>
        <v>11</v>
      </c>
      <c r="AD9" s="4" t="str">
        <f t="shared" si="2"/>
        <v>X</v>
      </c>
      <c r="AF9" s="6">
        <v>3</v>
      </c>
      <c r="AG9" s="4" t="s">
        <v>42</v>
      </c>
      <c r="AI9" s="446"/>
      <c r="AJ9" s="64" t="s">
        <v>182</v>
      </c>
    </row>
    <row r="10" spans="1:36" x14ac:dyDescent="0.2">
      <c r="C10" s="3">
        <v>4</v>
      </c>
      <c r="D10" s="5"/>
      <c r="E10" s="11"/>
      <c r="F10" s="8"/>
      <c r="G10" s="9"/>
      <c r="H10" s="9"/>
      <c r="I10" s="9"/>
      <c r="J10" s="5"/>
      <c r="K10" s="6">
        <f t="shared" si="3"/>
        <v>76</v>
      </c>
      <c r="L10" s="6">
        <f t="shared" si="4"/>
        <v>76</v>
      </c>
      <c r="M10" s="6" t="str">
        <f t="shared" si="5"/>
        <v>X</v>
      </c>
      <c r="R10" s="2" t="s">
        <v>174</v>
      </c>
      <c r="S10" s="13">
        <v>1</v>
      </c>
      <c r="T10" s="2" t="s">
        <v>33</v>
      </c>
      <c r="Z10" s="4">
        <v>5</v>
      </c>
      <c r="AA10" s="7"/>
      <c r="AB10" s="4">
        <f t="shared" si="0"/>
        <v>11</v>
      </c>
      <c r="AC10" s="4">
        <f t="shared" si="1"/>
        <v>11</v>
      </c>
      <c r="AD10" s="4" t="str">
        <f t="shared" si="2"/>
        <v>X</v>
      </c>
      <c r="AF10" s="6">
        <v>4</v>
      </c>
      <c r="AG10" s="4" t="s">
        <v>73</v>
      </c>
      <c r="AI10" s="446"/>
      <c r="AJ10" s="64" t="s">
        <v>183</v>
      </c>
    </row>
    <row r="11" spans="1:36" x14ac:dyDescent="0.2">
      <c r="C11" s="3">
        <v>5</v>
      </c>
      <c r="D11" s="5"/>
      <c r="E11" s="11"/>
      <c r="F11" s="8"/>
      <c r="G11" s="9"/>
      <c r="H11" s="9"/>
      <c r="I11" s="9"/>
      <c r="J11" s="5"/>
      <c r="K11" s="6">
        <f t="shared" si="3"/>
        <v>76</v>
      </c>
      <c r="L11" s="6">
        <f t="shared" si="4"/>
        <v>76</v>
      </c>
      <c r="M11" s="6" t="str">
        <f t="shared" si="5"/>
        <v>X</v>
      </c>
      <c r="O11" s="450" t="s">
        <v>177</v>
      </c>
      <c r="P11" s="9" t="s">
        <v>239</v>
      </c>
      <c r="R11" s="3"/>
      <c r="Z11" s="4">
        <v>6</v>
      </c>
      <c r="AA11" s="7"/>
      <c r="AB11" s="4">
        <f t="shared" si="0"/>
        <v>11</v>
      </c>
      <c r="AC11" s="4">
        <f t="shared" si="1"/>
        <v>11</v>
      </c>
      <c r="AD11" s="4" t="str">
        <f t="shared" si="2"/>
        <v>X</v>
      </c>
      <c r="AF11" s="6">
        <v>5</v>
      </c>
      <c r="AG11" s="4" t="s">
        <v>224</v>
      </c>
      <c r="AI11" s="446"/>
      <c r="AJ11" s="64" t="s">
        <v>184</v>
      </c>
    </row>
    <row r="12" spans="1:36" x14ac:dyDescent="0.2">
      <c r="C12" s="3">
        <v>6</v>
      </c>
      <c r="D12" s="5"/>
      <c r="E12" s="11"/>
      <c r="F12" s="8"/>
      <c r="G12" s="9"/>
      <c r="H12" s="9"/>
      <c r="I12" s="9"/>
      <c r="J12" s="5"/>
      <c r="K12" s="6">
        <f t="shared" si="3"/>
        <v>76</v>
      </c>
      <c r="L12" s="6">
        <f t="shared" si="4"/>
        <v>76</v>
      </c>
      <c r="M12" s="6" t="str">
        <f t="shared" si="5"/>
        <v>X</v>
      </c>
      <c r="O12" s="451"/>
      <c r="P12" s="9"/>
      <c r="R12" s="14" t="s">
        <v>37</v>
      </c>
      <c r="S12" s="15">
        <f>EXPEDIENTE!F27</f>
        <v>0</v>
      </c>
      <c r="Z12" s="4">
        <v>7</v>
      </c>
      <c r="AA12" s="7"/>
      <c r="AB12" s="4">
        <f t="shared" si="0"/>
        <v>11</v>
      </c>
      <c r="AC12" s="4">
        <f t="shared" si="1"/>
        <v>11</v>
      </c>
      <c r="AD12" s="4" t="str">
        <f t="shared" si="2"/>
        <v>X</v>
      </c>
      <c r="AF12" s="6">
        <v>6</v>
      </c>
      <c r="AG12" s="4" t="s">
        <v>77</v>
      </c>
      <c r="AI12" s="446"/>
      <c r="AJ12" s="64" t="s">
        <v>185</v>
      </c>
    </row>
    <row r="13" spans="1:36" x14ac:dyDescent="0.2">
      <c r="C13" s="3">
        <v>7</v>
      </c>
      <c r="D13" s="5"/>
      <c r="E13" s="11"/>
      <c r="F13" s="8"/>
      <c r="G13" s="9"/>
      <c r="H13" s="9"/>
      <c r="I13" s="9"/>
      <c r="J13" s="5"/>
      <c r="K13" s="6">
        <f t="shared" ref="K13:K76" si="6">IF(J13="",76,C13)</f>
        <v>76</v>
      </c>
      <c r="L13" s="6">
        <f t="shared" ref="L13:L76" si="7">IF(K13&lt;&gt;76,C13,76)</f>
        <v>76</v>
      </c>
      <c r="M13" s="6" t="str">
        <f t="shared" si="5"/>
        <v>X</v>
      </c>
      <c r="O13" s="451"/>
      <c r="P13" s="9"/>
      <c r="R13" s="14" t="s">
        <v>34</v>
      </c>
      <c r="S13" s="4">
        <f>DAY(S12)</f>
        <v>0</v>
      </c>
      <c r="Z13" s="4">
        <v>8</v>
      </c>
      <c r="AA13" s="7"/>
      <c r="AB13" s="4">
        <f t="shared" si="0"/>
        <v>11</v>
      </c>
      <c r="AC13" s="4">
        <f t="shared" si="1"/>
        <v>11</v>
      </c>
      <c r="AD13" s="4" t="str">
        <f t="shared" si="2"/>
        <v>X</v>
      </c>
      <c r="AF13" s="6">
        <v>7</v>
      </c>
      <c r="AG13" s="4" t="s">
        <v>44</v>
      </c>
      <c r="AI13" s="446"/>
      <c r="AJ13" s="64" t="s">
        <v>186</v>
      </c>
    </row>
    <row r="14" spans="1:36" x14ac:dyDescent="0.2">
      <c r="C14" s="3">
        <v>8</v>
      </c>
      <c r="D14" s="5"/>
      <c r="E14" s="11"/>
      <c r="F14" s="8"/>
      <c r="G14" s="9"/>
      <c r="H14" s="9"/>
      <c r="I14" s="9"/>
      <c r="J14" s="5"/>
      <c r="K14" s="6">
        <f t="shared" si="6"/>
        <v>76</v>
      </c>
      <c r="L14" s="6">
        <f t="shared" si="7"/>
        <v>76</v>
      </c>
      <c r="M14" s="6" t="str">
        <f t="shared" si="5"/>
        <v>X</v>
      </c>
      <c r="R14" s="14" t="s">
        <v>35</v>
      </c>
      <c r="S14" s="4">
        <f>MONTH(S12)</f>
        <v>1</v>
      </c>
      <c r="Z14" s="4">
        <v>9</v>
      </c>
      <c r="AA14" s="7"/>
      <c r="AB14" s="4">
        <f t="shared" si="0"/>
        <v>11</v>
      </c>
      <c r="AC14" s="4">
        <f t="shared" si="1"/>
        <v>11</v>
      </c>
      <c r="AD14" s="4" t="str">
        <f t="shared" si="2"/>
        <v>X</v>
      </c>
      <c r="AF14" s="6">
        <v>8</v>
      </c>
      <c r="AG14" s="4"/>
      <c r="AI14" s="446"/>
      <c r="AJ14" s="64" t="s">
        <v>187</v>
      </c>
    </row>
    <row r="15" spans="1:36" x14ac:dyDescent="0.2">
      <c r="C15" s="3">
        <v>9</v>
      </c>
      <c r="D15" s="5"/>
      <c r="E15" s="11"/>
      <c r="F15" s="8"/>
      <c r="G15" s="9"/>
      <c r="H15" s="9"/>
      <c r="I15" s="9"/>
      <c r="J15" s="5"/>
      <c r="K15" s="6">
        <f t="shared" si="6"/>
        <v>76</v>
      </c>
      <c r="L15" s="6">
        <f t="shared" si="7"/>
        <v>76</v>
      </c>
      <c r="M15" s="6" t="str">
        <f t="shared" si="5"/>
        <v>X</v>
      </c>
      <c r="R15" s="14" t="s">
        <v>36</v>
      </c>
      <c r="S15" s="4">
        <f>YEAR(S12)</f>
        <v>1900</v>
      </c>
      <c r="Z15" s="4">
        <v>10</v>
      </c>
      <c r="AA15" s="7"/>
      <c r="AB15" s="4">
        <f t="shared" si="0"/>
        <v>11</v>
      </c>
      <c r="AC15" s="4">
        <f t="shared" si="1"/>
        <v>11</v>
      </c>
      <c r="AD15" s="4" t="str">
        <f t="shared" si="2"/>
        <v>X</v>
      </c>
      <c r="AF15" s="6">
        <v>9</v>
      </c>
      <c r="AG15" s="4"/>
      <c r="AI15" s="446"/>
      <c r="AJ15" s="64" t="s">
        <v>188</v>
      </c>
    </row>
    <row r="16" spans="1:36" x14ac:dyDescent="0.2">
      <c r="C16" s="3">
        <v>10</v>
      </c>
      <c r="D16" s="5"/>
      <c r="E16" s="11"/>
      <c r="F16" s="8"/>
      <c r="G16" s="9"/>
      <c r="H16" s="9"/>
      <c r="I16" s="9"/>
      <c r="J16" s="5"/>
      <c r="K16" s="6">
        <f t="shared" si="6"/>
        <v>76</v>
      </c>
      <c r="L16" s="6">
        <f t="shared" si="7"/>
        <v>76</v>
      </c>
      <c r="M16" s="6" t="str">
        <f t="shared" si="5"/>
        <v>X</v>
      </c>
      <c r="R16" s="3"/>
      <c r="AI16" s="446"/>
      <c r="AJ16" s="64" t="s">
        <v>178</v>
      </c>
    </row>
    <row r="17" spans="3:36" x14ac:dyDescent="0.2">
      <c r="C17" s="3">
        <v>11</v>
      </c>
      <c r="D17" s="5"/>
      <c r="E17" s="11"/>
      <c r="F17" s="8"/>
      <c r="G17" s="9"/>
      <c r="H17" s="9"/>
      <c r="I17" s="9"/>
      <c r="J17" s="5"/>
      <c r="K17" s="6">
        <f t="shared" si="6"/>
        <v>76</v>
      </c>
      <c r="L17" s="6">
        <f t="shared" si="7"/>
        <v>76</v>
      </c>
      <c r="M17" s="6" t="str">
        <f t="shared" si="5"/>
        <v>X</v>
      </c>
      <c r="R17" s="14" t="s">
        <v>38</v>
      </c>
      <c r="S17" s="15">
        <f>DATE(YEAR(S12),MONTH(S12)+S10,DAY(S12))</f>
        <v>31</v>
      </c>
      <c r="Z17" s="4" t="str">
        <f>IF(M8="X","",M8)</f>
        <v/>
      </c>
      <c r="AI17" s="446"/>
      <c r="AJ17" s="64" t="s">
        <v>180</v>
      </c>
    </row>
    <row r="18" spans="3:36" x14ac:dyDescent="0.3">
      <c r="C18" s="3">
        <v>12</v>
      </c>
      <c r="D18" s="5"/>
      <c r="E18" s="11"/>
      <c r="F18" s="8"/>
      <c r="G18" s="9"/>
      <c r="H18" s="9"/>
      <c r="I18" s="9"/>
      <c r="J18" s="5"/>
      <c r="K18" s="6">
        <f t="shared" si="6"/>
        <v>76</v>
      </c>
      <c r="L18" s="6">
        <f t="shared" si="7"/>
        <v>76</v>
      </c>
      <c r="M18" s="6" t="str">
        <f t="shared" si="5"/>
        <v>X</v>
      </c>
      <c r="R18" s="14" t="s">
        <v>39</v>
      </c>
      <c r="S18" s="15">
        <f>IF(DAY(S12)=DAY(S17),S17,DATE(YEAR(S17),MONTH(S17),1)-1)</f>
        <v>0</v>
      </c>
      <c r="Z18" s="4">
        <v>1</v>
      </c>
      <c r="AA18" s="298"/>
      <c r="AB18" s="4">
        <f>IF(AA18="",11,AA18)</f>
        <v>11</v>
      </c>
      <c r="AC18" s="4">
        <f t="shared" ref="AC18:AC27" si="8">IF(AB18&lt;&gt;11,Z18,11)</f>
        <v>11</v>
      </c>
      <c r="AD18" s="4" t="str">
        <f>IFERROR(VLOOKUP(SMALL($AC$18:$AC$27,Z18),$Z$18:$AA$27,2,FALSE),"X")</f>
        <v>X</v>
      </c>
      <c r="AF18" s="6">
        <f>COUNTBLANK('RELACIÓN DE FACTURAS'!$O$9:$AL$83)</f>
        <v>1575</v>
      </c>
      <c r="AG18" s="4" t="s">
        <v>223</v>
      </c>
      <c r="AI18" s="446"/>
      <c r="AJ18" s="64"/>
    </row>
    <row r="19" spans="3:36" x14ac:dyDescent="0.3">
      <c r="C19" s="3">
        <v>13</v>
      </c>
      <c r="D19" s="5"/>
      <c r="E19" s="11"/>
      <c r="F19" s="8"/>
      <c r="G19" s="9"/>
      <c r="H19" s="9"/>
      <c r="I19" s="9"/>
      <c r="J19" s="5"/>
      <c r="K19" s="6">
        <f t="shared" si="6"/>
        <v>76</v>
      </c>
      <c r="L19" s="6">
        <f t="shared" si="7"/>
        <v>76</v>
      </c>
      <c r="M19" s="6" t="str">
        <f t="shared" si="5"/>
        <v>X</v>
      </c>
      <c r="R19" s="14"/>
      <c r="S19" s="313"/>
      <c r="Z19" s="4">
        <v>2</v>
      </c>
      <c r="AA19" s="298"/>
      <c r="AB19" s="4">
        <f t="shared" ref="AB19:AB27" si="9">IF(AA19="",11,AA19)</f>
        <v>11</v>
      </c>
      <c r="AC19" s="4">
        <f t="shared" si="8"/>
        <v>11</v>
      </c>
      <c r="AD19" s="4" t="str">
        <f t="shared" ref="AD19:AD27" si="10">IFERROR(VLOOKUP(SMALL($AC$18:$AC$27,Z19),$Z$18:$AA$27,2,FALSE),"X")</f>
        <v>X</v>
      </c>
      <c r="AI19" s="446"/>
      <c r="AJ19" s="64"/>
    </row>
    <row r="20" spans="3:36" x14ac:dyDescent="0.3">
      <c r="C20" s="3">
        <v>14</v>
      </c>
      <c r="D20" s="5"/>
      <c r="E20" s="11"/>
      <c r="F20" s="8"/>
      <c r="G20" s="9"/>
      <c r="H20" s="9"/>
      <c r="I20" s="9"/>
      <c r="J20" s="5"/>
      <c r="K20" s="6">
        <f t="shared" si="6"/>
        <v>76</v>
      </c>
      <c r="L20" s="6">
        <f t="shared" si="7"/>
        <v>76</v>
      </c>
      <c r="M20" s="6" t="str">
        <f t="shared" si="5"/>
        <v>X</v>
      </c>
      <c r="R20" s="14" t="s">
        <v>60</v>
      </c>
      <c r="S20" s="313"/>
      <c r="Z20" s="4">
        <v>3</v>
      </c>
      <c r="AA20" s="298"/>
      <c r="AB20" s="4">
        <f t="shared" si="9"/>
        <v>11</v>
      </c>
      <c r="AC20" s="4">
        <f t="shared" si="8"/>
        <v>11</v>
      </c>
      <c r="AD20" s="4" t="str">
        <f t="shared" si="10"/>
        <v>X</v>
      </c>
      <c r="AI20" s="446"/>
      <c r="AJ20" s="64"/>
    </row>
    <row r="21" spans="3:36" x14ac:dyDescent="0.2">
      <c r="C21" s="3">
        <v>15</v>
      </c>
      <c r="D21" s="5"/>
      <c r="E21" s="11"/>
      <c r="F21" s="8"/>
      <c r="G21" s="9"/>
      <c r="H21" s="9"/>
      <c r="I21" s="9"/>
      <c r="J21" s="5"/>
      <c r="K21" s="6">
        <f t="shared" si="6"/>
        <v>76</v>
      </c>
      <c r="L21" s="6">
        <f t="shared" si="7"/>
        <v>76</v>
      </c>
      <c r="M21" s="6" t="str">
        <f t="shared" si="5"/>
        <v>X</v>
      </c>
      <c r="R21" s="14" t="s">
        <v>38</v>
      </c>
      <c r="S21" s="15" t="str">
        <f>EXPEDIENTE!$I$27</f>
        <v/>
      </c>
      <c r="Z21" s="4">
        <v>4</v>
      </c>
      <c r="AA21" s="7"/>
      <c r="AB21" s="4">
        <f t="shared" si="9"/>
        <v>11</v>
      </c>
      <c r="AC21" s="4">
        <f t="shared" si="8"/>
        <v>11</v>
      </c>
      <c r="AD21" s="4" t="str">
        <f t="shared" si="10"/>
        <v>X</v>
      </c>
      <c r="AI21" s="446"/>
      <c r="AJ21" s="64"/>
    </row>
    <row r="22" spans="3:36" x14ac:dyDescent="0.2">
      <c r="C22" s="3">
        <v>16</v>
      </c>
      <c r="D22" s="5"/>
      <c r="E22" s="11"/>
      <c r="F22" s="8"/>
      <c r="G22" s="9"/>
      <c r="H22" s="9"/>
      <c r="I22" s="9"/>
      <c r="J22" s="5"/>
      <c r="K22" s="6">
        <f t="shared" si="6"/>
        <v>76</v>
      </c>
      <c r="L22" s="6">
        <f t="shared" si="7"/>
        <v>76</v>
      </c>
      <c r="M22" s="6" t="str">
        <f t="shared" si="5"/>
        <v>X</v>
      </c>
      <c r="R22" s="14" t="s">
        <v>39</v>
      </c>
      <c r="S22" s="15" t="e">
        <f>DATE(YEAR(S21),MONTH(S21)+S10,DAY(S21))</f>
        <v>#VALUE!</v>
      </c>
      <c r="Z22" s="4">
        <v>5</v>
      </c>
      <c r="AA22" s="7"/>
      <c r="AB22" s="4">
        <f t="shared" si="9"/>
        <v>11</v>
      </c>
      <c r="AC22" s="4">
        <f t="shared" si="8"/>
        <v>11</v>
      </c>
      <c r="AD22" s="4" t="str">
        <f t="shared" si="10"/>
        <v>X</v>
      </c>
      <c r="AI22" s="446"/>
      <c r="AJ22" s="64"/>
    </row>
    <row r="23" spans="3:36" x14ac:dyDescent="0.2">
      <c r="C23" s="3">
        <v>17</v>
      </c>
      <c r="D23" s="5"/>
      <c r="E23" s="11"/>
      <c r="F23" s="8"/>
      <c r="G23" s="9"/>
      <c r="H23" s="9"/>
      <c r="I23" s="9"/>
      <c r="J23" s="5"/>
      <c r="K23" s="6">
        <f t="shared" si="6"/>
        <v>76</v>
      </c>
      <c r="L23" s="6">
        <f t="shared" si="7"/>
        <v>76</v>
      </c>
      <c r="M23" s="6" t="str">
        <f t="shared" si="5"/>
        <v>X</v>
      </c>
      <c r="Z23" s="4">
        <v>6</v>
      </c>
      <c r="AA23" s="7"/>
      <c r="AB23" s="4">
        <f t="shared" si="9"/>
        <v>11</v>
      </c>
      <c r="AC23" s="4">
        <f t="shared" si="8"/>
        <v>11</v>
      </c>
      <c r="AD23" s="4" t="str">
        <f t="shared" si="10"/>
        <v>X</v>
      </c>
      <c r="AI23" s="446"/>
      <c r="AJ23" s="64"/>
    </row>
    <row r="24" spans="3:36" x14ac:dyDescent="0.2">
      <c r="C24" s="3">
        <v>18</v>
      </c>
      <c r="D24" s="5"/>
      <c r="E24" s="11"/>
      <c r="F24" s="8"/>
      <c r="G24" s="9"/>
      <c r="H24" s="9"/>
      <c r="I24" s="9"/>
      <c r="J24" s="5"/>
      <c r="K24" s="6">
        <f t="shared" si="6"/>
        <v>76</v>
      </c>
      <c r="L24" s="6">
        <f t="shared" si="7"/>
        <v>76</v>
      </c>
      <c r="M24" s="6" t="str">
        <f t="shared" si="5"/>
        <v>X</v>
      </c>
      <c r="R24" s="2" t="s">
        <v>154</v>
      </c>
      <c r="Z24" s="4">
        <v>7</v>
      </c>
      <c r="AA24" s="7"/>
      <c r="AB24" s="4">
        <f t="shared" si="9"/>
        <v>11</v>
      </c>
      <c r="AC24" s="4">
        <f t="shared" si="8"/>
        <v>11</v>
      </c>
      <c r="AD24" s="4" t="str">
        <f t="shared" si="10"/>
        <v>X</v>
      </c>
      <c r="AI24" s="446"/>
      <c r="AJ24" s="64"/>
    </row>
    <row r="25" spans="3:36" x14ac:dyDescent="0.2">
      <c r="C25" s="3">
        <v>19</v>
      </c>
      <c r="D25" s="5"/>
      <c r="E25" s="11"/>
      <c r="F25" s="8"/>
      <c r="G25" s="9"/>
      <c r="H25" s="9"/>
      <c r="I25" s="9"/>
      <c r="J25" s="5"/>
      <c r="K25" s="6">
        <f t="shared" si="6"/>
        <v>76</v>
      </c>
      <c r="L25" s="6">
        <f t="shared" si="7"/>
        <v>76</v>
      </c>
      <c r="M25" s="6" t="str">
        <f t="shared" si="5"/>
        <v>X</v>
      </c>
      <c r="Z25" s="4">
        <v>8</v>
      </c>
      <c r="AA25" s="7"/>
      <c r="AB25" s="4">
        <f t="shared" si="9"/>
        <v>11</v>
      </c>
      <c r="AC25" s="4">
        <f t="shared" si="8"/>
        <v>11</v>
      </c>
      <c r="AD25" s="4" t="str">
        <f t="shared" si="10"/>
        <v>X</v>
      </c>
      <c r="AI25" s="446"/>
      <c r="AJ25" s="64"/>
    </row>
    <row r="26" spans="3:36" x14ac:dyDescent="0.2">
      <c r="C26" s="3">
        <v>20</v>
      </c>
      <c r="D26" s="5"/>
      <c r="E26" s="11"/>
      <c r="F26" s="8"/>
      <c r="G26" s="9"/>
      <c r="H26" s="9"/>
      <c r="I26" s="9"/>
      <c r="J26" s="5"/>
      <c r="K26" s="6">
        <f t="shared" si="6"/>
        <v>76</v>
      </c>
      <c r="L26" s="6">
        <f t="shared" si="7"/>
        <v>76</v>
      </c>
      <c r="M26" s="6" t="str">
        <f t="shared" si="5"/>
        <v>X</v>
      </c>
      <c r="R26" s="2" t="s">
        <v>110</v>
      </c>
      <c r="Z26" s="4">
        <v>9</v>
      </c>
      <c r="AA26" s="7"/>
      <c r="AB26" s="4">
        <f t="shared" si="9"/>
        <v>11</v>
      </c>
      <c r="AC26" s="4">
        <f t="shared" si="8"/>
        <v>11</v>
      </c>
      <c r="AD26" s="4" t="str">
        <f t="shared" si="10"/>
        <v>X</v>
      </c>
      <c r="AI26" s="446"/>
      <c r="AJ26" s="64"/>
    </row>
    <row r="27" spans="3:36" ht="15.75" thickBot="1" x14ac:dyDescent="0.25">
      <c r="C27" s="3">
        <v>21</v>
      </c>
      <c r="D27" s="5"/>
      <c r="E27" s="11"/>
      <c r="F27" s="8"/>
      <c r="G27" s="9"/>
      <c r="H27" s="9"/>
      <c r="I27" s="9"/>
      <c r="J27" s="5"/>
      <c r="K27" s="6">
        <f t="shared" si="6"/>
        <v>76</v>
      </c>
      <c r="L27" s="6">
        <f t="shared" si="7"/>
        <v>76</v>
      </c>
      <c r="M27" s="6" t="str">
        <f t="shared" si="5"/>
        <v>X</v>
      </c>
      <c r="Z27" s="4">
        <v>10</v>
      </c>
      <c r="AA27" s="7"/>
      <c r="AB27" s="4">
        <f t="shared" si="9"/>
        <v>11</v>
      </c>
      <c r="AC27" s="4">
        <f t="shared" si="8"/>
        <v>11</v>
      </c>
      <c r="AD27" s="4" t="str">
        <f t="shared" si="10"/>
        <v>X</v>
      </c>
      <c r="AI27" s="447"/>
      <c r="AJ27" s="65" t="s">
        <v>217</v>
      </c>
    </row>
    <row r="28" spans="3:36" x14ac:dyDescent="0.2">
      <c r="C28" s="3">
        <v>22</v>
      </c>
      <c r="D28" s="5"/>
      <c r="E28" s="11"/>
      <c r="F28" s="8"/>
      <c r="G28" s="9"/>
      <c r="H28" s="9"/>
      <c r="I28" s="9"/>
      <c r="J28" s="5"/>
      <c r="K28" s="6">
        <f t="shared" si="6"/>
        <v>76</v>
      </c>
      <c r="L28" s="6">
        <f t="shared" si="7"/>
        <v>76</v>
      </c>
      <c r="M28" s="6" t="str">
        <f t="shared" si="5"/>
        <v>X</v>
      </c>
      <c r="AA28" s="17"/>
      <c r="AI28" s="446" t="s">
        <v>211</v>
      </c>
      <c r="AJ28" s="63" t="s">
        <v>212</v>
      </c>
    </row>
    <row r="29" spans="3:36" x14ac:dyDescent="0.2">
      <c r="C29" s="3">
        <v>23</v>
      </c>
      <c r="D29" s="5"/>
      <c r="E29" s="11"/>
      <c r="F29" s="8"/>
      <c r="G29" s="9"/>
      <c r="H29" s="9"/>
      <c r="I29" s="9"/>
      <c r="J29" s="5"/>
      <c r="K29" s="6">
        <f t="shared" si="6"/>
        <v>76</v>
      </c>
      <c r="L29" s="6">
        <f t="shared" si="7"/>
        <v>76</v>
      </c>
      <c r="M29" s="6" t="str">
        <f t="shared" si="5"/>
        <v>X</v>
      </c>
      <c r="AA29" s="17"/>
      <c r="AC29" s="4">
        <f>IF(EXPEDIENTE!$C$20=$Z$5,$AC6,IF(EXPEDIENTE!$C$20=$Z$17,$AC18,""))</f>
        <v>1</v>
      </c>
      <c r="AD29" s="4" t="str">
        <f>IF(EXPEDIENTE!$C$20=$Z$5,$AD6,IF(EXPEDIENTE!$C$20=$Z$17,$AD18,""))</f>
        <v>Adquisición de activos materiales nuevos</v>
      </c>
      <c r="AI29" s="446"/>
      <c r="AJ29" s="64" t="s">
        <v>213</v>
      </c>
    </row>
    <row r="30" spans="3:36" x14ac:dyDescent="0.2">
      <c r="C30" s="3">
        <v>24</v>
      </c>
      <c r="D30" s="5"/>
      <c r="E30" s="11"/>
      <c r="F30" s="8"/>
      <c r="G30" s="9"/>
      <c r="H30" s="9"/>
      <c r="I30" s="9"/>
      <c r="J30" s="5"/>
      <c r="K30" s="6">
        <f t="shared" si="6"/>
        <v>76</v>
      </c>
      <c r="L30" s="6">
        <f t="shared" si="7"/>
        <v>76</v>
      </c>
      <c r="M30" s="6" t="str">
        <f t="shared" si="5"/>
        <v>X</v>
      </c>
      <c r="AA30" s="17"/>
      <c r="AC30" s="4">
        <f>IF(EXPEDIENTE!$C$20=$Z$5,$AC7,IF(EXPEDIENTE!$C$20=$Z$17,$AC19,""))</f>
        <v>11</v>
      </c>
      <c r="AD30" s="4" t="str">
        <f>IF(EXPEDIENTE!$C$20=$Z$5,$AD7,IF(EXPEDIENTE!$C$20=$Z$17,$AD19,""))</f>
        <v>X</v>
      </c>
      <c r="AI30" s="446"/>
      <c r="AJ30" s="64" t="s">
        <v>214</v>
      </c>
    </row>
    <row r="31" spans="3:36" x14ac:dyDescent="0.2">
      <c r="C31" s="3">
        <v>25</v>
      </c>
      <c r="D31" s="5"/>
      <c r="E31" s="11"/>
      <c r="F31" s="8"/>
      <c r="G31" s="9"/>
      <c r="H31" s="9"/>
      <c r="I31" s="9"/>
      <c r="J31" s="5"/>
      <c r="K31" s="6">
        <f t="shared" si="6"/>
        <v>76</v>
      </c>
      <c r="L31" s="6">
        <f t="shared" si="7"/>
        <v>76</v>
      </c>
      <c r="M31" s="6" t="str">
        <f t="shared" si="5"/>
        <v>X</v>
      </c>
      <c r="AA31" s="17"/>
      <c r="AC31" s="4">
        <f>IF(EXPEDIENTE!$C$20=$Z$5,$AC8,IF(EXPEDIENTE!$C$20=$Z$17,$AC20,""))</f>
        <v>11</v>
      </c>
      <c r="AD31" s="4" t="str">
        <f>IF(EXPEDIENTE!$C$20=$Z$5,$AD8,IF(EXPEDIENTE!$C$20=$Z$17,$AD20,""))</f>
        <v>X</v>
      </c>
      <c r="AI31" s="446"/>
      <c r="AJ31" s="64" t="s">
        <v>215</v>
      </c>
    </row>
    <row r="32" spans="3:36" ht="15.75" thickBot="1" x14ac:dyDescent="0.25">
      <c r="C32" s="3">
        <v>26</v>
      </c>
      <c r="D32" s="5"/>
      <c r="E32" s="11"/>
      <c r="F32" s="8"/>
      <c r="G32" s="9"/>
      <c r="H32" s="9"/>
      <c r="I32" s="9"/>
      <c r="J32" s="5"/>
      <c r="K32" s="6">
        <f t="shared" si="6"/>
        <v>76</v>
      </c>
      <c r="L32" s="6">
        <f t="shared" si="7"/>
        <v>76</v>
      </c>
      <c r="M32" s="6" t="str">
        <f t="shared" si="5"/>
        <v>X</v>
      </c>
      <c r="AA32" s="17"/>
      <c r="AC32" s="4">
        <f>IF(EXPEDIENTE!$C$20=$Z$5,$AC9,IF(EXPEDIENTE!$C$20=$Z$17,$AC21,""))</f>
        <v>11</v>
      </c>
      <c r="AD32" s="4" t="str">
        <f>IF(EXPEDIENTE!$C$20=$Z$5,$AD9,IF(EXPEDIENTE!$C$20=$Z$17,$AD21,""))</f>
        <v>X</v>
      </c>
      <c r="AI32" s="447"/>
      <c r="AJ32" s="65" t="s">
        <v>216</v>
      </c>
    </row>
    <row r="33" spans="3:30" x14ac:dyDescent="0.2">
      <c r="C33" s="3">
        <v>27</v>
      </c>
      <c r="D33" s="5"/>
      <c r="E33" s="11"/>
      <c r="F33" s="8"/>
      <c r="G33" s="9"/>
      <c r="H33" s="9"/>
      <c r="I33" s="9"/>
      <c r="J33" s="5"/>
      <c r="K33" s="6">
        <f t="shared" si="6"/>
        <v>76</v>
      </c>
      <c r="L33" s="6">
        <f t="shared" si="7"/>
        <v>76</v>
      </c>
      <c r="M33" s="6" t="str">
        <f t="shared" si="5"/>
        <v>X</v>
      </c>
      <c r="AA33" s="17"/>
      <c r="AC33" s="4">
        <f>IF(EXPEDIENTE!$C$20=$Z$5,$AC10,IF(EXPEDIENTE!$C$20=$Z$17,$AC22,""))</f>
        <v>11</v>
      </c>
      <c r="AD33" s="4" t="str">
        <f>IF(EXPEDIENTE!$C$20=$Z$5,$AD10,IF(EXPEDIENTE!$C$20=$Z$17,$AD22,""))</f>
        <v>X</v>
      </c>
    </row>
    <row r="34" spans="3:30" x14ac:dyDescent="0.2">
      <c r="C34" s="3">
        <v>28</v>
      </c>
      <c r="D34" s="5"/>
      <c r="E34" s="11"/>
      <c r="F34" s="8"/>
      <c r="G34" s="9"/>
      <c r="H34" s="9"/>
      <c r="I34" s="9"/>
      <c r="J34" s="5"/>
      <c r="K34" s="6">
        <f t="shared" si="6"/>
        <v>76</v>
      </c>
      <c r="L34" s="6">
        <f t="shared" si="7"/>
        <v>76</v>
      </c>
      <c r="M34" s="6" t="str">
        <f t="shared" si="5"/>
        <v>X</v>
      </c>
      <c r="AA34" s="17"/>
      <c r="AC34" s="4">
        <f>IF(EXPEDIENTE!$C$20=$Z$5,$AC11,IF(EXPEDIENTE!$C$20=$Z$17,$AC23,""))</f>
        <v>11</v>
      </c>
      <c r="AD34" s="4" t="str">
        <f>IF(EXPEDIENTE!$C$20=$Z$5,$AD11,IF(EXPEDIENTE!$C$20=$Z$17,$AD23,""))</f>
        <v>X</v>
      </c>
    </row>
    <row r="35" spans="3:30" x14ac:dyDescent="0.2">
      <c r="C35" s="3">
        <v>29</v>
      </c>
      <c r="D35" s="5"/>
      <c r="E35" s="11"/>
      <c r="F35" s="8"/>
      <c r="G35" s="9"/>
      <c r="H35" s="9"/>
      <c r="I35" s="9"/>
      <c r="J35" s="5"/>
      <c r="K35" s="6">
        <f t="shared" si="6"/>
        <v>76</v>
      </c>
      <c r="L35" s="6">
        <f t="shared" si="7"/>
        <v>76</v>
      </c>
      <c r="M35" s="6" t="str">
        <f t="shared" si="5"/>
        <v>X</v>
      </c>
      <c r="AA35" s="17"/>
      <c r="AC35" s="4">
        <f>IF(EXPEDIENTE!$C$20=$Z$5,$AC12,IF(EXPEDIENTE!$C$20=$Z$17,$AC24,""))</f>
        <v>11</v>
      </c>
      <c r="AD35" s="4" t="str">
        <f>IF(EXPEDIENTE!$C$20=$Z$5,$AD12,IF(EXPEDIENTE!$C$20=$Z$17,$AD24,""))</f>
        <v>X</v>
      </c>
    </row>
    <row r="36" spans="3:30" x14ac:dyDescent="0.2">
      <c r="C36" s="3">
        <v>30</v>
      </c>
      <c r="D36" s="5"/>
      <c r="E36" s="11"/>
      <c r="F36" s="8"/>
      <c r="G36" s="9"/>
      <c r="H36" s="9"/>
      <c r="I36" s="9"/>
      <c r="J36" s="5"/>
      <c r="K36" s="6">
        <f t="shared" si="6"/>
        <v>76</v>
      </c>
      <c r="L36" s="6">
        <f t="shared" si="7"/>
        <v>76</v>
      </c>
      <c r="M36" s="6" t="str">
        <f t="shared" si="5"/>
        <v>X</v>
      </c>
      <c r="AA36" s="17"/>
      <c r="AC36" s="4">
        <f>IF(EXPEDIENTE!$C$20=$Z$5,$AC13,IF(EXPEDIENTE!$C$20=$Z$17,$AC25,""))</f>
        <v>11</v>
      </c>
      <c r="AD36" s="4" t="str">
        <f>IF(EXPEDIENTE!$C$20=$Z$5,$AD13,IF(EXPEDIENTE!$C$20=$Z$17,$AD25,""))</f>
        <v>X</v>
      </c>
    </row>
    <row r="37" spans="3:30" x14ac:dyDescent="0.2">
      <c r="C37" s="3">
        <v>31</v>
      </c>
      <c r="D37" s="5"/>
      <c r="E37" s="11"/>
      <c r="F37" s="8"/>
      <c r="G37" s="9"/>
      <c r="H37" s="9"/>
      <c r="I37" s="9"/>
      <c r="J37" s="5"/>
      <c r="K37" s="6">
        <f t="shared" si="6"/>
        <v>76</v>
      </c>
      <c r="L37" s="6">
        <f t="shared" si="7"/>
        <v>76</v>
      </c>
      <c r="M37" s="6" t="str">
        <f t="shared" si="5"/>
        <v>X</v>
      </c>
      <c r="AA37" s="17"/>
      <c r="AC37" s="4">
        <f>IF(EXPEDIENTE!$C$20=$Z$5,$AC14,IF(EXPEDIENTE!$C$20=$Z$17,$AC26,""))</f>
        <v>11</v>
      </c>
      <c r="AD37" s="4" t="str">
        <f>IF(EXPEDIENTE!$C$20=$Z$5,$AD14,IF(EXPEDIENTE!$C$20=$Z$17,$AD26,""))</f>
        <v>X</v>
      </c>
    </row>
    <row r="38" spans="3:30" x14ac:dyDescent="0.2">
      <c r="C38" s="3">
        <v>32</v>
      </c>
      <c r="D38" s="5"/>
      <c r="E38" s="11"/>
      <c r="F38" s="8"/>
      <c r="G38" s="9"/>
      <c r="H38" s="9"/>
      <c r="I38" s="9"/>
      <c r="J38" s="5"/>
      <c r="K38" s="6">
        <f t="shared" si="6"/>
        <v>76</v>
      </c>
      <c r="L38" s="6">
        <f t="shared" si="7"/>
        <v>76</v>
      </c>
      <c r="M38" s="6" t="str">
        <f t="shared" si="5"/>
        <v>X</v>
      </c>
      <c r="AA38" s="17"/>
      <c r="AC38" s="4">
        <f>IF(EXPEDIENTE!$C$20=$Z$5,$AC15,IF(EXPEDIENTE!$C$20=$Z$17,$AC27,""))</f>
        <v>11</v>
      </c>
      <c r="AD38" s="4" t="str">
        <f>IF(EXPEDIENTE!$C$20=$Z$5,$AD15,IF(EXPEDIENTE!$C$20=$Z$17,$AD27,""))</f>
        <v>X</v>
      </c>
    </row>
    <row r="39" spans="3:30" x14ac:dyDescent="0.2">
      <c r="C39" s="3">
        <v>33</v>
      </c>
      <c r="D39" s="5"/>
      <c r="E39" s="11"/>
      <c r="F39" s="8"/>
      <c r="G39" s="9"/>
      <c r="H39" s="9"/>
      <c r="I39" s="9"/>
      <c r="J39" s="5"/>
      <c r="K39" s="6">
        <f t="shared" si="6"/>
        <v>76</v>
      </c>
      <c r="L39" s="6">
        <f t="shared" si="7"/>
        <v>76</v>
      </c>
      <c r="M39" s="6" t="str">
        <f t="shared" si="5"/>
        <v>X</v>
      </c>
      <c r="AA39" s="17"/>
    </row>
    <row r="40" spans="3:30" x14ac:dyDescent="0.2">
      <c r="C40" s="3">
        <v>34</v>
      </c>
      <c r="D40" s="5"/>
      <c r="E40" s="11"/>
      <c r="F40" s="8"/>
      <c r="G40" s="9"/>
      <c r="H40" s="9"/>
      <c r="I40" s="9"/>
      <c r="J40" s="5"/>
      <c r="K40" s="6">
        <f t="shared" si="6"/>
        <v>76</v>
      </c>
      <c r="L40" s="6">
        <f t="shared" si="7"/>
        <v>76</v>
      </c>
      <c r="M40" s="6" t="str">
        <f t="shared" si="5"/>
        <v>X</v>
      </c>
      <c r="AA40" s="17"/>
    </row>
    <row r="41" spans="3:30" x14ac:dyDescent="0.2">
      <c r="C41" s="3">
        <v>35</v>
      </c>
      <c r="D41" s="5"/>
      <c r="E41" s="11"/>
      <c r="F41" s="8"/>
      <c r="G41" s="9"/>
      <c r="H41" s="9"/>
      <c r="I41" s="9"/>
      <c r="J41" s="5"/>
      <c r="K41" s="6">
        <f t="shared" si="6"/>
        <v>76</v>
      </c>
      <c r="L41" s="6">
        <f t="shared" si="7"/>
        <v>76</v>
      </c>
      <c r="M41" s="6" t="str">
        <f t="shared" si="5"/>
        <v>X</v>
      </c>
      <c r="AA41" s="17"/>
    </row>
    <row r="42" spans="3:30" x14ac:dyDescent="0.2">
      <c r="C42" s="3">
        <v>36</v>
      </c>
      <c r="D42" s="5"/>
      <c r="E42" s="11"/>
      <c r="F42" s="8"/>
      <c r="G42" s="9"/>
      <c r="H42" s="9"/>
      <c r="I42" s="9"/>
      <c r="J42" s="5"/>
      <c r="K42" s="6">
        <f t="shared" si="6"/>
        <v>76</v>
      </c>
      <c r="L42" s="6">
        <f t="shared" si="7"/>
        <v>76</v>
      </c>
      <c r="M42" s="6" t="str">
        <f t="shared" si="5"/>
        <v>X</v>
      </c>
      <c r="AA42" s="17"/>
    </row>
    <row r="43" spans="3:30" x14ac:dyDescent="0.2">
      <c r="C43" s="3">
        <v>37</v>
      </c>
      <c r="D43" s="5"/>
      <c r="E43" s="11"/>
      <c r="F43" s="8"/>
      <c r="G43" s="9"/>
      <c r="H43" s="9"/>
      <c r="I43" s="9"/>
      <c r="J43" s="5"/>
      <c r="K43" s="6">
        <f t="shared" si="6"/>
        <v>76</v>
      </c>
      <c r="L43" s="6">
        <f t="shared" si="7"/>
        <v>76</v>
      </c>
      <c r="M43" s="6" t="str">
        <f t="shared" si="5"/>
        <v>X</v>
      </c>
      <c r="AA43" s="17"/>
    </row>
    <row r="44" spans="3:30" x14ac:dyDescent="0.2">
      <c r="C44" s="3">
        <v>38</v>
      </c>
      <c r="D44" s="5"/>
      <c r="E44" s="11"/>
      <c r="F44" s="8"/>
      <c r="G44" s="9"/>
      <c r="H44" s="9"/>
      <c r="I44" s="9"/>
      <c r="J44" s="5"/>
      <c r="K44" s="6">
        <f t="shared" si="6"/>
        <v>76</v>
      </c>
      <c r="L44" s="6">
        <f t="shared" si="7"/>
        <v>76</v>
      </c>
      <c r="M44" s="6" t="str">
        <f t="shared" si="5"/>
        <v>X</v>
      </c>
      <c r="AA44" s="17"/>
    </row>
    <row r="45" spans="3:30" x14ac:dyDescent="0.2">
      <c r="C45" s="3">
        <v>39</v>
      </c>
      <c r="D45" s="5"/>
      <c r="E45" s="11"/>
      <c r="F45" s="8"/>
      <c r="G45" s="9"/>
      <c r="H45" s="9"/>
      <c r="I45" s="9"/>
      <c r="J45" s="5"/>
      <c r="K45" s="6">
        <f t="shared" si="6"/>
        <v>76</v>
      </c>
      <c r="L45" s="6">
        <f t="shared" si="7"/>
        <v>76</v>
      </c>
      <c r="M45" s="6" t="str">
        <f t="shared" si="5"/>
        <v>X</v>
      </c>
    </row>
    <row r="46" spans="3:30" x14ac:dyDescent="0.2">
      <c r="C46" s="3">
        <v>40</v>
      </c>
      <c r="D46" s="5"/>
      <c r="E46" s="11"/>
      <c r="F46" s="8"/>
      <c r="G46" s="9"/>
      <c r="H46" s="9"/>
      <c r="I46" s="9"/>
      <c r="J46" s="5"/>
      <c r="K46" s="6">
        <f t="shared" si="6"/>
        <v>76</v>
      </c>
      <c r="L46" s="6">
        <f t="shared" si="7"/>
        <v>76</v>
      </c>
      <c r="M46" s="6" t="str">
        <f t="shared" si="5"/>
        <v>X</v>
      </c>
    </row>
    <row r="47" spans="3:30" x14ac:dyDescent="0.2">
      <c r="C47" s="3">
        <v>41</v>
      </c>
      <c r="D47" s="5"/>
      <c r="E47" s="11"/>
      <c r="F47" s="8"/>
      <c r="G47" s="9"/>
      <c r="H47" s="9"/>
      <c r="I47" s="9"/>
      <c r="J47" s="5"/>
      <c r="K47" s="6">
        <f t="shared" si="6"/>
        <v>76</v>
      </c>
      <c r="L47" s="6">
        <f t="shared" si="7"/>
        <v>76</v>
      </c>
      <c r="M47" s="6" t="str">
        <f t="shared" si="5"/>
        <v>X</v>
      </c>
    </row>
    <row r="48" spans="3:30" x14ac:dyDescent="0.2">
      <c r="C48" s="3">
        <v>42</v>
      </c>
      <c r="D48" s="5"/>
      <c r="E48" s="11"/>
      <c r="F48" s="8"/>
      <c r="G48" s="9"/>
      <c r="H48" s="9"/>
      <c r="I48" s="9"/>
      <c r="J48" s="5"/>
      <c r="K48" s="6">
        <f t="shared" si="6"/>
        <v>76</v>
      </c>
      <c r="L48" s="6">
        <f t="shared" si="7"/>
        <v>76</v>
      </c>
      <c r="M48" s="6" t="str">
        <f t="shared" si="5"/>
        <v>X</v>
      </c>
    </row>
    <row r="49" spans="3:13" x14ac:dyDescent="0.2">
      <c r="C49" s="3">
        <v>43</v>
      </c>
      <c r="D49" s="5"/>
      <c r="E49" s="11"/>
      <c r="F49" s="8"/>
      <c r="G49" s="9"/>
      <c r="H49" s="9"/>
      <c r="I49" s="9"/>
      <c r="J49" s="5"/>
      <c r="K49" s="6">
        <f t="shared" si="6"/>
        <v>76</v>
      </c>
      <c r="L49" s="6">
        <f t="shared" si="7"/>
        <v>76</v>
      </c>
      <c r="M49" s="6" t="str">
        <f t="shared" si="5"/>
        <v>X</v>
      </c>
    </row>
    <row r="50" spans="3:13" x14ac:dyDescent="0.2">
      <c r="C50" s="3">
        <v>44</v>
      </c>
      <c r="D50" s="5"/>
      <c r="E50" s="11"/>
      <c r="F50" s="8"/>
      <c r="G50" s="9"/>
      <c r="H50" s="9"/>
      <c r="I50" s="9"/>
      <c r="J50" s="5"/>
      <c r="K50" s="6">
        <f t="shared" si="6"/>
        <v>76</v>
      </c>
      <c r="L50" s="6">
        <f t="shared" si="7"/>
        <v>76</v>
      </c>
      <c r="M50" s="6" t="str">
        <f t="shared" si="5"/>
        <v>X</v>
      </c>
    </row>
    <row r="51" spans="3:13" x14ac:dyDescent="0.2">
      <c r="C51" s="3">
        <v>45</v>
      </c>
      <c r="D51" s="5"/>
      <c r="E51" s="11"/>
      <c r="F51" s="8"/>
      <c r="G51" s="9"/>
      <c r="H51" s="9"/>
      <c r="I51" s="9"/>
      <c r="J51" s="5"/>
      <c r="K51" s="6">
        <f t="shared" si="6"/>
        <v>76</v>
      </c>
      <c r="L51" s="6">
        <f t="shared" si="7"/>
        <v>76</v>
      </c>
      <c r="M51" s="6" t="str">
        <f t="shared" si="5"/>
        <v>X</v>
      </c>
    </row>
    <row r="52" spans="3:13" x14ac:dyDescent="0.2">
      <c r="C52" s="3">
        <v>46</v>
      </c>
      <c r="D52" s="5"/>
      <c r="E52" s="11"/>
      <c r="F52" s="8"/>
      <c r="G52" s="9"/>
      <c r="H52" s="9"/>
      <c r="I52" s="9"/>
      <c r="J52" s="5"/>
      <c r="K52" s="6">
        <f t="shared" si="6"/>
        <v>76</v>
      </c>
      <c r="L52" s="6">
        <f t="shared" si="7"/>
        <v>76</v>
      </c>
      <c r="M52" s="6" t="str">
        <f t="shared" si="5"/>
        <v>X</v>
      </c>
    </row>
    <row r="53" spans="3:13" x14ac:dyDescent="0.2">
      <c r="C53" s="3">
        <v>47</v>
      </c>
      <c r="D53" s="5"/>
      <c r="E53" s="11"/>
      <c r="F53" s="8"/>
      <c r="G53" s="9"/>
      <c r="H53" s="9"/>
      <c r="I53" s="9"/>
      <c r="J53" s="5"/>
      <c r="K53" s="6">
        <f t="shared" si="6"/>
        <v>76</v>
      </c>
      <c r="L53" s="6">
        <f t="shared" si="7"/>
        <v>76</v>
      </c>
      <c r="M53" s="6" t="str">
        <f t="shared" si="5"/>
        <v>X</v>
      </c>
    </row>
    <row r="54" spans="3:13" x14ac:dyDescent="0.2">
      <c r="C54" s="3">
        <v>48</v>
      </c>
      <c r="D54" s="5"/>
      <c r="E54" s="11"/>
      <c r="F54" s="8"/>
      <c r="G54" s="9"/>
      <c r="H54" s="9"/>
      <c r="I54" s="9"/>
      <c r="J54" s="5"/>
      <c r="K54" s="6">
        <f t="shared" si="6"/>
        <v>76</v>
      </c>
      <c r="L54" s="6">
        <f t="shared" si="7"/>
        <v>76</v>
      </c>
      <c r="M54" s="6" t="str">
        <f t="shared" si="5"/>
        <v>X</v>
      </c>
    </row>
    <row r="55" spans="3:13" x14ac:dyDescent="0.2">
      <c r="C55" s="3">
        <v>49</v>
      </c>
      <c r="D55" s="5"/>
      <c r="E55" s="11"/>
      <c r="F55" s="8"/>
      <c r="G55" s="9"/>
      <c r="H55" s="9"/>
      <c r="I55" s="9"/>
      <c r="J55" s="5"/>
      <c r="K55" s="6">
        <f t="shared" si="6"/>
        <v>76</v>
      </c>
      <c r="L55" s="6">
        <f t="shared" si="7"/>
        <v>76</v>
      </c>
      <c r="M55" s="6" t="str">
        <f t="shared" si="5"/>
        <v>X</v>
      </c>
    </row>
    <row r="56" spans="3:13" x14ac:dyDescent="0.2">
      <c r="C56" s="3">
        <v>50</v>
      </c>
      <c r="D56" s="5"/>
      <c r="E56" s="11"/>
      <c r="F56" s="8"/>
      <c r="G56" s="9"/>
      <c r="H56" s="9"/>
      <c r="I56" s="9"/>
      <c r="J56" s="5"/>
      <c r="K56" s="6">
        <f t="shared" si="6"/>
        <v>76</v>
      </c>
      <c r="L56" s="6">
        <f t="shared" si="7"/>
        <v>76</v>
      </c>
      <c r="M56" s="6" t="str">
        <f t="shared" si="5"/>
        <v>X</v>
      </c>
    </row>
    <row r="57" spans="3:13" x14ac:dyDescent="0.2">
      <c r="C57" s="3">
        <v>51</v>
      </c>
      <c r="D57" s="5"/>
      <c r="E57" s="11"/>
      <c r="F57" s="8"/>
      <c r="G57" s="9"/>
      <c r="H57" s="9"/>
      <c r="I57" s="9"/>
      <c r="J57" s="5"/>
      <c r="K57" s="6">
        <f t="shared" si="6"/>
        <v>76</v>
      </c>
      <c r="L57" s="6">
        <f t="shared" si="7"/>
        <v>76</v>
      </c>
      <c r="M57" s="6" t="str">
        <f t="shared" si="5"/>
        <v>X</v>
      </c>
    </row>
    <row r="58" spans="3:13" x14ac:dyDescent="0.2">
      <c r="C58" s="3">
        <v>52</v>
      </c>
      <c r="D58" s="5"/>
      <c r="E58" s="11"/>
      <c r="F58" s="8"/>
      <c r="G58" s="9"/>
      <c r="H58" s="9"/>
      <c r="I58" s="9"/>
      <c r="J58" s="5"/>
      <c r="K58" s="6">
        <f t="shared" si="6"/>
        <v>76</v>
      </c>
      <c r="L58" s="6">
        <f t="shared" si="7"/>
        <v>76</v>
      </c>
      <c r="M58" s="6" t="str">
        <f t="shared" si="5"/>
        <v>X</v>
      </c>
    </row>
    <row r="59" spans="3:13" x14ac:dyDescent="0.2">
      <c r="C59" s="3">
        <v>53</v>
      </c>
      <c r="D59" s="5"/>
      <c r="E59" s="11"/>
      <c r="F59" s="8"/>
      <c r="G59" s="9"/>
      <c r="H59" s="9"/>
      <c r="I59" s="9"/>
      <c r="J59" s="5"/>
      <c r="K59" s="6">
        <f t="shared" si="6"/>
        <v>76</v>
      </c>
      <c r="L59" s="6">
        <f t="shared" si="7"/>
        <v>76</v>
      </c>
      <c r="M59" s="6" t="str">
        <f t="shared" si="5"/>
        <v>X</v>
      </c>
    </row>
    <row r="60" spans="3:13" x14ac:dyDescent="0.2">
      <c r="C60" s="3">
        <v>54</v>
      </c>
      <c r="D60" s="5"/>
      <c r="E60" s="11"/>
      <c r="F60" s="8"/>
      <c r="G60" s="9"/>
      <c r="H60" s="9"/>
      <c r="I60" s="9"/>
      <c r="J60" s="5"/>
      <c r="K60" s="6">
        <f t="shared" si="6"/>
        <v>76</v>
      </c>
      <c r="L60" s="6">
        <f t="shared" si="7"/>
        <v>76</v>
      </c>
      <c r="M60" s="6" t="str">
        <f t="shared" si="5"/>
        <v>X</v>
      </c>
    </row>
    <row r="61" spans="3:13" x14ac:dyDescent="0.2">
      <c r="C61" s="3">
        <v>55</v>
      </c>
      <c r="D61" s="5"/>
      <c r="E61" s="11"/>
      <c r="F61" s="8"/>
      <c r="G61" s="9"/>
      <c r="H61" s="9"/>
      <c r="I61" s="9"/>
      <c r="J61" s="5"/>
      <c r="K61" s="6">
        <f t="shared" si="6"/>
        <v>76</v>
      </c>
      <c r="L61" s="6">
        <f t="shared" si="7"/>
        <v>76</v>
      </c>
      <c r="M61" s="6" t="str">
        <f t="shared" si="5"/>
        <v>X</v>
      </c>
    </row>
    <row r="62" spans="3:13" x14ac:dyDescent="0.2">
      <c r="C62" s="3">
        <v>56</v>
      </c>
      <c r="D62" s="5"/>
      <c r="E62" s="11"/>
      <c r="F62" s="8"/>
      <c r="G62" s="9"/>
      <c r="H62" s="9"/>
      <c r="I62" s="9"/>
      <c r="J62" s="5"/>
      <c r="K62" s="6">
        <f t="shared" si="6"/>
        <v>76</v>
      </c>
      <c r="L62" s="6">
        <f t="shared" si="7"/>
        <v>76</v>
      </c>
      <c r="M62" s="6" t="str">
        <f t="shared" si="5"/>
        <v>X</v>
      </c>
    </row>
    <row r="63" spans="3:13" x14ac:dyDescent="0.2">
      <c r="C63" s="3">
        <v>57</v>
      </c>
      <c r="D63" s="5"/>
      <c r="E63" s="11"/>
      <c r="F63" s="8"/>
      <c r="G63" s="9"/>
      <c r="H63" s="9"/>
      <c r="I63" s="9"/>
      <c r="J63" s="5"/>
      <c r="K63" s="6">
        <f t="shared" si="6"/>
        <v>76</v>
      </c>
      <c r="L63" s="6">
        <f t="shared" si="7"/>
        <v>76</v>
      </c>
      <c r="M63" s="6" t="str">
        <f t="shared" si="5"/>
        <v>X</v>
      </c>
    </row>
    <row r="64" spans="3:13" x14ac:dyDescent="0.2">
      <c r="C64" s="3">
        <v>58</v>
      </c>
      <c r="D64" s="5"/>
      <c r="E64" s="11"/>
      <c r="F64" s="8"/>
      <c r="G64" s="9"/>
      <c r="H64" s="9"/>
      <c r="I64" s="9"/>
      <c r="J64" s="5"/>
      <c r="K64" s="6">
        <f t="shared" si="6"/>
        <v>76</v>
      </c>
      <c r="L64" s="6">
        <f t="shared" si="7"/>
        <v>76</v>
      </c>
      <c r="M64" s="6" t="str">
        <f t="shared" si="5"/>
        <v>X</v>
      </c>
    </row>
    <row r="65" spans="3:13" x14ac:dyDescent="0.2">
      <c r="C65" s="3">
        <v>59</v>
      </c>
      <c r="D65" s="5"/>
      <c r="E65" s="11"/>
      <c r="F65" s="8"/>
      <c r="G65" s="9"/>
      <c r="H65" s="9"/>
      <c r="I65" s="9"/>
      <c r="J65" s="5"/>
      <c r="K65" s="6">
        <f t="shared" si="6"/>
        <v>76</v>
      </c>
      <c r="L65" s="6">
        <f t="shared" si="7"/>
        <v>76</v>
      </c>
      <c r="M65" s="6" t="str">
        <f t="shared" si="5"/>
        <v>X</v>
      </c>
    </row>
    <row r="66" spans="3:13" x14ac:dyDescent="0.2">
      <c r="C66" s="3">
        <v>60</v>
      </c>
      <c r="D66" s="5"/>
      <c r="E66" s="11"/>
      <c r="F66" s="8"/>
      <c r="G66" s="9"/>
      <c r="H66" s="9"/>
      <c r="I66" s="9"/>
      <c r="J66" s="5"/>
      <c r="K66" s="6">
        <f t="shared" si="6"/>
        <v>76</v>
      </c>
      <c r="L66" s="6">
        <f t="shared" si="7"/>
        <v>76</v>
      </c>
      <c r="M66" s="6" t="str">
        <f t="shared" si="5"/>
        <v>X</v>
      </c>
    </row>
    <row r="67" spans="3:13" x14ac:dyDescent="0.2">
      <c r="C67" s="3">
        <v>61</v>
      </c>
      <c r="D67" s="5"/>
      <c r="E67" s="11"/>
      <c r="F67" s="8"/>
      <c r="G67" s="9"/>
      <c r="H67" s="9"/>
      <c r="I67" s="9"/>
      <c r="J67" s="5"/>
      <c r="K67" s="6">
        <f t="shared" si="6"/>
        <v>76</v>
      </c>
      <c r="L67" s="6">
        <f t="shared" si="7"/>
        <v>76</v>
      </c>
      <c r="M67" s="6" t="str">
        <f t="shared" si="5"/>
        <v>X</v>
      </c>
    </row>
    <row r="68" spans="3:13" x14ac:dyDescent="0.2">
      <c r="C68" s="3">
        <v>62</v>
      </c>
      <c r="D68" s="5"/>
      <c r="E68" s="11"/>
      <c r="F68" s="8"/>
      <c r="G68" s="9"/>
      <c r="H68" s="9"/>
      <c r="I68" s="9"/>
      <c r="J68" s="5"/>
      <c r="K68" s="6">
        <f t="shared" si="6"/>
        <v>76</v>
      </c>
      <c r="L68" s="6">
        <f t="shared" si="7"/>
        <v>76</v>
      </c>
      <c r="M68" s="6" t="str">
        <f t="shared" si="5"/>
        <v>X</v>
      </c>
    </row>
    <row r="69" spans="3:13" x14ac:dyDescent="0.2">
      <c r="C69" s="3">
        <v>63</v>
      </c>
      <c r="D69" s="5"/>
      <c r="E69" s="11"/>
      <c r="F69" s="8"/>
      <c r="G69" s="9"/>
      <c r="H69" s="9"/>
      <c r="I69" s="9"/>
      <c r="J69" s="5"/>
      <c r="K69" s="6">
        <f t="shared" si="6"/>
        <v>76</v>
      </c>
      <c r="L69" s="6">
        <f t="shared" si="7"/>
        <v>76</v>
      </c>
      <c r="M69" s="6" t="str">
        <f t="shared" si="5"/>
        <v>X</v>
      </c>
    </row>
    <row r="70" spans="3:13" x14ac:dyDescent="0.2">
      <c r="C70" s="3">
        <v>64</v>
      </c>
      <c r="D70" s="5"/>
      <c r="E70" s="11"/>
      <c r="F70" s="8"/>
      <c r="G70" s="9"/>
      <c r="H70" s="9"/>
      <c r="I70" s="9"/>
      <c r="J70" s="5"/>
      <c r="K70" s="6">
        <f t="shared" si="6"/>
        <v>76</v>
      </c>
      <c r="L70" s="6">
        <f t="shared" si="7"/>
        <v>76</v>
      </c>
      <c r="M70" s="6" t="str">
        <f t="shared" si="5"/>
        <v>X</v>
      </c>
    </row>
    <row r="71" spans="3:13" x14ac:dyDescent="0.2">
      <c r="C71" s="3">
        <v>65</v>
      </c>
      <c r="D71" s="5"/>
      <c r="E71" s="11"/>
      <c r="F71" s="8"/>
      <c r="G71" s="9"/>
      <c r="H71" s="9"/>
      <c r="I71" s="9"/>
      <c r="J71" s="5"/>
      <c r="K71" s="6">
        <f t="shared" si="6"/>
        <v>76</v>
      </c>
      <c r="L71" s="6">
        <f t="shared" si="7"/>
        <v>76</v>
      </c>
      <c r="M71" s="6" t="str">
        <f t="shared" si="5"/>
        <v>X</v>
      </c>
    </row>
    <row r="72" spans="3:13" x14ac:dyDescent="0.2">
      <c r="C72" s="3">
        <v>66</v>
      </c>
      <c r="D72" s="5"/>
      <c r="E72" s="11"/>
      <c r="F72" s="8"/>
      <c r="G72" s="9"/>
      <c r="H72" s="9"/>
      <c r="I72" s="9"/>
      <c r="J72" s="5"/>
      <c r="K72" s="6">
        <f t="shared" si="6"/>
        <v>76</v>
      </c>
      <c r="L72" s="6">
        <f t="shared" si="7"/>
        <v>76</v>
      </c>
      <c r="M72" s="6" t="str">
        <f t="shared" ref="M72:M81" si="11">IFERROR(VLOOKUP(SMALL($L$7:$L$81,C72),$C$7:$D$81,2,FALSE),"X")</f>
        <v>X</v>
      </c>
    </row>
    <row r="73" spans="3:13" x14ac:dyDescent="0.2">
      <c r="C73" s="3">
        <v>67</v>
      </c>
      <c r="D73" s="5"/>
      <c r="E73" s="11"/>
      <c r="F73" s="8"/>
      <c r="G73" s="9"/>
      <c r="H73" s="9"/>
      <c r="I73" s="9"/>
      <c r="J73" s="5"/>
      <c r="K73" s="6">
        <f t="shared" si="6"/>
        <v>76</v>
      </c>
      <c r="L73" s="6">
        <f t="shared" si="7"/>
        <v>76</v>
      </c>
      <c r="M73" s="6" t="str">
        <f t="shared" si="11"/>
        <v>X</v>
      </c>
    </row>
    <row r="74" spans="3:13" x14ac:dyDescent="0.2">
      <c r="C74" s="3">
        <v>68</v>
      </c>
      <c r="D74" s="5"/>
      <c r="E74" s="11"/>
      <c r="F74" s="8"/>
      <c r="G74" s="9"/>
      <c r="H74" s="9"/>
      <c r="I74" s="9"/>
      <c r="J74" s="5"/>
      <c r="K74" s="6">
        <f t="shared" si="6"/>
        <v>76</v>
      </c>
      <c r="L74" s="6">
        <f t="shared" si="7"/>
        <v>76</v>
      </c>
      <c r="M74" s="6" t="str">
        <f t="shared" si="11"/>
        <v>X</v>
      </c>
    </row>
    <row r="75" spans="3:13" x14ac:dyDescent="0.2">
      <c r="C75" s="3">
        <v>69</v>
      </c>
      <c r="D75" s="5"/>
      <c r="E75" s="11"/>
      <c r="F75" s="8"/>
      <c r="G75" s="9"/>
      <c r="H75" s="9"/>
      <c r="I75" s="9"/>
      <c r="J75" s="5"/>
      <c r="K75" s="6">
        <f t="shared" si="6"/>
        <v>76</v>
      </c>
      <c r="L75" s="6">
        <f t="shared" si="7"/>
        <v>76</v>
      </c>
      <c r="M75" s="6" t="str">
        <f t="shared" si="11"/>
        <v>X</v>
      </c>
    </row>
    <row r="76" spans="3:13" x14ac:dyDescent="0.2">
      <c r="C76" s="3">
        <v>70</v>
      </c>
      <c r="D76" s="5"/>
      <c r="E76" s="11"/>
      <c r="F76" s="8"/>
      <c r="G76" s="9"/>
      <c r="H76" s="9"/>
      <c r="I76" s="9"/>
      <c r="J76" s="5"/>
      <c r="K76" s="6">
        <f t="shared" si="6"/>
        <v>76</v>
      </c>
      <c r="L76" s="6">
        <f t="shared" si="7"/>
        <v>76</v>
      </c>
      <c r="M76" s="6" t="str">
        <f t="shared" si="11"/>
        <v>X</v>
      </c>
    </row>
    <row r="77" spans="3:13" x14ac:dyDescent="0.2">
      <c r="C77" s="3">
        <v>71</v>
      </c>
      <c r="D77" s="5"/>
      <c r="E77" s="11"/>
      <c r="F77" s="8"/>
      <c r="G77" s="9"/>
      <c r="H77" s="9"/>
      <c r="I77" s="9"/>
      <c r="J77" s="5"/>
      <c r="K77" s="6">
        <f t="shared" ref="K77:K81" si="12">IF(J77="",76,C77)</f>
        <v>76</v>
      </c>
      <c r="L77" s="6">
        <f t="shared" ref="L77:L81" si="13">IF(K77&lt;&gt;76,C77,76)</f>
        <v>76</v>
      </c>
      <c r="M77" s="6" t="str">
        <f t="shared" si="11"/>
        <v>X</v>
      </c>
    </row>
    <row r="78" spans="3:13" x14ac:dyDescent="0.2">
      <c r="C78" s="3">
        <v>72</v>
      </c>
      <c r="D78" s="5"/>
      <c r="E78" s="11"/>
      <c r="F78" s="8"/>
      <c r="G78" s="9"/>
      <c r="H78" s="9"/>
      <c r="I78" s="9"/>
      <c r="J78" s="5"/>
      <c r="K78" s="6">
        <f t="shared" si="12"/>
        <v>76</v>
      </c>
      <c r="L78" s="6">
        <f t="shared" si="13"/>
        <v>76</v>
      </c>
      <c r="M78" s="6" t="str">
        <f t="shared" si="11"/>
        <v>X</v>
      </c>
    </row>
    <row r="79" spans="3:13" x14ac:dyDescent="0.2">
      <c r="C79" s="3">
        <v>73</v>
      </c>
      <c r="D79" s="5"/>
      <c r="E79" s="11"/>
      <c r="F79" s="8"/>
      <c r="G79" s="9"/>
      <c r="H79" s="9"/>
      <c r="I79" s="9"/>
      <c r="J79" s="5"/>
      <c r="K79" s="6">
        <f t="shared" si="12"/>
        <v>76</v>
      </c>
      <c r="L79" s="6">
        <f t="shared" si="13"/>
        <v>76</v>
      </c>
      <c r="M79" s="6" t="str">
        <f t="shared" si="11"/>
        <v>X</v>
      </c>
    </row>
    <row r="80" spans="3:13" x14ac:dyDescent="0.2">
      <c r="C80" s="3">
        <v>74</v>
      </c>
      <c r="D80" s="5"/>
      <c r="E80" s="11"/>
      <c r="F80" s="8"/>
      <c r="G80" s="9"/>
      <c r="H80" s="9"/>
      <c r="I80" s="9"/>
      <c r="J80" s="5"/>
      <c r="K80" s="6">
        <f t="shared" si="12"/>
        <v>76</v>
      </c>
      <c r="L80" s="6">
        <f t="shared" si="13"/>
        <v>76</v>
      </c>
      <c r="M80" s="6" t="str">
        <f t="shared" si="11"/>
        <v>X</v>
      </c>
    </row>
    <row r="81" spans="3:13" x14ac:dyDescent="0.2">
      <c r="C81" s="3">
        <v>75</v>
      </c>
      <c r="D81" s="5"/>
      <c r="E81" s="11"/>
      <c r="F81" s="8"/>
      <c r="G81" s="9"/>
      <c r="H81" s="9"/>
      <c r="I81" s="9"/>
      <c r="J81" s="5"/>
      <c r="K81" s="6">
        <f t="shared" si="12"/>
        <v>76</v>
      </c>
      <c r="L81" s="6">
        <f t="shared" si="13"/>
        <v>76</v>
      </c>
      <c r="M81" s="6" t="str">
        <f t="shared" si="11"/>
        <v>X</v>
      </c>
    </row>
  </sheetData>
  <sheetProtection algorithmName="SHA-512" hashValue="Yj7czfwpqkfMjrTHZirgbLk7IzyA2L3YDSxchQEJrIQsgMejpdSQW8uWm9+jkGe97Is3/o0DiqWbz0dnxPTJPg==" saltValue="Qlab3CWqHlBM2+VVVARzLA==" spinCount="100000" sheet="1" selectLockedCells="1"/>
  <mergeCells count="16">
    <mergeCell ref="O11:O13"/>
    <mergeCell ref="Z3:AD3"/>
    <mergeCell ref="J5:M5"/>
    <mergeCell ref="J6:M6"/>
    <mergeCell ref="O3:P3"/>
    <mergeCell ref="B3:M3"/>
    <mergeCell ref="O5:O7"/>
    <mergeCell ref="G5:I5"/>
    <mergeCell ref="D5:D6"/>
    <mergeCell ref="E5:E6"/>
    <mergeCell ref="F5:F6"/>
    <mergeCell ref="AI28:AI32"/>
    <mergeCell ref="AI8:AI27"/>
    <mergeCell ref="AF3:AG3"/>
    <mergeCell ref="AI3:AJ3"/>
    <mergeCell ref="R3:S3"/>
  </mergeCells>
  <phoneticPr fontId="4" type="noConversion"/>
  <dataValidations count="2">
    <dataValidation type="list" allowBlank="1" showInputMessage="1" showErrorMessage="1" sqref="S5 V5 V8" xr:uid="{39769FE7-8726-4641-AE6E-10473D9577EC}">
      <formula1>"SÍ,NO"</formula1>
    </dataValidation>
    <dataValidation type="list" allowBlank="1" showInputMessage="1" showErrorMessage="1" sqref="J7:J81" xr:uid="{7D50FE73-567E-4D4C-95A9-E02D4766D2FE}">
      <formula1>"SÍ"</formula1>
    </dataValidation>
  </dataValidations>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expression" priority="204" id="{00000000-000E-0000-0700-000001000000}">
            <xm:f>OR(USUARIO!$C$2="",$AJ$6&lt;&gt;USUARIO!$C$2)</xm:f>
            <x14:dxf>
              <font>
                <color theme="0"/>
              </font>
              <fill>
                <patternFill>
                  <bgColor theme="0"/>
                </patternFill>
              </fill>
              <border>
                <left/>
                <right/>
                <top/>
                <bottom/>
                <vertical/>
                <horizontal/>
              </border>
            </x14:dxf>
          </x14:cfRule>
          <xm:sqref>W1:AJ5 B1:T6 W6:Z9 AB6:AJ9 B7:C7 K7:T7 B8:T18 W10:AJ18 B19:Q81 Z19:AJ81 R19:T85 W19:Y85</xm:sqref>
        </x14:conditionalFormatting>
      </x14:conditionalFormatting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8A09E5-2B8E-4CD0-9027-A08B13C68AD0}">
  <dimension ref="B2:C2"/>
  <sheetViews>
    <sheetView showGridLines="0" workbookViewId="0">
      <selection activeCell="C2" sqref="C2"/>
    </sheetView>
  </sheetViews>
  <sheetFormatPr baseColWidth="10" defaultColWidth="11.42578125" defaultRowHeight="15" x14ac:dyDescent="0.3"/>
  <cols>
    <col min="1" max="1" width="5.7109375" style="114" customWidth="1"/>
    <col min="2" max="2" width="10.7109375" style="114" customWidth="1"/>
    <col min="3" max="3" width="10.7109375" style="294" customWidth="1"/>
    <col min="4" max="16384" width="11.42578125" style="114"/>
  </cols>
  <sheetData>
    <row r="2" spans="2:3" x14ac:dyDescent="0.3">
      <c r="B2" s="113" t="s">
        <v>181</v>
      </c>
      <c r="C2" s="304"/>
    </row>
  </sheetData>
  <sheetProtection algorithmName="SHA-512" hashValue="1H4GvoskoCQqLiha0ms8vEsVbnXSPKYXsYvhKYPpwhzsGKPOtcjTJ3jhjvQQFFEVD/YYkULNNLKfsN3dK0ee+A==" saltValue="2Zqt5odEhmhMfOrrriRsyw==" spinCount="100000" sheet="1" selectLockedCells="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B5D8345CE9BD914C9D01226D63129445" ma:contentTypeVersion="18" ma:contentTypeDescription="Crear nuevo documento." ma:contentTypeScope="" ma:versionID="a66f483d4445229e0f2f510b78dcb5fb">
  <xsd:schema xmlns:xsd="http://www.w3.org/2001/XMLSchema" xmlns:xs="http://www.w3.org/2001/XMLSchema" xmlns:p="http://schemas.microsoft.com/office/2006/metadata/properties" xmlns:ns2="d0f1999e-fb46-4be1-aa14-5c6f3ecfb515" xmlns:ns3="ba600c26-20e0-433c-877d-adf8e183668e" targetNamespace="http://schemas.microsoft.com/office/2006/metadata/properties" ma:root="true" ma:fieldsID="eb5cde6b264d14f1210b1ea01b31d80b" ns2:_="" ns3:_="">
    <xsd:import namespace="d0f1999e-fb46-4be1-aa14-5c6f3ecfb515"/>
    <xsd:import namespace="ba600c26-20e0-433c-877d-adf8e183668e"/>
    <xsd:element name="properties">
      <xsd:complexType>
        <xsd:sequence>
          <xsd:element name="documentManagement">
            <xsd:complexType>
              <xsd:all>
                <xsd:element ref="ns2:MediaServiceMetadata" minOccurs="0"/>
                <xsd:element ref="ns2:MediaServiceFastMetadata" minOccurs="0"/>
                <xsd:element ref="ns2:MediaLengthInSeconds" minOccurs="0"/>
                <xsd:element ref="ns2:MediaServiceDateTaken"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OCR" minOccurs="0"/>
                <xsd:element ref="ns2:MediaServiceLocation" minOccurs="0"/>
                <xsd:element ref="ns2:MediaServiceAutoKeyPoints" minOccurs="0"/>
                <xsd:element ref="ns2:MediaServiceKeyPoint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0f1999e-fb46-4be1-aa14-5c6f3ecfb51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0" nillable="true" ma:displayName="Length (seconds)" ma:internalName="MediaLengthInSeconds" ma:readOnly="true">
      <xsd:simpleType>
        <xsd:restriction base="dms:Unknown"/>
      </xsd:simpleType>
    </xsd:element>
    <xsd:element name="MediaServiceDateTaken" ma:index="11"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d70018be-83ce-44c2-8ea0-5e7e15d4a26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a600c26-20e0-433c-877d-adf8e183668e"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d32b242c-327b-4e81-becf-ce075266ee89}" ma:internalName="TaxCatchAll" ma:showField="CatchAllData" ma:web="ba600c26-20e0-433c-877d-adf8e183668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ba600c26-20e0-433c-877d-adf8e183668e" xsi:nil="true"/>
    <lcf76f155ced4ddcb4097134ff3c332f xmlns="d0f1999e-fb46-4be1-aa14-5c6f3ecfb515">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2C92FD15-ECF4-4921-9523-3C85A02FB747}"/>
</file>

<file path=customXml/itemProps2.xml><?xml version="1.0" encoding="utf-8"?>
<ds:datastoreItem xmlns:ds="http://schemas.openxmlformats.org/officeDocument/2006/customXml" ds:itemID="{5F4D2DCA-E3A1-4B38-92C7-DB69EF40D957}">
  <ds:schemaRefs>
    <ds:schemaRef ds:uri="http://schemas.microsoft.com/sharepoint/v3/contenttype/forms"/>
  </ds:schemaRefs>
</ds:datastoreItem>
</file>

<file path=customXml/itemProps3.xml><?xml version="1.0" encoding="utf-8"?>
<ds:datastoreItem xmlns:ds="http://schemas.openxmlformats.org/officeDocument/2006/customXml" ds:itemID="{E02E12B8-8ECA-4BFF-9D57-70E0ACEF4F5A}">
  <ds:schemaRefs>
    <ds:schemaRef ds:uri="http://schemas.microsoft.com/office/2006/metadata/properties"/>
    <ds:schemaRef ds:uri="http://www.w3.org/XML/1998/namespace"/>
    <ds:schemaRef ds:uri="http://schemas.openxmlformats.org/package/2006/metadata/core-properties"/>
    <ds:schemaRef ds:uri="http://purl.org/dc/elements/1.1/"/>
    <ds:schemaRef ds:uri="http://schemas.microsoft.com/office/2006/documentManagement/types"/>
    <ds:schemaRef ds:uri="http://schemas.microsoft.com/office/infopath/2007/PartnerControls"/>
    <ds:schemaRef ds:uri="http://purl.org/dc/terms/"/>
    <ds:schemaRef ds:uri="ba600c26-20e0-433c-877d-adf8e183668e"/>
    <ds:schemaRef ds:uri="bc934ed1-fc6e-40dc-8eb3-366867545b6c"/>
    <ds:schemaRef ds:uri="http://purl.org/dc/dcmitype/"/>
  </ds:schemaRefs>
</ds:datastoreItem>
</file>

<file path=docProps/app.xml><?xml version="1.0" encoding="utf-8"?>
<Properties xmlns="http://schemas.openxmlformats.org/officeDocument/2006/extended-properties" xmlns:vt="http://schemas.openxmlformats.org/officeDocument/2006/docPropsVTypes">
  <Template/>
  <TotalTime>40</TotalTime>
  <Application>Microsoft Excel</Application>
  <DocSecurity>0</DocSecurity>
  <ScaleCrop>false</ScaleCrop>
  <HeadingPairs>
    <vt:vector size="4" baseType="variant">
      <vt:variant>
        <vt:lpstr>Hojas de cálculo</vt:lpstr>
      </vt:variant>
      <vt:variant>
        <vt:i4>9</vt:i4>
      </vt:variant>
      <vt:variant>
        <vt:lpstr>Rangos con nombre</vt:lpstr>
      </vt:variant>
      <vt:variant>
        <vt:i4>7</vt:i4>
      </vt:variant>
    </vt:vector>
  </HeadingPairs>
  <TitlesOfParts>
    <vt:vector size="16" baseType="lpstr">
      <vt:lpstr>INSTRUCCIONES</vt:lpstr>
      <vt:lpstr>EXPEDIENTE</vt:lpstr>
      <vt:lpstr>RELACIÓN DE FACTURAS</vt:lpstr>
      <vt:lpstr>LISTADO PROVEEDORES &gt; 15.000 €</vt:lpstr>
      <vt:lpstr>RELACIÓN DE OFERTAS &gt;15.000 €</vt:lpstr>
      <vt:lpstr>PAGOS</vt:lpstr>
      <vt:lpstr>INFORME</vt:lpstr>
      <vt:lpstr>AUXILIAR</vt:lpstr>
      <vt:lpstr>USUARIO</vt:lpstr>
      <vt:lpstr>INFORME!Área_de_impresión</vt:lpstr>
      <vt:lpstr>INSTRUCCIONES!Área_de_impresión</vt:lpstr>
      <vt:lpstr>'LISTADO PROVEEDORES &gt; 15.000 €'!Área_de_impresión</vt:lpstr>
      <vt:lpstr>PAGOS!Área_de_impresión</vt:lpstr>
      <vt:lpstr>'RELACIÓN DE FACTURAS'!Área_de_impresión</vt:lpstr>
      <vt:lpstr>LÍNEA</vt:lpstr>
      <vt:lpstr>Tipo_gasto</vt:lpstr>
    </vt:vector>
  </TitlesOfParts>
  <Company>PC NEW &amp; Services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c:creator>
  <dc:description/>
  <cp:lastModifiedBy>Vicente Marco Adrián</cp:lastModifiedBy>
  <cp:revision>8</cp:revision>
  <cp:lastPrinted>2024-04-18T16:26:01Z</cp:lastPrinted>
  <dcterms:created xsi:type="dcterms:W3CDTF">2009-10-30T09:49:52Z</dcterms:created>
  <dcterms:modified xsi:type="dcterms:W3CDTF">2026-06-25T11:24:10Z</dcterms:modified>
  <dc:language>es-ES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Company">
    <vt:lpwstr>PC NEW &amp; Services</vt:lpwstr>
  </property>
  <property fmtid="{D5CDD505-2E9C-101B-9397-08002B2CF9AE}" pid="4" name="DocSecurity">
    <vt:i4>0</vt:i4>
  </property>
  <property fmtid="{D5CDD505-2E9C-101B-9397-08002B2CF9AE}" pid="5" name="HyperlinksChanged">
    <vt:bool>false</vt:bool>
  </property>
  <property fmtid="{D5CDD505-2E9C-101B-9397-08002B2CF9AE}" pid="6" name="LinksUpToDate">
    <vt:bool>false</vt:bool>
  </property>
  <property fmtid="{D5CDD505-2E9C-101B-9397-08002B2CF9AE}" pid="7" name="ScaleCrop">
    <vt:bool>false</vt:bool>
  </property>
  <property fmtid="{D5CDD505-2E9C-101B-9397-08002B2CF9AE}" pid="8" name="ShareDoc">
    <vt:bool>false</vt:bool>
  </property>
  <property fmtid="{D5CDD505-2E9C-101B-9397-08002B2CF9AE}" pid="9" name="ContentTypeId">
    <vt:lpwstr>0x010100B5D8345CE9BD914C9D01226D63129445</vt:lpwstr>
  </property>
  <property fmtid="{D5CDD505-2E9C-101B-9397-08002B2CF9AE}" pid="10" name="MediaServiceImageTags">
    <vt:lpwstr/>
  </property>
</Properties>
</file>